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internal\Regulatory Services\01_Recurring Filings\01_Annual\Decommissioning Rider\2019\Backup\"/>
    </mc:Choice>
  </mc:AlternateContent>
  <bookViews>
    <workbookView xWindow="-30" yWindow="-30" windowWidth="12000" windowHeight="5970" tabRatio="825"/>
  </bookViews>
  <sheets>
    <sheet name="BSDR Summary" sheetId="24" r:id="rId1"/>
    <sheet name="Components" sheetId="3" r:id="rId2"/>
    <sheet name="Additions" sheetId="20" r:id="rId3"/>
    <sheet name="21 Yr Amortization" sheetId="26" r:id="rId4"/>
    <sheet name="Actual Yr 1-4 Amortization" sheetId="23" r:id="rId5"/>
    <sheet name="WACC" sheetId="10" r:id="rId6"/>
    <sheet name="Gross-up" sheetId="11" r:id="rId7"/>
  </sheets>
  <definedNames>
    <definedName name="_xlnm.Print_Area" localSheetId="3">'21 Yr Amortization'!$A$1:$L$263</definedName>
    <definedName name="_xlnm.Print_Area" localSheetId="2">Additions!$A$1:$L$321</definedName>
    <definedName name="_xlnm.Print_Area" localSheetId="1">Components!$A$1:$M$25</definedName>
    <definedName name="_xlnm.Print_Titles" localSheetId="3">'21 Yr Amortization'!$1:$6</definedName>
  </definedNames>
  <calcPr calcId="162913" iterate="1"/>
</workbook>
</file>

<file path=xl/calcChain.xml><?xml version="1.0" encoding="utf-8"?>
<calcChain xmlns="http://schemas.openxmlformats.org/spreadsheetml/2006/main">
  <c r="L45" i="23" l="1"/>
  <c r="L54" i="20" l="1"/>
  <c r="L50" i="20"/>
  <c r="L49" i="20"/>
  <c r="K51" i="20"/>
  <c r="L51" i="20"/>
  <c r="L52" i="20"/>
  <c r="K45" i="23"/>
  <c r="M10" i="3" l="1"/>
  <c r="C10" i="3" s="1"/>
  <c r="M9" i="3"/>
  <c r="C9" i="3" s="1"/>
  <c r="M8" i="3"/>
  <c r="C8" i="3" s="1"/>
  <c r="M7" i="3"/>
  <c r="C7" i="3" s="1"/>
  <c r="M6" i="3"/>
  <c r="C6" i="3" s="1"/>
  <c r="M5" i="3"/>
  <c r="C5" i="3" s="1"/>
  <c r="E3" i="26"/>
  <c r="K9" i="26"/>
  <c r="L3" i="26"/>
  <c r="M11" i="3" l="1"/>
  <c r="G9" i="26" l="1"/>
  <c r="G10" i="26" s="1"/>
  <c r="G11" i="26" s="1"/>
  <c r="G12" i="26" s="1"/>
  <c r="G13" i="26" s="1"/>
  <c r="G14" i="26" s="1"/>
  <c r="G15" i="26" s="1"/>
  <c r="G16" i="26" s="1"/>
  <c r="G17" i="26" s="1"/>
  <c r="G18" i="26" s="1"/>
  <c r="G19" i="26" s="1"/>
  <c r="G20" i="26" s="1"/>
  <c r="G21" i="26" s="1"/>
  <c r="G22" i="26" s="1"/>
  <c r="G23" i="26" s="1"/>
  <c r="G24" i="26" s="1"/>
  <c r="G25" i="26" s="1"/>
  <c r="G26" i="26" s="1"/>
  <c r="G27" i="26" s="1"/>
  <c r="G28" i="26" s="1"/>
  <c r="G29" i="26" s="1"/>
  <c r="G30" i="26" s="1"/>
  <c r="G31" i="26" s="1"/>
  <c r="G32" i="26" s="1"/>
  <c r="G33" i="26" s="1"/>
  <c r="G34" i="26" s="1"/>
  <c r="G35" i="26" s="1"/>
  <c r="G36" i="26" s="1"/>
  <c r="G37" i="26" s="1"/>
  <c r="G38" i="26" s="1"/>
  <c r="G39" i="26" s="1"/>
  <c r="G40" i="26" s="1"/>
  <c r="G41" i="26" s="1"/>
  <c r="G42" i="26" s="1"/>
  <c r="G43" i="26" s="1"/>
  <c r="G44" i="26" s="1"/>
  <c r="G45" i="26" s="1"/>
  <c r="G46" i="26" s="1"/>
  <c r="G47" i="26" s="1"/>
  <c r="G48" i="26" s="1"/>
  <c r="G49" i="26" s="1"/>
  <c r="G50" i="26" s="1"/>
  <c r="G51" i="26" s="1"/>
  <c r="G52" i="26" s="1"/>
  <c r="G53" i="26" s="1"/>
  <c r="G54" i="26" s="1"/>
  <c r="G55" i="26" s="1"/>
  <c r="G56" i="26" s="1"/>
  <c r="G57" i="26" s="1"/>
  <c r="G58" i="26" s="1"/>
  <c r="G59" i="26" s="1"/>
  <c r="G60" i="26" s="1"/>
  <c r="G61" i="26" s="1"/>
  <c r="G62" i="26" s="1"/>
  <c r="G63" i="26" s="1"/>
  <c r="G64" i="26" s="1"/>
  <c r="G65" i="26" s="1"/>
  <c r="G66" i="26" s="1"/>
  <c r="G67" i="26" s="1"/>
  <c r="G68" i="26" s="1"/>
  <c r="G69" i="26" s="1"/>
  <c r="G70" i="26" s="1"/>
  <c r="G71" i="26" s="1"/>
  <c r="G72" i="26" s="1"/>
  <c r="G73" i="26" s="1"/>
  <c r="G74" i="26" s="1"/>
  <c r="G75" i="26" s="1"/>
  <c r="G76" i="26" s="1"/>
  <c r="G77" i="26" s="1"/>
  <c r="G78" i="26" s="1"/>
  <c r="G79" i="26" s="1"/>
  <c r="G80" i="26" s="1"/>
  <c r="G81" i="26" s="1"/>
  <c r="G82" i="26" s="1"/>
  <c r="G83" i="26" s="1"/>
  <c r="G84" i="26" s="1"/>
  <c r="G85" i="26" s="1"/>
  <c r="G86" i="26" s="1"/>
  <c r="G87" i="26" s="1"/>
  <c r="G88" i="26" s="1"/>
  <c r="G89" i="26" s="1"/>
  <c r="G90" i="26" s="1"/>
  <c r="G91" i="26" s="1"/>
  <c r="G92" i="26" s="1"/>
  <c r="G93" i="26" s="1"/>
  <c r="G94" i="26" s="1"/>
  <c r="G95" i="26" s="1"/>
  <c r="G96" i="26" s="1"/>
  <c r="G97" i="26" s="1"/>
  <c r="G98" i="26" s="1"/>
  <c r="G99" i="26" s="1"/>
  <c r="G100" i="26" s="1"/>
  <c r="G101" i="26" s="1"/>
  <c r="G102" i="26" s="1"/>
  <c r="G103" i="26" s="1"/>
  <c r="G104" i="26" s="1"/>
  <c r="G105" i="26" s="1"/>
  <c r="G106" i="26" s="1"/>
  <c r="G107" i="26" s="1"/>
  <c r="G108" i="26" s="1"/>
  <c r="G109" i="26" s="1"/>
  <c r="G110" i="26" s="1"/>
  <c r="G111" i="26" s="1"/>
  <c r="G112" i="26" s="1"/>
  <c r="G113" i="26" s="1"/>
  <c r="G114" i="26" s="1"/>
  <c r="G115" i="26" s="1"/>
  <c r="G116" i="26" s="1"/>
  <c r="G117" i="26" s="1"/>
  <c r="G118" i="26" s="1"/>
  <c r="G119" i="26" s="1"/>
  <c r="G120" i="26" s="1"/>
  <c r="G121" i="26" s="1"/>
  <c r="G122" i="26" s="1"/>
  <c r="G123" i="26" s="1"/>
  <c r="G124" i="26" s="1"/>
  <c r="G125" i="26" s="1"/>
  <c r="G126" i="26" s="1"/>
  <c r="G127" i="26" s="1"/>
  <c r="G128" i="26" s="1"/>
  <c r="G129" i="26" s="1"/>
  <c r="G130" i="26" s="1"/>
  <c r="G131" i="26" s="1"/>
  <c r="G132" i="26" s="1"/>
  <c r="G133" i="26" s="1"/>
  <c r="G134" i="26" s="1"/>
  <c r="G135" i="26" s="1"/>
  <c r="G136" i="26" s="1"/>
  <c r="G137" i="26" s="1"/>
  <c r="G138" i="26" s="1"/>
  <c r="G139" i="26" s="1"/>
  <c r="G140" i="26" s="1"/>
  <c r="G141" i="26" s="1"/>
  <c r="G142" i="26" s="1"/>
  <c r="G143" i="26" s="1"/>
  <c r="G144" i="26" s="1"/>
  <c r="G145" i="26" s="1"/>
  <c r="G146" i="26" s="1"/>
  <c r="G147" i="26" s="1"/>
  <c r="G148" i="26" s="1"/>
  <c r="G149" i="26" s="1"/>
  <c r="G150" i="26" s="1"/>
  <c r="G151" i="26" s="1"/>
  <c r="G152" i="26" s="1"/>
  <c r="G153" i="26" s="1"/>
  <c r="G154" i="26" s="1"/>
  <c r="G155" i="26" s="1"/>
  <c r="G156" i="26" s="1"/>
  <c r="G157" i="26" s="1"/>
  <c r="G158" i="26" s="1"/>
  <c r="G159" i="26" s="1"/>
  <c r="G160" i="26" s="1"/>
  <c r="G161" i="26" s="1"/>
  <c r="G162" i="26" s="1"/>
  <c r="G163" i="26" s="1"/>
  <c r="G164" i="26" s="1"/>
  <c r="G165" i="26" s="1"/>
  <c r="G166" i="26" s="1"/>
  <c r="G167" i="26" s="1"/>
  <c r="G168" i="26" s="1"/>
  <c r="G169" i="26" s="1"/>
  <c r="G170" i="26" s="1"/>
  <c r="G171" i="26" s="1"/>
  <c r="G172" i="26" s="1"/>
  <c r="G173" i="26" s="1"/>
  <c r="G174" i="26" s="1"/>
  <c r="G175" i="26" s="1"/>
  <c r="G176" i="26" s="1"/>
  <c r="G177" i="26" s="1"/>
  <c r="G178" i="26" s="1"/>
  <c r="G179" i="26" s="1"/>
  <c r="G180" i="26" s="1"/>
  <c r="G181" i="26" s="1"/>
  <c r="G182" i="26" s="1"/>
  <c r="G183" i="26" s="1"/>
  <c r="G184" i="26" s="1"/>
  <c r="G185" i="26" s="1"/>
  <c r="G186" i="26" s="1"/>
  <c r="G187" i="26" s="1"/>
  <c r="G188" i="26" s="1"/>
  <c r="G189" i="26" s="1"/>
  <c r="G190" i="26" s="1"/>
  <c r="G191" i="26" s="1"/>
  <c r="G192" i="26" s="1"/>
  <c r="G193" i="26" s="1"/>
  <c r="G194" i="26" s="1"/>
  <c r="G195" i="26" s="1"/>
  <c r="G196" i="26" s="1"/>
  <c r="G197" i="26" s="1"/>
  <c r="G198" i="26" s="1"/>
  <c r="G199" i="26" s="1"/>
  <c r="G200" i="26" s="1"/>
  <c r="G201" i="26" s="1"/>
  <c r="G202" i="26" s="1"/>
  <c r="G203" i="26" s="1"/>
  <c r="G204" i="26" s="1"/>
  <c r="G205" i="26" s="1"/>
  <c r="G206" i="26" s="1"/>
  <c r="G207" i="26" s="1"/>
  <c r="G208" i="26" s="1"/>
  <c r="G209" i="26" s="1"/>
  <c r="G210" i="26" s="1"/>
  <c r="G211" i="26" s="1"/>
  <c r="G212" i="26" s="1"/>
  <c r="G213" i="26" s="1"/>
  <c r="G214" i="26" s="1"/>
  <c r="G215" i="26" s="1"/>
  <c r="G216" i="26" s="1"/>
  <c r="G217" i="26" s="1"/>
  <c r="G218" i="26" s="1"/>
  <c r="G219" i="26" s="1"/>
  <c r="G220" i="26" s="1"/>
  <c r="G221" i="26" s="1"/>
  <c r="G222" i="26" s="1"/>
  <c r="G223" i="26" s="1"/>
  <c r="G224" i="26" s="1"/>
  <c r="G225" i="26" s="1"/>
  <c r="G226" i="26" s="1"/>
  <c r="G227" i="26" s="1"/>
  <c r="G228" i="26" s="1"/>
  <c r="G229" i="26" s="1"/>
  <c r="G230" i="26" s="1"/>
  <c r="G231" i="26" s="1"/>
  <c r="G232" i="26" s="1"/>
  <c r="G233" i="26" s="1"/>
  <c r="G234" i="26" s="1"/>
  <c r="G235" i="26" s="1"/>
  <c r="G236" i="26" s="1"/>
  <c r="G237" i="26" s="1"/>
  <c r="G238" i="26" s="1"/>
  <c r="G239" i="26" s="1"/>
  <c r="G240" i="26" s="1"/>
  <c r="G241" i="26" s="1"/>
  <c r="G242" i="26" s="1"/>
  <c r="G243" i="26" s="1"/>
  <c r="G244" i="26" s="1"/>
  <c r="G245" i="26" s="1"/>
  <c r="G246" i="26" s="1"/>
  <c r="G247" i="26" s="1"/>
  <c r="G248" i="26" s="1"/>
  <c r="G249" i="26" s="1"/>
  <c r="G250" i="26" s="1"/>
  <c r="G251" i="26" s="1"/>
  <c r="G252" i="26" s="1"/>
  <c r="G253" i="26" s="1"/>
  <c r="G254" i="26" s="1"/>
  <c r="G255" i="26" s="1"/>
  <c r="G256" i="26" s="1"/>
  <c r="G257" i="26" s="1"/>
  <c r="G258" i="26" s="1"/>
  <c r="G259" i="26" s="1"/>
  <c r="G260" i="26" s="1"/>
  <c r="E260" i="26"/>
  <c r="E259" i="26"/>
  <c r="E258" i="26"/>
  <c r="E257" i="26"/>
  <c r="E256" i="26"/>
  <c r="E255" i="26"/>
  <c r="E254" i="26"/>
  <c r="E253" i="26"/>
  <c r="E252" i="26"/>
  <c r="E251" i="26"/>
  <c r="E250" i="26"/>
  <c r="E249" i="26"/>
  <c r="E248" i="26"/>
  <c r="E247" i="26"/>
  <c r="E246" i="26"/>
  <c r="E245" i="26"/>
  <c r="E244" i="26"/>
  <c r="E243" i="26"/>
  <c r="E242" i="26"/>
  <c r="E241" i="26"/>
  <c r="E240" i="26"/>
  <c r="E239" i="26"/>
  <c r="E238" i="26"/>
  <c r="E237" i="26"/>
  <c r="E236" i="26"/>
  <c r="E235" i="26"/>
  <c r="E234" i="26"/>
  <c r="E233" i="26"/>
  <c r="E232" i="26"/>
  <c r="E231" i="26"/>
  <c r="E230" i="26"/>
  <c r="E229" i="26"/>
  <c r="E228" i="26"/>
  <c r="E227" i="26"/>
  <c r="E226" i="26"/>
  <c r="E225" i="26"/>
  <c r="E224" i="26"/>
  <c r="E223" i="26"/>
  <c r="E222" i="26"/>
  <c r="E221" i="26"/>
  <c r="E220" i="26"/>
  <c r="E219" i="26"/>
  <c r="E218" i="26"/>
  <c r="E217" i="26"/>
  <c r="E216" i="26"/>
  <c r="E215" i="26"/>
  <c r="E214" i="26"/>
  <c r="E213" i="26"/>
  <c r="E212" i="26"/>
  <c r="E211" i="26"/>
  <c r="E210" i="26"/>
  <c r="E209" i="26"/>
  <c r="E208" i="26"/>
  <c r="E207" i="26"/>
  <c r="E206" i="26"/>
  <c r="E205" i="26"/>
  <c r="E204" i="26"/>
  <c r="E203" i="26"/>
  <c r="E202" i="26"/>
  <c r="E201" i="26"/>
  <c r="E200" i="26"/>
  <c r="E199" i="26"/>
  <c r="E198" i="26"/>
  <c r="E197" i="26"/>
  <c r="E196" i="26"/>
  <c r="E195" i="26"/>
  <c r="E194" i="26"/>
  <c r="E193" i="26"/>
  <c r="E192" i="26"/>
  <c r="E191" i="26"/>
  <c r="E190" i="26"/>
  <c r="E189" i="26"/>
  <c r="E188" i="26"/>
  <c r="E187" i="26"/>
  <c r="E186" i="26"/>
  <c r="E185" i="26"/>
  <c r="E184" i="26"/>
  <c r="E183" i="26"/>
  <c r="E182" i="26"/>
  <c r="E181" i="26"/>
  <c r="E180" i="26"/>
  <c r="E179" i="26"/>
  <c r="E178" i="26"/>
  <c r="E177" i="26"/>
  <c r="E176" i="26"/>
  <c r="E175" i="26"/>
  <c r="E174" i="26"/>
  <c r="E173" i="26"/>
  <c r="E172" i="26"/>
  <c r="E171" i="26"/>
  <c r="E170" i="26"/>
  <c r="E169" i="26"/>
  <c r="E168" i="26"/>
  <c r="E167" i="26"/>
  <c r="E166" i="26"/>
  <c r="E165" i="26"/>
  <c r="E164" i="26"/>
  <c r="E163" i="26"/>
  <c r="E162" i="26"/>
  <c r="E161" i="26"/>
  <c r="E160" i="26"/>
  <c r="E159" i="26"/>
  <c r="E158" i="26"/>
  <c r="E157" i="26"/>
  <c r="E156" i="26"/>
  <c r="E155" i="26"/>
  <c r="E154" i="26"/>
  <c r="E153" i="26"/>
  <c r="E152" i="26"/>
  <c r="E151" i="26"/>
  <c r="E150" i="26"/>
  <c r="E149" i="26"/>
  <c r="E148" i="26"/>
  <c r="E147" i="26"/>
  <c r="E146" i="26"/>
  <c r="E145" i="26"/>
  <c r="E144" i="26"/>
  <c r="E143" i="26"/>
  <c r="E142" i="26"/>
  <c r="E141" i="26"/>
  <c r="E140" i="26"/>
  <c r="E139" i="26"/>
  <c r="E138" i="26"/>
  <c r="E137" i="26"/>
  <c r="E136" i="26"/>
  <c r="E135" i="26"/>
  <c r="E134" i="26"/>
  <c r="E133" i="26"/>
  <c r="E132" i="26"/>
  <c r="E131" i="26"/>
  <c r="E130" i="26"/>
  <c r="E129" i="26"/>
  <c r="E128" i="26"/>
  <c r="E127" i="26"/>
  <c r="E126" i="26"/>
  <c r="E125" i="26"/>
  <c r="E124" i="26"/>
  <c r="E123" i="26"/>
  <c r="E122" i="26"/>
  <c r="E121" i="26"/>
  <c r="E120" i="26"/>
  <c r="E119" i="26"/>
  <c r="E118" i="26"/>
  <c r="E117" i="26"/>
  <c r="E116" i="26"/>
  <c r="E115" i="26"/>
  <c r="E114" i="26"/>
  <c r="E113" i="26"/>
  <c r="E112" i="26"/>
  <c r="E111" i="26"/>
  <c r="E110" i="26"/>
  <c r="E109" i="26"/>
  <c r="E108" i="26"/>
  <c r="E107" i="26"/>
  <c r="E106" i="26"/>
  <c r="E105" i="26"/>
  <c r="E104" i="26"/>
  <c r="E103" i="26"/>
  <c r="E102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9" i="26"/>
  <c r="E88" i="26"/>
  <c r="E87" i="26"/>
  <c r="E86" i="26"/>
  <c r="E85" i="26"/>
  <c r="E84" i="26"/>
  <c r="E83" i="26"/>
  <c r="E82" i="26"/>
  <c r="E81" i="26"/>
  <c r="E80" i="26"/>
  <c r="E79" i="26"/>
  <c r="E78" i="26"/>
  <c r="E77" i="26"/>
  <c r="E76" i="26"/>
  <c r="E75" i="26"/>
  <c r="E74" i="26"/>
  <c r="E73" i="26"/>
  <c r="E72" i="26"/>
  <c r="E71" i="26"/>
  <c r="E70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E49" i="26"/>
  <c r="E48" i="26"/>
  <c r="E47" i="26"/>
  <c r="E46" i="26"/>
  <c r="E45" i="26"/>
  <c r="E44" i="26"/>
  <c r="E43" i="26"/>
  <c r="E42" i="26"/>
  <c r="E41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K3" i="26"/>
  <c r="C2" i="26"/>
  <c r="C3" i="26" s="1"/>
  <c r="N10" i="3"/>
  <c r="N9" i="3"/>
  <c r="G9" i="3" s="1"/>
  <c r="N8" i="3"/>
  <c r="G8" i="3" s="1"/>
  <c r="N7" i="3"/>
  <c r="G7" i="3" s="1"/>
  <c r="N6" i="3"/>
  <c r="G6" i="3" s="1"/>
  <c r="N5" i="3"/>
  <c r="G5" i="3" s="1"/>
  <c r="N11" i="3" l="1"/>
  <c r="G10" i="3"/>
  <c r="E261" i="26"/>
  <c r="G261" i="26"/>
  <c r="K50" i="23" l="1"/>
  <c r="K49" i="23"/>
  <c r="K48" i="23"/>
  <c r="K47" i="23"/>
  <c r="K46" i="23"/>
  <c r="F45" i="23"/>
  <c r="E53" i="23"/>
  <c r="E52" i="23"/>
  <c r="E51" i="23"/>
  <c r="E50" i="23"/>
  <c r="E49" i="23"/>
  <c r="E48" i="23"/>
  <c r="E47" i="23"/>
  <c r="E46" i="23"/>
  <c r="E45" i="23"/>
  <c r="C44" i="23"/>
  <c r="G57" i="23" l="1"/>
  <c r="K55" i="23"/>
  <c r="E55" i="23"/>
  <c r="K54" i="23"/>
  <c r="E54" i="23"/>
  <c r="K53" i="23"/>
  <c r="K52" i="23"/>
  <c r="K51" i="23"/>
  <c r="L309" i="20"/>
  <c r="L55" i="20"/>
  <c r="L53" i="20"/>
  <c r="L48" i="20"/>
  <c r="L47" i="20"/>
  <c r="L46" i="20"/>
  <c r="L45" i="20"/>
  <c r="H39" i="23" l="1"/>
  <c r="N39" i="23" l="1"/>
  <c r="K17" i="20" l="1"/>
  <c r="L17" i="20"/>
  <c r="F9" i="3" l="1"/>
  <c r="F8" i="3"/>
  <c r="F7" i="3"/>
  <c r="F6" i="3"/>
  <c r="J44" i="20" l="1"/>
  <c r="E44" i="23" s="1"/>
  <c r="K39" i="20" l="1"/>
  <c r="L39" i="20" s="1"/>
  <c r="K39" i="23" s="1"/>
  <c r="E3" i="23"/>
  <c r="J39" i="20" l="1"/>
  <c r="J38" i="20"/>
  <c r="K10" i="3" l="1"/>
  <c r="N13" i="23"/>
  <c r="B5" i="3"/>
  <c r="J29" i="20"/>
  <c r="E29" i="23" s="1"/>
  <c r="D309" i="20"/>
  <c r="K13" i="20"/>
  <c r="J13" i="20"/>
  <c r="E13" i="23" s="1"/>
  <c r="H13" i="23" s="1"/>
  <c r="E12" i="20"/>
  <c r="D7" i="3" s="1"/>
  <c r="H12" i="20"/>
  <c r="K18" i="20"/>
  <c r="K19" i="20"/>
  <c r="K20" i="20"/>
  <c r="K21" i="20"/>
  <c r="D6" i="3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L34" i="20" s="1"/>
  <c r="K35" i="20"/>
  <c r="K36" i="20"/>
  <c r="K37" i="20"/>
  <c r="L37" i="20" s="1"/>
  <c r="K37" i="23" s="1"/>
  <c r="K38" i="20"/>
  <c r="K40" i="20"/>
  <c r="L40" i="20" s="1"/>
  <c r="K40" i="23" s="1"/>
  <c r="K41" i="20"/>
  <c r="K42" i="20"/>
  <c r="K43" i="20"/>
  <c r="K44" i="20"/>
  <c r="K45" i="20"/>
  <c r="K46" i="20"/>
  <c r="K47" i="20"/>
  <c r="K48" i="20"/>
  <c r="K49" i="20"/>
  <c r="K50" i="20"/>
  <c r="K52" i="20"/>
  <c r="K53" i="20"/>
  <c r="K54" i="20"/>
  <c r="K55" i="20"/>
  <c r="K56" i="20"/>
  <c r="L56" i="20" s="1"/>
  <c r="K56" i="23" s="1"/>
  <c r="K57" i="23" s="1"/>
  <c r="K57" i="20"/>
  <c r="K58" i="20"/>
  <c r="K59" i="20"/>
  <c r="K60" i="20"/>
  <c r="K61" i="20"/>
  <c r="K62" i="20"/>
  <c r="K63" i="20"/>
  <c r="K64" i="20"/>
  <c r="K65" i="20"/>
  <c r="K66" i="20"/>
  <c r="K67" i="20"/>
  <c r="K68" i="20"/>
  <c r="K69" i="20"/>
  <c r="K70" i="20"/>
  <c r="K71" i="20"/>
  <c r="K72" i="20"/>
  <c r="K73" i="20"/>
  <c r="K74" i="20"/>
  <c r="K75" i="20"/>
  <c r="K76" i="20"/>
  <c r="K77" i="20"/>
  <c r="K78" i="20"/>
  <c r="K79" i="20"/>
  <c r="K80" i="20"/>
  <c r="K81" i="20"/>
  <c r="K82" i="20"/>
  <c r="K83" i="20"/>
  <c r="L83" i="20" s="1"/>
  <c r="K84" i="20"/>
  <c r="K85" i="20"/>
  <c r="K86" i="20"/>
  <c r="K87" i="20"/>
  <c r="K88" i="20"/>
  <c r="K89" i="20"/>
  <c r="K90" i="20"/>
  <c r="K91" i="20"/>
  <c r="K92" i="20"/>
  <c r="K93" i="20"/>
  <c r="K94" i="20"/>
  <c r="K95" i="20"/>
  <c r="K96" i="20"/>
  <c r="K97" i="20"/>
  <c r="K98" i="20"/>
  <c r="K99" i="20"/>
  <c r="K100" i="20"/>
  <c r="K101" i="20"/>
  <c r="K102" i="20"/>
  <c r="K103" i="20"/>
  <c r="K104" i="20"/>
  <c r="K105" i="20"/>
  <c r="K106" i="20"/>
  <c r="K107" i="20"/>
  <c r="K108" i="20"/>
  <c r="K109" i="20"/>
  <c r="K110" i="20"/>
  <c r="K111" i="20"/>
  <c r="K112" i="20"/>
  <c r="K113" i="20"/>
  <c r="K114" i="20"/>
  <c r="K115" i="20"/>
  <c r="K116" i="20"/>
  <c r="K117" i="20"/>
  <c r="K118" i="20"/>
  <c r="K119" i="20"/>
  <c r="K120" i="20"/>
  <c r="K121" i="20"/>
  <c r="K122" i="20"/>
  <c r="K123" i="20"/>
  <c r="K124" i="20"/>
  <c r="K125" i="20"/>
  <c r="K126" i="20"/>
  <c r="K127" i="20"/>
  <c r="K128" i="20"/>
  <c r="K129" i="20"/>
  <c r="K130" i="20"/>
  <c r="L130" i="20" s="1"/>
  <c r="K131" i="20"/>
  <c r="K132" i="20"/>
  <c r="K133" i="20"/>
  <c r="K134" i="20"/>
  <c r="K135" i="20"/>
  <c r="K136" i="20"/>
  <c r="K137" i="20"/>
  <c r="K138" i="20"/>
  <c r="K139" i="20"/>
  <c r="K140" i="20"/>
  <c r="K141" i="20"/>
  <c r="K142" i="20"/>
  <c r="K143" i="20"/>
  <c r="K144" i="20"/>
  <c r="K145" i="20"/>
  <c r="K146" i="20"/>
  <c r="K147" i="20"/>
  <c r="K148" i="20"/>
  <c r="K149" i="20"/>
  <c r="K150" i="20"/>
  <c r="L150" i="20" s="1"/>
  <c r="K151" i="20"/>
  <c r="L151" i="20" s="1"/>
  <c r="K152" i="20"/>
  <c r="K153" i="20"/>
  <c r="K154" i="20"/>
  <c r="K155" i="20"/>
  <c r="K156" i="20"/>
  <c r="K157" i="20"/>
  <c r="K158" i="20"/>
  <c r="K159" i="20"/>
  <c r="K160" i="20"/>
  <c r="K161" i="20"/>
  <c r="K162" i="20"/>
  <c r="K163" i="20"/>
  <c r="K164" i="20"/>
  <c r="K165" i="20"/>
  <c r="K166" i="20"/>
  <c r="K167" i="20"/>
  <c r="K168" i="20"/>
  <c r="K169" i="20"/>
  <c r="K170" i="20"/>
  <c r="K171" i="20"/>
  <c r="K172" i="20"/>
  <c r="L172" i="20" s="1"/>
  <c r="K173" i="20"/>
  <c r="K174" i="20"/>
  <c r="K175" i="20"/>
  <c r="K176" i="20"/>
  <c r="K177" i="20"/>
  <c r="K178" i="20"/>
  <c r="K179" i="20"/>
  <c r="K180" i="20"/>
  <c r="K181" i="20"/>
  <c r="K182" i="20"/>
  <c r="K183" i="20"/>
  <c r="K184" i="20"/>
  <c r="K185" i="20"/>
  <c r="K186" i="20"/>
  <c r="K187" i="20"/>
  <c r="K188" i="20"/>
  <c r="L188" i="20" s="1"/>
  <c r="K189" i="20"/>
  <c r="K190" i="20"/>
  <c r="K191" i="20"/>
  <c r="L191" i="20" s="1"/>
  <c r="K192" i="20"/>
  <c r="K193" i="20"/>
  <c r="K194" i="20"/>
  <c r="K195" i="20"/>
  <c r="K196" i="20"/>
  <c r="K197" i="20"/>
  <c r="K198" i="20"/>
  <c r="K199" i="20"/>
  <c r="K200" i="20"/>
  <c r="K201" i="20"/>
  <c r="K202" i="20"/>
  <c r="K203" i="20"/>
  <c r="K204" i="20"/>
  <c r="K205" i="20"/>
  <c r="K206" i="20"/>
  <c r="K207" i="20"/>
  <c r="K208" i="20"/>
  <c r="K209" i="20"/>
  <c r="K210" i="20"/>
  <c r="K211" i="20"/>
  <c r="K212" i="20"/>
  <c r="L212" i="20" s="1"/>
  <c r="K213" i="20"/>
  <c r="K214" i="20"/>
  <c r="K215" i="20"/>
  <c r="L215" i="20" s="1"/>
  <c r="K216" i="20"/>
  <c r="K217" i="20"/>
  <c r="K218" i="20"/>
  <c r="K219" i="20"/>
  <c r="K220" i="20"/>
  <c r="L220" i="20" s="1"/>
  <c r="K221" i="20"/>
  <c r="K222" i="20"/>
  <c r="K223" i="20"/>
  <c r="K224" i="20"/>
  <c r="K225" i="20"/>
  <c r="K226" i="20"/>
  <c r="K227" i="20"/>
  <c r="L227" i="20" s="1"/>
  <c r="K228" i="20"/>
  <c r="K229" i="20"/>
  <c r="K230" i="20"/>
  <c r="K231" i="20"/>
  <c r="K232" i="20"/>
  <c r="K233" i="20"/>
  <c r="K234" i="20"/>
  <c r="K235" i="20"/>
  <c r="K236" i="20"/>
  <c r="K237" i="20"/>
  <c r="K238" i="20"/>
  <c r="K239" i="20"/>
  <c r="K240" i="20"/>
  <c r="K241" i="20"/>
  <c r="K242" i="20"/>
  <c r="K243" i="20"/>
  <c r="K244" i="20"/>
  <c r="K245" i="20"/>
  <c r="K246" i="20"/>
  <c r="K247" i="20"/>
  <c r="K248" i="20"/>
  <c r="K249" i="20"/>
  <c r="K250" i="20"/>
  <c r="L250" i="20" s="1"/>
  <c r="K251" i="20"/>
  <c r="K252" i="20"/>
  <c r="K253" i="20"/>
  <c r="K254" i="20"/>
  <c r="K255" i="20"/>
  <c r="K256" i="20"/>
  <c r="K257" i="20"/>
  <c r="K258" i="20"/>
  <c r="K259" i="20"/>
  <c r="K260" i="20"/>
  <c r="K261" i="20"/>
  <c r="K262" i="20"/>
  <c r="K263" i="20"/>
  <c r="K264" i="20"/>
  <c r="K265" i="20"/>
  <c r="K266" i="20"/>
  <c r="K267" i="20"/>
  <c r="K268" i="20"/>
  <c r="K269" i="20"/>
  <c r="K270" i="20"/>
  <c r="K271" i="20"/>
  <c r="K272" i="20"/>
  <c r="K273" i="20"/>
  <c r="K274" i="20"/>
  <c r="K275" i="20"/>
  <c r="K276" i="20"/>
  <c r="K277" i="20"/>
  <c r="K278" i="20"/>
  <c r="K279" i="20"/>
  <c r="K280" i="20"/>
  <c r="K281" i="20"/>
  <c r="K282" i="20"/>
  <c r="K283" i="20"/>
  <c r="K284" i="20"/>
  <c r="K285" i="20"/>
  <c r="K286" i="20"/>
  <c r="K287" i="20"/>
  <c r="K288" i="20"/>
  <c r="K289" i="20"/>
  <c r="K290" i="20"/>
  <c r="K291" i="20"/>
  <c r="K292" i="20"/>
  <c r="K293" i="20"/>
  <c r="K294" i="20"/>
  <c r="K295" i="20"/>
  <c r="K296" i="20"/>
  <c r="K297" i="20"/>
  <c r="K298" i="20"/>
  <c r="K299" i="20"/>
  <c r="K300" i="20"/>
  <c r="K301" i="20"/>
  <c r="K302" i="20"/>
  <c r="K303" i="20"/>
  <c r="K304" i="20"/>
  <c r="K305" i="20"/>
  <c r="K306" i="20"/>
  <c r="K307" i="20"/>
  <c r="K308" i="20"/>
  <c r="F16" i="20"/>
  <c r="J16" i="20" s="1"/>
  <c r="E16" i="23" s="1"/>
  <c r="C7" i="20"/>
  <c r="B10" i="3"/>
  <c r="F10" i="3" s="1"/>
  <c r="F15" i="20"/>
  <c r="K15" i="20" s="1"/>
  <c r="F14" i="20"/>
  <c r="K14" i="20" s="1"/>
  <c r="F12" i="20"/>
  <c r="K12" i="20" s="1"/>
  <c r="L12" i="20" s="1"/>
  <c r="K12" i="23" s="1"/>
  <c r="F11" i="20"/>
  <c r="F10" i="20"/>
  <c r="F9" i="20"/>
  <c r="K9" i="20" s="1"/>
  <c r="F8" i="20"/>
  <c r="F7" i="20"/>
  <c r="I11" i="20"/>
  <c r="H309" i="20"/>
  <c r="G10" i="20"/>
  <c r="J8" i="20"/>
  <c r="E8" i="23" s="1"/>
  <c r="H7" i="3"/>
  <c r="J308" i="20"/>
  <c r="J307" i="20"/>
  <c r="J306" i="20"/>
  <c r="J305" i="20"/>
  <c r="J304" i="20"/>
  <c r="J303" i="20"/>
  <c r="J302" i="20"/>
  <c r="J301" i="20"/>
  <c r="J300" i="20"/>
  <c r="J299" i="20"/>
  <c r="J298" i="20"/>
  <c r="J297" i="20"/>
  <c r="J296" i="20"/>
  <c r="J295" i="20"/>
  <c r="J294" i="20"/>
  <c r="J293" i="20"/>
  <c r="J292" i="20"/>
  <c r="J291" i="20"/>
  <c r="J290" i="20"/>
  <c r="J289" i="20"/>
  <c r="J288" i="20"/>
  <c r="J287" i="20"/>
  <c r="J286" i="20"/>
  <c r="J285" i="20"/>
  <c r="J284" i="20"/>
  <c r="J283" i="20"/>
  <c r="J282" i="20"/>
  <c r="J281" i="20"/>
  <c r="J280" i="20"/>
  <c r="J279" i="20"/>
  <c r="J278" i="20"/>
  <c r="J277" i="20"/>
  <c r="J276" i="20"/>
  <c r="J275" i="20"/>
  <c r="J274" i="20"/>
  <c r="J273" i="20"/>
  <c r="J272" i="20"/>
  <c r="J271" i="20"/>
  <c r="J270" i="20"/>
  <c r="J269" i="20"/>
  <c r="J268" i="20"/>
  <c r="J267" i="20"/>
  <c r="J266" i="20"/>
  <c r="J265" i="20"/>
  <c r="J264" i="20"/>
  <c r="J263" i="20"/>
  <c r="J262" i="20"/>
  <c r="J261" i="20"/>
  <c r="J260" i="20"/>
  <c r="J259" i="20"/>
  <c r="J258" i="20"/>
  <c r="J257" i="20"/>
  <c r="J256" i="20"/>
  <c r="J255" i="20"/>
  <c r="J254" i="20"/>
  <c r="J253" i="20"/>
  <c r="J252" i="20"/>
  <c r="J251" i="20"/>
  <c r="J250" i="20"/>
  <c r="J249" i="20"/>
  <c r="J248" i="20"/>
  <c r="J247" i="20"/>
  <c r="J246" i="20"/>
  <c r="J245" i="20"/>
  <c r="J244" i="20"/>
  <c r="J243" i="20"/>
  <c r="J242" i="20"/>
  <c r="J241" i="20"/>
  <c r="J240" i="20"/>
  <c r="J239" i="20"/>
  <c r="J238" i="20"/>
  <c r="J237" i="20"/>
  <c r="J236" i="20"/>
  <c r="J235" i="20"/>
  <c r="J234" i="20"/>
  <c r="J233" i="20"/>
  <c r="J232" i="20"/>
  <c r="J231" i="20"/>
  <c r="J230" i="20"/>
  <c r="J229" i="20"/>
  <c r="J228" i="20"/>
  <c r="J227" i="20"/>
  <c r="J226" i="20"/>
  <c r="J225" i="20"/>
  <c r="J224" i="20"/>
  <c r="J223" i="20"/>
  <c r="J222" i="20"/>
  <c r="J221" i="20"/>
  <c r="J220" i="20"/>
  <c r="J219" i="20"/>
  <c r="J218" i="20"/>
  <c r="J217" i="20"/>
  <c r="J216" i="20"/>
  <c r="J215" i="20"/>
  <c r="J214" i="20"/>
  <c r="J213" i="20"/>
  <c r="J212" i="20"/>
  <c r="J211" i="20"/>
  <c r="J210" i="20"/>
  <c r="J209" i="20"/>
  <c r="J208" i="20"/>
  <c r="J207" i="20"/>
  <c r="J206" i="20"/>
  <c r="J205" i="20"/>
  <c r="J204" i="20"/>
  <c r="J203" i="20"/>
  <c r="J202" i="20"/>
  <c r="J201" i="20"/>
  <c r="J200" i="20"/>
  <c r="J199" i="20"/>
  <c r="J198" i="20"/>
  <c r="J197" i="20"/>
  <c r="J196" i="20"/>
  <c r="J195" i="20"/>
  <c r="J194" i="20"/>
  <c r="J193" i="20"/>
  <c r="J192" i="20"/>
  <c r="J191" i="20"/>
  <c r="J190" i="20"/>
  <c r="J189" i="20"/>
  <c r="J188" i="20"/>
  <c r="J187" i="20"/>
  <c r="J186" i="20"/>
  <c r="J185" i="20"/>
  <c r="J184" i="20"/>
  <c r="J183" i="20"/>
  <c r="J182" i="20"/>
  <c r="J181" i="20"/>
  <c r="J180" i="20"/>
  <c r="J179" i="20"/>
  <c r="J178" i="20"/>
  <c r="J177" i="20"/>
  <c r="J176" i="20"/>
  <c r="J175" i="20"/>
  <c r="J174" i="20"/>
  <c r="J173" i="20"/>
  <c r="J172" i="20"/>
  <c r="J171" i="20"/>
  <c r="J170" i="20"/>
  <c r="J169" i="20"/>
  <c r="J168" i="20"/>
  <c r="J167" i="20"/>
  <c r="J166" i="20"/>
  <c r="J165" i="20"/>
  <c r="J164" i="20"/>
  <c r="J163" i="20"/>
  <c r="J162" i="20"/>
  <c r="J161" i="20"/>
  <c r="J160" i="20"/>
  <c r="J159" i="20"/>
  <c r="J158" i="20"/>
  <c r="J157" i="20"/>
  <c r="J156" i="20"/>
  <c r="J155" i="20"/>
  <c r="J154" i="20"/>
  <c r="J153" i="20"/>
  <c r="J152" i="20"/>
  <c r="J151" i="20"/>
  <c r="J150" i="20"/>
  <c r="J149" i="20"/>
  <c r="J148" i="20"/>
  <c r="J147" i="20"/>
  <c r="J146" i="20"/>
  <c r="J145" i="20"/>
  <c r="J144" i="20"/>
  <c r="J143" i="20"/>
  <c r="J142" i="20"/>
  <c r="J141" i="20"/>
  <c r="J140" i="20"/>
  <c r="J139" i="20"/>
  <c r="J138" i="20"/>
  <c r="J137" i="20"/>
  <c r="J136" i="20"/>
  <c r="J135" i="20"/>
  <c r="J134" i="20"/>
  <c r="J133" i="20"/>
  <c r="J132" i="20"/>
  <c r="J131" i="20"/>
  <c r="J130" i="20"/>
  <c r="J129" i="20"/>
  <c r="J128" i="20"/>
  <c r="J127" i="20"/>
  <c r="J126" i="20"/>
  <c r="J125" i="20"/>
  <c r="J124" i="20"/>
  <c r="J123" i="20"/>
  <c r="J122" i="20"/>
  <c r="J121" i="20"/>
  <c r="J120" i="20"/>
  <c r="J119" i="20"/>
  <c r="J118" i="20"/>
  <c r="J117" i="20"/>
  <c r="J116" i="20"/>
  <c r="J115" i="20"/>
  <c r="J114" i="20"/>
  <c r="J113" i="20"/>
  <c r="J112" i="20"/>
  <c r="J111" i="20"/>
  <c r="J110" i="20"/>
  <c r="J109" i="20"/>
  <c r="J108" i="20"/>
  <c r="J107" i="20"/>
  <c r="J106" i="20"/>
  <c r="J105" i="20"/>
  <c r="J104" i="20"/>
  <c r="J103" i="20"/>
  <c r="J102" i="20"/>
  <c r="J101" i="20"/>
  <c r="J100" i="20"/>
  <c r="J99" i="20"/>
  <c r="J98" i="20"/>
  <c r="J97" i="20"/>
  <c r="J96" i="20"/>
  <c r="J95" i="20"/>
  <c r="J94" i="20"/>
  <c r="J93" i="20"/>
  <c r="J92" i="20"/>
  <c r="J91" i="20"/>
  <c r="J90" i="20"/>
  <c r="J89" i="20"/>
  <c r="J88" i="20"/>
  <c r="J87" i="20"/>
  <c r="J86" i="20"/>
  <c r="J85" i="20"/>
  <c r="J84" i="20"/>
  <c r="J83" i="20"/>
  <c r="J82" i="20"/>
  <c r="J81" i="20"/>
  <c r="J80" i="20"/>
  <c r="J79" i="20"/>
  <c r="J78" i="20"/>
  <c r="J77" i="20"/>
  <c r="J76" i="20"/>
  <c r="J75" i="20"/>
  <c r="J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J61" i="20"/>
  <c r="J60" i="20"/>
  <c r="J59" i="20"/>
  <c r="J58" i="20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3" i="20"/>
  <c r="E43" i="23" s="1"/>
  <c r="J42" i="20"/>
  <c r="E42" i="23" s="1"/>
  <c r="J41" i="20"/>
  <c r="E41" i="23" s="1"/>
  <c r="J40" i="20"/>
  <c r="E40" i="23" s="1"/>
  <c r="J37" i="20"/>
  <c r="E37" i="23" s="1"/>
  <c r="J36" i="20"/>
  <c r="J35" i="20"/>
  <c r="E35" i="23" s="1"/>
  <c r="J34" i="20"/>
  <c r="J33" i="20"/>
  <c r="E33" i="23" s="1"/>
  <c r="J32" i="20"/>
  <c r="J31" i="20"/>
  <c r="E31" i="23" s="1"/>
  <c r="J30" i="20"/>
  <c r="E30" i="23" s="1"/>
  <c r="J28" i="20"/>
  <c r="E28" i="23" s="1"/>
  <c r="J27" i="20"/>
  <c r="E27" i="23" s="1"/>
  <c r="J26" i="20"/>
  <c r="E26" i="23"/>
  <c r="J25" i="20"/>
  <c r="E25" i="23" s="1"/>
  <c r="J24" i="20"/>
  <c r="E24" i="23"/>
  <c r="J23" i="20"/>
  <c r="E23" i="23" s="1"/>
  <c r="J22" i="20"/>
  <c r="E22" i="23" s="1"/>
  <c r="J21" i="20"/>
  <c r="E21" i="23" s="1"/>
  <c r="J20" i="20"/>
  <c r="E20" i="23" s="1"/>
  <c r="J19" i="20"/>
  <c r="E19" i="23" s="1"/>
  <c r="J18" i="20"/>
  <c r="E18" i="23" s="1"/>
  <c r="J15" i="20"/>
  <c r="E15" i="23" s="1"/>
  <c r="J14" i="20"/>
  <c r="E14" i="23" s="1"/>
  <c r="J10" i="20"/>
  <c r="E10" i="23" s="1"/>
  <c r="J9" i="20"/>
  <c r="E9" i="23" s="1"/>
  <c r="E19" i="10"/>
  <c r="G11" i="10" s="1"/>
  <c r="K11" i="10" s="1"/>
  <c r="G14" i="11"/>
  <c r="J17" i="20"/>
  <c r="E17" i="23" s="1"/>
  <c r="L175" i="20"/>
  <c r="L15" i="20"/>
  <c r="K15" i="23" s="1"/>
  <c r="L187" i="20"/>
  <c r="L243" i="20"/>
  <c r="L103" i="20"/>
  <c r="L295" i="20"/>
  <c r="L21" i="20"/>
  <c r="K21" i="23" s="1"/>
  <c r="L115" i="20"/>
  <c r="L20" i="20"/>
  <c r="K20" i="23" s="1"/>
  <c r="L291" i="20"/>
  <c r="L230" i="20"/>
  <c r="L123" i="20"/>
  <c r="E32" i="23"/>
  <c r="E56" i="23" l="1"/>
  <c r="E57" i="23" s="1"/>
  <c r="J12" i="20"/>
  <c r="E12" i="23" s="1"/>
  <c r="L41" i="20"/>
  <c r="K41" i="23" s="1"/>
  <c r="K16" i="20"/>
  <c r="E309" i="20"/>
  <c r="L44" i="20"/>
  <c r="K44" i="23" s="1"/>
  <c r="G26" i="11"/>
  <c r="L42" i="20"/>
  <c r="K42" i="23" s="1"/>
  <c r="F309" i="20"/>
  <c r="L43" i="20"/>
  <c r="K43" i="23" s="1"/>
  <c r="G16" i="11"/>
  <c r="G18" i="11" s="1"/>
  <c r="G20" i="11" s="1"/>
  <c r="G13" i="10"/>
  <c r="K13" i="10" s="1"/>
  <c r="G15" i="10"/>
  <c r="K15" i="10" s="1"/>
  <c r="F5" i="3"/>
  <c r="D5" i="3"/>
  <c r="B11" i="3"/>
  <c r="B14" i="3" s="1"/>
  <c r="L296" i="20"/>
  <c r="L135" i="20"/>
  <c r="L163" i="20"/>
  <c r="L143" i="20"/>
  <c r="L24" i="20"/>
  <c r="K24" i="23" s="1"/>
  <c r="L16" i="20"/>
  <c r="K16" i="23" s="1"/>
  <c r="L32" i="20"/>
  <c r="K32" i="23" s="1"/>
  <c r="L251" i="20"/>
  <c r="L235" i="20"/>
  <c r="L183" i="20"/>
  <c r="L25" i="20"/>
  <c r="K25" i="23" s="1"/>
  <c r="L199" i="20"/>
  <c r="L231" i="20"/>
  <c r="L104" i="20"/>
  <c r="L59" i="20"/>
  <c r="L271" i="20"/>
  <c r="L147" i="20"/>
  <c r="L255" i="20"/>
  <c r="L247" i="20"/>
  <c r="L239" i="20"/>
  <c r="L206" i="20"/>
  <c r="L72" i="20"/>
  <c r="L171" i="20"/>
  <c r="L23" i="20"/>
  <c r="K23" i="23" s="1"/>
  <c r="L67" i="20"/>
  <c r="L68" i="20"/>
  <c r="L304" i="20"/>
  <c r="L221" i="20"/>
  <c r="L75" i="20"/>
  <c r="L107" i="20"/>
  <c r="L279" i="20"/>
  <c r="L111" i="20"/>
  <c r="L78" i="20"/>
  <c r="L207" i="20"/>
  <c r="L91" i="20"/>
  <c r="L131" i="20"/>
  <c r="L9" i="20"/>
  <c r="K9" i="23" s="1"/>
  <c r="L139" i="20"/>
  <c r="L155" i="20"/>
  <c r="L87" i="20"/>
  <c r="L219" i="20"/>
  <c r="L166" i="20"/>
  <c r="L306" i="20"/>
  <c r="L259" i="20"/>
  <c r="L19" i="20"/>
  <c r="K19" i="23" s="1"/>
  <c r="L179" i="20"/>
  <c r="L168" i="20"/>
  <c r="L71" i="20"/>
  <c r="L13" i="20"/>
  <c r="K13" i="23" s="1"/>
  <c r="L99" i="20"/>
  <c r="L263" i="20"/>
  <c r="K17" i="23"/>
  <c r="L203" i="20"/>
  <c r="L308" i="20"/>
  <c r="L119" i="20"/>
  <c r="L29" i="20"/>
  <c r="K29" i="23" s="1"/>
  <c r="L88" i="20"/>
  <c r="L299" i="20"/>
  <c r="L260" i="20"/>
  <c r="L303" i="20"/>
  <c r="L159" i="20"/>
  <c r="L63" i="20"/>
  <c r="L167" i="20"/>
  <c r="L218" i="20"/>
  <c r="L14" i="20"/>
  <c r="K14" i="23" s="1"/>
  <c r="L211" i="20"/>
  <c r="L127" i="20"/>
  <c r="L18" i="20"/>
  <c r="K18" i="23" s="1"/>
  <c r="L223" i="20"/>
  <c r="L275" i="20"/>
  <c r="L22" i="20"/>
  <c r="K22" i="23" s="1"/>
  <c r="L26" i="20"/>
  <c r="K26" i="23" s="1"/>
  <c r="L288" i="20"/>
  <c r="L287" i="20"/>
  <c r="L95" i="20"/>
  <c r="L307" i="20"/>
  <c r="L267" i="20"/>
  <c r="L300" i="20"/>
  <c r="L65" i="20"/>
  <c r="L28" i="20"/>
  <c r="K28" i="23" s="1"/>
  <c r="L283" i="20"/>
  <c r="L79" i="20"/>
  <c r="L282" i="20"/>
  <c r="L261" i="20"/>
  <c r="L258" i="20"/>
  <c r="L293" i="20"/>
  <c r="L289" i="20"/>
  <c r="L286" i="20"/>
  <c r="L272" i="20"/>
  <c r="L264" i="20"/>
  <c r="L195" i="20"/>
  <c r="L278" i="20"/>
  <c r="L237" i="20"/>
  <c r="L234" i="20"/>
  <c r="L98" i="20"/>
  <c r="L284" i="20"/>
  <c r="L281" i="20"/>
  <c r="L252" i="20"/>
  <c r="L248" i="20"/>
  <c r="L240" i="20"/>
  <c r="L161" i="20"/>
  <c r="L117" i="20"/>
  <c r="H6" i="3"/>
  <c r="E34" i="23"/>
  <c r="E38" i="23"/>
  <c r="E36" i="23"/>
  <c r="I309" i="20"/>
  <c r="L209" i="20"/>
  <c r="L202" i="20"/>
  <c r="L160" i="20"/>
  <c r="L124" i="20"/>
  <c r="L116" i="20"/>
  <c r="L100" i="20"/>
  <c r="L97" i="20"/>
  <c r="L93" i="20"/>
  <c r="L90" i="20"/>
  <c r="L86" i="20"/>
  <c r="L36" i="20"/>
  <c r="K36" i="23" s="1"/>
  <c r="G309" i="20"/>
  <c r="C309" i="20"/>
  <c r="J7" i="20"/>
  <c r="K7" i="20"/>
  <c r="L7" i="20" s="1"/>
  <c r="L216" i="20"/>
  <c r="L185" i="20"/>
  <c r="L182" i="20"/>
  <c r="L178" i="20"/>
  <c r="L144" i="20"/>
  <c r="L141" i="20"/>
  <c r="L137" i="20"/>
  <c r="L134" i="20"/>
  <c r="L35" i="20"/>
  <c r="K35" i="23" s="1"/>
  <c r="L31" i="20"/>
  <c r="K31" i="23" s="1"/>
  <c r="L27" i="20"/>
  <c r="K27" i="23" s="1"/>
  <c r="G17" i="10"/>
  <c r="L30" i="20"/>
  <c r="K30" i="23" s="1"/>
  <c r="L38" i="20"/>
  <c r="K38" i="23" s="1"/>
  <c r="L60" i="20"/>
  <c r="L62" i="20"/>
  <c r="L77" i="20"/>
  <c r="L80" i="20"/>
  <c r="L82" i="20"/>
  <c r="L92" i="20"/>
  <c r="L94" i="20"/>
  <c r="L101" i="20"/>
  <c r="L106" i="20"/>
  <c r="L113" i="20"/>
  <c r="L120" i="20"/>
  <c r="L122" i="20"/>
  <c r="L129" i="20"/>
  <c r="L136" i="20"/>
  <c r="L138" i="20"/>
  <c r="L145" i="20"/>
  <c r="L157" i="20"/>
  <c r="L164" i="20"/>
  <c r="L177" i="20"/>
  <c r="L184" i="20"/>
  <c r="L186" i="20"/>
  <c r="L189" i="20"/>
  <c r="L196" i="20"/>
  <c r="L198" i="20"/>
  <c r="L205" i="20"/>
  <c r="L208" i="20"/>
  <c r="L210" i="20"/>
  <c r="L213" i="20"/>
  <c r="L224" i="20"/>
  <c r="L226" i="20"/>
  <c r="L66" i="20"/>
  <c r="L114" i="20"/>
  <c r="L121" i="20"/>
  <c r="L128" i="20"/>
  <c r="L158" i="20"/>
  <c r="L165" i="20"/>
  <c r="L176" i="20"/>
  <c r="L244" i="20"/>
  <c r="L246" i="20"/>
  <c r="L268" i="20"/>
  <c r="L270" i="20"/>
  <c r="L285" i="20"/>
  <c r="L290" i="20"/>
  <c r="L81" i="20"/>
  <c r="L102" i="20"/>
  <c r="L105" i="20"/>
  <c r="L112" i="20"/>
  <c r="L156" i="20"/>
  <c r="L190" i="20"/>
  <c r="L197" i="20"/>
  <c r="L204" i="20"/>
  <c r="L214" i="20"/>
  <c r="L225" i="20"/>
  <c r="L236" i="20"/>
  <c r="L238" i="20"/>
  <c r="L257" i="20"/>
  <c r="L262" i="20"/>
  <c r="L277" i="20"/>
  <c r="L297" i="20"/>
  <c r="L302" i="20"/>
  <c r="K10" i="20"/>
  <c r="L10" i="20" s="1"/>
  <c r="K10" i="23" s="1"/>
  <c r="L301" i="20"/>
  <c r="L298" i="20"/>
  <c r="L292" i="20"/>
  <c r="L276" i="20"/>
  <c r="L273" i="20"/>
  <c r="L269" i="20"/>
  <c r="L256" i="20"/>
  <c r="L253" i="20"/>
  <c r="L249" i="20"/>
  <c r="L245" i="20"/>
  <c r="L192" i="20"/>
  <c r="L181" i="20"/>
  <c r="L154" i="20"/>
  <c r="L146" i="20"/>
  <c r="L140" i="20"/>
  <c r="L133" i="20"/>
  <c r="L110" i="20"/>
  <c r="L76" i="20"/>
  <c r="L73" i="20"/>
  <c r="L69" i="20"/>
  <c r="L61" i="20"/>
  <c r="L58" i="20"/>
  <c r="L280" i="20"/>
  <c r="L266" i="20"/>
  <c r="L242" i="20"/>
  <c r="L233" i="20"/>
  <c r="L229" i="20"/>
  <c r="L222" i="20"/>
  <c r="L201" i="20"/>
  <c r="L194" i="20"/>
  <c r="L180" i="20"/>
  <c r="L174" i="20"/>
  <c r="L170" i="20"/>
  <c r="L153" i="20"/>
  <c r="L149" i="20"/>
  <c r="L132" i="20"/>
  <c r="L126" i="20"/>
  <c r="L109" i="20"/>
  <c r="L96" i="20"/>
  <c r="L89" i="20"/>
  <c r="L85" i="20"/>
  <c r="L64" i="20"/>
  <c r="L57" i="20"/>
  <c r="K34" i="23"/>
  <c r="K11" i="20"/>
  <c r="L11" i="20" s="1"/>
  <c r="K11" i="23" s="1"/>
  <c r="J11" i="20"/>
  <c r="E11" i="23" s="1"/>
  <c r="L305" i="20"/>
  <c r="L294" i="20"/>
  <c r="L274" i="20"/>
  <c r="L265" i="20"/>
  <c r="L254" i="20"/>
  <c r="L241" i="20"/>
  <c r="L232" i="20"/>
  <c r="L228" i="20"/>
  <c r="L217" i="20"/>
  <c r="L200" i="20"/>
  <c r="L193" i="20"/>
  <c r="L173" i="20"/>
  <c r="L169" i="20"/>
  <c r="L162" i="20"/>
  <c r="L152" i="20"/>
  <c r="L148" i="20"/>
  <c r="L142" i="20"/>
  <c r="L125" i="20"/>
  <c r="L118" i="20"/>
  <c r="L108" i="20"/>
  <c r="L84" i="20"/>
  <c r="L74" i="20"/>
  <c r="L70" i="20"/>
  <c r="L33" i="20"/>
  <c r="K33" i="23" s="1"/>
  <c r="K8" i="20"/>
  <c r="F11" i="3" l="1"/>
  <c r="F14" i="3" s="1"/>
  <c r="K5" i="3" s="1"/>
  <c r="H5" i="3"/>
  <c r="L8" i="20"/>
  <c r="K8" i="23" s="1"/>
  <c r="J309" i="20"/>
  <c r="M11" i="10"/>
  <c r="O11" i="10" s="1"/>
  <c r="M13" i="10"/>
  <c r="O13" i="10" s="1"/>
  <c r="M15" i="10"/>
  <c r="O15" i="10" s="1"/>
  <c r="D10" i="3"/>
  <c r="H10" i="3"/>
  <c r="K17" i="10"/>
  <c r="G19" i="10"/>
  <c r="D9" i="3"/>
  <c r="H9" i="3"/>
  <c r="L8" i="23" l="1"/>
  <c r="L9" i="23" s="1"/>
  <c r="L10" i="23" s="1"/>
  <c r="L11" i="23" s="1"/>
  <c r="L12" i="23" s="1"/>
  <c r="L13" i="23" s="1"/>
  <c r="L14" i="23" s="1"/>
  <c r="L15" i="23" s="1"/>
  <c r="L16" i="23" s="1"/>
  <c r="L17" i="23" s="1"/>
  <c r="L18" i="23" s="1"/>
  <c r="L19" i="23" s="1"/>
  <c r="L20" i="23" s="1"/>
  <c r="L21" i="23" s="1"/>
  <c r="L22" i="23" s="1"/>
  <c r="L23" i="23" s="1"/>
  <c r="L24" i="23" s="1"/>
  <c r="L25" i="23" s="1"/>
  <c r="L26" i="23" s="1"/>
  <c r="L27" i="23" s="1"/>
  <c r="L28" i="23" s="1"/>
  <c r="L29" i="23" s="1"/>
  <c r="L30" i="23" s="1"/>
  <c r="L31" i="23" s="1"/>
  <c r="L32" i="23" s="1"/>
  <c r="L33" i="23" s="1"/>
  <c r="L34" i="23" s="1"/>
  <c r="L35" i="23" s="1"/>
  <c r="L36" i="23" s="1"/>
  <c r="L37" i="23" s="1"/>
  <c r="L38" i="23" s="1"/>
  <c r="L39" i="23" s="1"/>
  <c r="L40" i="23" s="1"/>
  <c r="G22" i="11"/>
  <c r="G24" i="11" s="1"/>
  <c r="M17" i="10" s="1"/>
  <c r="O17" i="10" s="1"/>
  <c r="D8" i="3"/>
  <c r="C11" i="3"/>
  <c r="K19" i="10"/>
  <c r="L41" i="23" l="1"/>
  <c r="L42" i="23" s="1"/>
  <c r="L43" i="23" s="1"/>
  <c r="L44" i="23" s="1"/>
  <c r="L46" i="23" s="1"/>
  <c r="L47" i="23" s="1"/>
  <c r="L48" i="23" s="1"/>
  <c r="L49" i="23" s="1"/>
  <c r="L50" i="23" s="1"/>
  <c r="L51" i="23" s="1"/>
  <c r="L52" i="23" s="1"/>
  <c r="L53" i="23" s="1"/>
  <c r="L54" i="23" s="1"/>
  <c r="L55" i="23" s="1"/>
  <c r="L56" i="23" s="1"/>
  <c r="C3" i="23"/>
  <c r="F8" i="23" s="1"/>
  <c r="H8" i="3"/>
  <c r="G11" i="3"/>
  <c r="K6" i="3" s="1"/>
  <c r="K7" i="3" s="1"/>
  <c r="D11" i="3"/>
  <c r="D14" i="3" s="1"/>
  <c r="C14" i="3"/>
  <c r="N8" i="23" l="1"/>
  <c r="H8" i="23"/>
  <c r="M8" i="23"/>
  <c r="G14" i="3"/>
  <c r="H11" i="3"/>
  <c r="H14" i="3" s="1"/>
  <c r="C9" i="23" l="1"/>
  <c r="F9" i="23"/>
  <c r="I8" i="23"/>
  <c r="N9" i="23" l="1"/>
  <c r="H9" i="23"/>
  <c r="I9" i="23" s="1"/>
  <c r="M9" i="23"/>
  <c r="C10" i="23" l="1"/>
  <c r="F10" i="23"/>
  <c r="M10" i="23" l="1"/>
  <c r="C11" i="23" s="1"/>
  <c r="N10" i="23"/>
  <c r="H10" i="23"/>
  <c r="F11" i="23" l="1"/>
  <c r="N11" i="23" s="1"/>
  <c r="I10" i="23"/>
  <c r="M11" i="23" l="1"/>
  <c r="F12" i="23" s="1"/>
  <c r="H11" i="23"/>
  <c r="I11" i="23" s="1"/>
  <c r="C12" i="23" l="1"/>
  <c r="M12" i="23" s="1"/>
  <c r="C13" i="23" s="1"/>
  <c r="M13" i="23" s="1"/>
  <c r="C14" i="23" s="1"/>
  <c r="H12" i="23"/>
  <c r="N12" i="23"/>
  <c r="F14" i="23" l="1"/>
  <c r="N14" i="23" s="1"/>
  <c r="I12" i="23"/>
  <c r="I13" i="23" s="1"/>
  <c r="M14" i="23" l="1"/>
  <c r="C15" i="23" s="1"/>
  <c r="H14" i="23"/>
  <c r="I14" i="23" s="1"/>
  <c r="F15" i="23" l="1"/>
  <c r="M15" i="23" s="1"/>
  <c r="C16" i="23" l="1"/>
  <c r="F16" i="23"/>
  <c r="N16" i="23" s="1"/>
  <c r="N15" i="23"/>
  <c r="H15" i="23"/>
  <c r="I15" i="23" s="1"/>
  <c r="H16" i="23" l="1"/>
  <c r="I16" i="23" s="1"/>
  <c r="M16" i="23"/>
  <c r="C17" i="23" s="1"/>
  <c r="F17" i="23" l="1"/>
  <c r="N17" i="23" s="1"/>
  <c r="M17" i="23" l="1"/>
  <c r="C18" i="23" s="1"/>
  <c r="H17" i="23"/>
  <c r="I17" i="23" s="1"/>
  <c r="F18" i="23" l="1"/>
  <c r="N18" i="23" s="1"/>
  <c r="H18" i="23" l="1"/>
  <c r="I18" i="23" s="1"/>
  <c r="M18" i="23"/>
  <c r="F19" i="23" s="1"/>
  <c r="H19" i="23" s="1"/>
  <c r="N19" i="23" l="1"/>
  <c r="C19" i="23"/>
  <c r="M19" i="23" s="1"/>
  <c r="F20" i="23" s="1"/>
  <c r="I19" i="23"/>
  <c r="C20" i="23" l="1"/>
  <c r="M20" i="23" s="1"/>
  <c r="C21" i="23" s="1"/>
  <c r="H20" i="23"/>
  <c r="I20" i="23" s="1"/>
  <c r="N20" i="23"/>
  <c r="F21" i="23" l="1"/>
  <c r="M21" i="23" s="1"/>
  <c r="F22" i="23" s="1"/>
  <c r="N21" i="23" l="1"/>
  <c r="H21" i="23"/>
  <c r="I21" i="23" s="1"/>
  <c r="C22" i="23"/>
  <c r="M22" i="23" s="1"/>
  <c r="C23" i="23" s="1"/>
  <c r="N22" i="23"/>
  <c r="H22" i="23"/>
  <c r="I22" i="23" l="1"/>
  <c r="F23" i="23"/>
  <c r="M23" i="23" s="1"/>
  <c r="N23" i="23" l="1"/>
  <c r="H23" i="23"/>
  <c r="I23" i="23" s="1"/>
  <c r="F24" i="23"/>
  <c r="C24" i="23"/>
  <c r="M24" i="23" l="1"/>
  <c r="C25" i="23" s="1"/>
  <c r="N24" i="23"/>
  <c r="H24" i="23"/>
  <c r="I24" i="23" s="1"/>
  <c r="F25" i="23" l="1"/>
  <c r="N25" i="23" s="1"/>
  <c r="M25" i="23" l="1"/>
  <c r="C26" i="23" s="1"/>
  <c r="H25" i="23"/>
  <c r="I25" i="23" s="1"/>
  <c r="F26" i="23" l="1"/>
  <c r="H26" i="23" s="1"/>
  <c r="I26" i="23" s="1"/>
  <c r="M26" i="23" l="1"/>
  <c r="F27" i="23" s="1"/>
  <c r="N26" i="23"/>
  <c r="C27" i="23" l="1"/>
  <c r="M27" i="23" s="1"/>
  <c r="F28" i="23" s="1"/>
  <c r="H27" i="23"/>
  <c r="I27" i="23" s="1"/>
  <c r="N27" i="23"/>
  <c r="C28" i="23" l="1"/>
  <c r="M28" i="23" s="1"/>
  <c r="F29" i="23" s="1"/>
  <c r="H28" i="23"/>
  <c r="I28" i="23" s="1"/>
  <c r="N28" i="23"/>
  <c r="C29" i="23" l="1"/>
  <c r="M29" i="23" s="1"/>
  <c r="H29" i="23"/>
  <c r="I29" i="23" s="1"/>
  <c r="N29" i="23"/>
  <c r="C30" i="23" l="1"/>
  <c r="F30" i="23"/>
  <c r="H30" i="23" l="1"/>
  <c r="I30" i="23" s="1"/>
  <c r="N30" i="23"/>
  <c r="M30" i="23"/>
  <c r="C31" i="23" l="1"/>
  <c r="F31" i="23"/>
  <c r="N31" i="23" l="1"/>
  <c r="H31" i="23"/>
  <c r="I31" i="23" s="1"/>
  <c r="M31" i="23"/>
  <c r="F32" i="23" l="1"/>
  <c r="C32" i="23"/>
  <c r="M32" i="23" l="1"/>
  <c r="F33" i="23" s="1"/>
  <c r="N32" i="23"/>
  <c r="H32" i="23"/>
  <c r="I32" i="23" s="1"/>
  <c r="C33" i="23" l="1"/>
  <c r="M33" i="23" s="1"/>
  <c r="F34" i="23" s="1"/>
  <c r="N33" i="23"/>
  <c r="H33" i="23"/>
  <c r="I33" i="23" s="1"/>
  <c r="C34" i="23" l="1"/>
  <c r="M34" i="23" s="1"/>
  <c r="C35" i="23" s="1"/>
  <c r="N34" i="23"/>
  <c r="H34" i="23"/>
  <c r="I34" i="23" s="1"/>
  <c r="F35" i="23" l="1"/>
  <c r="M35" i="23" s="1"/>
  <c r="N35" i="23" l="1"/>
  <c r="H35" i="23"/>
  <c r="I35" i="23" s="1"/>
  <c r="C36" i="23"/>
  <c r="F36" i="23"/>
  <c r="N36" i="23" l="1"/>
  <c r="H36" i="23"/>
  <c r="I36" i="23" s="1"/>
  <c r="M36" i="23"/>
  <c r="F37" i="23" l="1"/>
  <c r="C37" i="23"/>
  <c r="M37" i="23" l="1"/>
  <c r="F38" i="23" s="1"/>
  <c r="H38" i="23" s="1"/>
  <c r="N37" i="23"/>
  <c r="H37" i="23"/>
  <c r="I37" i="23" s="1"/>
  <c r="I38" i="23" s="1"/>
  <c r="K19" i="3" l="1"/>
  <c r="I39" i="23"/>
  <c r="C38" i="23"/>
  <c r="M38" i="23" s="1"/>
  <c r="C39" i="23" s="1"/>
  <c r="M39" i="23" s="1"/>
  <c r="N38" i="23"/>
  <c r="K20" i="3" l="1"/>
  <c r="K21" i="3"/>
  <c r="F40" i="23"/>
  <c r="K22" i="3" l="1"/>
  <c r="N40" i="23"/>
  <c r="C40" i="23"/>
  <c r="M40" i="23" s="1"/>
  <c r="F41" i="23" s="1"/>
  <c r="N41" i="23" s="1"/>
  <c r="H40" i="23"/>
  <c r="I40" i="23" l="1"/>
  <c r="C41" i="23"/>
  <c r="M41" i="23" s="1"/>
  <c r="K85" i="26" l="1"/>
  <c r="K81" i="26"/>
  <c r="K11" i="26"/>
  <c r="K15" i="26"/>
  <c r="K19" i="26"/>
  <c r="K23" i="26"/>
  <c r="K27" i="26"/>
  <c r="K31" i="26"/>
  <c r="K35" i="26"/>
  <c r="K91" i="26"/>
  <c r="K99" i="26"/>
  <c r="K107" i="26"/>
  <c r="K115" i="26"/>
  <c r="K129" i="26"/>
  <c r="K205" i="26"/>
  <c r="K189" i="26"/>
  <c r="K173" i="26"/>
  <c r="K202" i="26"/>
  <c r="K186" i="26"/>
  <c r="K170" i="26"/>
  <c r="K157" i="26"/>
  <c r="K153" i="26"/>
  <c r="K149" i="26"/>
  <c r="K145" i="26"/>
  <c r="K141" i="26"/>
  <c r="K137" i="26"/>
  <c r="K191" i="26"/>
  <c r="K175" i="26"/>
  <c r="K159" i="26"/>
  <c r="K180" i="26"/>
  <c r="K130" i="26"/>
  <c r="K131" i="26"/>
  <c r="K84" i="26"/>
  <c r="K78" i="26"/>
  <c r="K74" i="26"/>
  <c r="K70" i="26"/>
  <c r="K66" i="26"/>
  <c r="K62" i="26"/>
  <c r="K58" i="26"/>
  <c r="K54" i="26"/>
  <c r="K50" i="26"/>
  <c r="K46" i="26"/>
  <c r="K42" i="26"/>
  <c r="K38" i="26"/>
  <c r="K184" i="26"/>
  <c r="K136" i="26"/>
  <c r="K92" i="26"/>
  <c r="K100" i="26"/>
  <c r="K108" i="26"/>
  <c r="K116" i="26"/>
  <c r="K133" i="26"/>
  <c r="K57" i="26"/>
  <c r="K49" i="26"/>
  <c r="K41" i="26"/>
  <c r="K37" i="26"/>
  <c r="K132" i="26"/>
  <c r="K83" i="26"/>
  <c r="K102" i="26"/>
  <c r="K110" i="26"/>
  <c r="K114" i="26"/>
  <c r="K12" i="26"/>
  <c r="K16" i="26"/>
  <c r="K20" i="26"/>
  <c r="K24" i="26"/>
  <c r="K28" i="26"/>
  <c r="K32" i="26"/>
  <c r="K36" i="26"/>
  <c r="K93" i="26"/>
  <c r="K101" i="26"/>
  <c r="K109" i="26"/>
  <c r="K117" i="26"/>
  <c r="K201" i="26"/>
  <c r="K185" i="26"/>
  <c r="K169" i="26"/>
  <c r="K198" i="26"/>
  <c r="K182" i="26"/>
  <c r="K166" i="26"/>
  <c r="K156" i="26"/>
  <c r="K152" i="26"/>
  <c r="K148" i="26"/>
  <c r="K144" i="26"/>
  <c r="K140" i="26"/>
  <c r="K203" i="26"/>
  <c r="K187" i="26"/>
  <c r="K171" i="26"/>
  <c r="K204" i="26"/>
  <c r="K172" i="26"/>
  <c r="K126" i="26"/>
  <c r="K127" i="26"/>
  <c r="K82" i="26"/>
  <c r="K77" i="26"/>
  <c r="K73" i="26"/>
  <c r="K69" i="26"/>
  <c r="K65" i="26"/>
  <c r="K61" i="26"/>
  <c r="K53" i="26"/>
  <c r="K45" i="26"/>
  <c r="K176" i="26"/>
  <c r="K94" i="26"/>
  <c r="K118" i="26"/>
  <c r="K13" i="26"/>
  <c r="K17" i="26"/>
  <c r="K21" i="26"/>
  <c r="K25" i="26"/>
  <c r="K29" i="26"/>
  <c r="K33" i="26"/>
  <c r="K87" i="26"/>
  <c r="K95" i="26"/>
  <c r="K103" i="26"/>
  <c r="K111" i="26"/>
  <c r="K119" i="26"/>
  <c r="K197" i="26"/>
  <c r="K181" i="26"/>
  <c r="K165" i="26"/>
  <c r="K194" i="26"/>
  <c r="K178" i="26"/>
  <c r="K162" i="26"/>
  <c r="K155" i="26"/>
  <c r="K151" i="26"/>
  <c r="K147" i="26"/>
  <c r="K143" i="26"/>
  <c r="K139" i="26"/>
  <c r="K199" i="26"/>
  <c r="K183" i="26"/>
  <c r="K167" i="26"/>
  <c r="K196" i="26"/>
  <c r="K164" i="26"/>
  <c r="K122" i="26"/>
  <c r="K123" i="26"/>
  <c r="K80" i="26"/>
  <c r="K76" i="26"/>
  <c r="K72" i="26"/>
  <c r="K68" i="26"/>
  <c r="K64" i="26"/>
  <c r="K60" i="26"/>
  <c r="K56" i="26"/>
  <c r="K52" i="26"/>
  <c r="K48" i="26"/>
  <c r="K44" i="26"/>
  <c r="K40" i="26"/>
  <c r="K200" i="26"/>
  <c r="K168" i="26"/>
  <c r="K128" i="26"/>
  <c r="K88" i="26"/>
  <c r="K96" i="26"/>
  <c r="K104" i="26"/>
  <c r="K112" i="26"/>
  <c r="K120" i="26"/>
  <c r="K43" i="26"/>
  <c r="K160" i="26"/>
  <c r="K90" i="26"/>
  <c r="K106" i="26"/>
  <c r="K125" i="26"/>
  <c r="K10" i="26"/>
  <c r="K14" i="26"/>
  <c r="K18" i="26"/>
  <c r="K22" i="26"/>
  <c r="K26" i="26"/>
  <c r="K30" i="26"/>
  <c r="K34" i="26"/>
  <c r="K89" i="26"/>
  <c r="K97" i="26"/>
  <c r="K105" i="26"/>
  <c r="K113" i="26"/>
  <c r="K121" i="26"/>
  <c r="K206" i="26"/>
  <c r="K193" i="26"/>
  <c r="K177" i="26"/>
  <c r="K161" i="26"/>
  <c r="K190" i="26"/>
  <c r="K174" i="26"/>
  <c r="K158" i="26"/>
  <c r="K154" i="26"/>
  <c r="K150" i="26"/>
  <c r="K146" i="26"/>
  <c r="K142" i="26"/>
  <c r="K138" i="26"/>
  <c r="K195" i="26"/>
  <c r="K179" i="26"/>
  <c r="K163" i="26"/>
  <c r="K188" i="26"/>
  <c r="K134" i="26"/>
  <c r="K135" i="26"/>
  <c r="K86" i="26"/>
  <c r="K79" i="26"/>
  <c r="K75" i="26"/>
  <c r="K71" i="26"/>
  <c r="K67" i="26"/>
  <c r="K63" i="26"/>
  <c r="K59" i="26"/>
  <c r="K55" i="26"/>
  <c r="K51" i="26"/>
  <c r="K47" i="26"/>
  <c r="K39" i="26"/>
  <c r="K192" i="26"/>
  <c r="K124" i="26"/>
  <c r="K98" i="26"/>
  <c r="F42" i="23"/>
  <c r="H41" i="23"/>
  <c r="I41" i="23" l="1"/>
  <c r="N42" i="23"/>
  <c r="C42" i="23"/>
  <c r="M42" i="23" s="1"/>
  <c r="F43" i="23" s="1"/>
  <c r="N43" i="23" s="1"/>
  <c r="H42" i="23"/>
  <c r="I42" i="23" l="1"/>
  <c r="C43" i="23"/>
  <c r="M43" i="23" s="1"/>
  <c r="F44" i="23" s="1"/>
  <c r="H43" i="23" l="1"/>
  <c r="I43" i="23" l="1"/>
  <c r="N44" i="23"/>
  <c r="M44" i="23"/>
  <c r="C45" i="23" l="1"/>
  <c r="H44" i="23"/>
  <c r="M45" i="23" l="1"/>
  <c r="F46" i="23" s="1"/>
  <c r="N45" i="23"/>
  <c r="H45" i="23"/>
  <c r="I44" i="23"/>
  <c r="I45" i="23" l="1"/>
  <c r="C46" i="23"/>
  <c r="N46" i="23" l="1"/>
  <c r="H46" i="23"/>
  <c r="M46" i="23"/>
  <c r="F47" i="23" s="1"/>
  <c r="K24" i="3" l="1"/>
  <c r="K8" i="26" s="1"/>
  <c r="K261" i="26" s="1"/>
  <c r="I46" i="23"/>
  <c r="C47" i="23"/>
  <c r="M47" i="23" l="1"/>
  <c r="F48" i="23" s="1"/>
  <c r="H47" i="23"/>
  <c r="N47" i="23"/>
  <c r="C48" i="23" l="1"/>
  <c r="M48" i="23" s="1"/>
  <c r="I47" i="23"/>
  <c r="H48" i="23"/>
  <c r="I48" i="23" s="1"/>
  <c r="N48" i="23"/>
  <c r="C49" i="23" l="1"/>
  <c r="F49" i="23"/>
  <c r="N49" i="23" s="1"/>
  <c r="H49" i="23"/>
  <c r="I49" i="23" s="1"/>
  <c r="M49" i="23" l="1"/>
  <c r="F50" i="23" l="1"/>
  <c r="C50" i="23"/>
  <c r="M50" i="23" s="1"/>
  <c r="F51" i="23" s="1"/>
  <c r="C51" i="23" l="1"/>
  <c r="N50" i="23"/>
  <c r="H50" i="23"/>
  <c r="I50" i="23" s="1"/>
  <c r="N51" i="23"/>
  <c r="H51" i="23"/>
  <c r="M51" i="23"/>
  <c r="F52" i="23" s="1"/>
  <c r="I51" i="23" l="1"/>
  <c r="C52" i="23"/>
  <c r="H52" i="23" l="1"/>
  <c r="I52" i="23" s="1"/>
  <c r="N52" i="23"/>
  <c r="M52" i="23"/>
  <c r="F53" i="23" s="1"/>
  <c r="C53" i="23" l="1"/>
  <c r="H53" i="23" l="1"/>
  <c r="I53" i="23" s="1"/>
  <c r="N53" i="23"/>
  <c r="M53" i="23"/>
  <c r="F54" i="23" s="1"/>
  <c r="C54" i="23" l="1"/>
  <c r="M54" i="23" s="1"/>
  <c r="F55" i="23" s="1"/>
  <c r="C55" i="23" l="1"/>
  <c r="H54" i="23"/>
  <c r="I54" i="23" s="1"/>
  <c r="N54" i="23"/>
  <c r="N55" i="23" l="1"/>
  <c r="H55" i="23"/>
  <c r="I55" i="23" s="1"/>
  <c r="M55" i="23"/>
  <c r="F56" i="23" s="1"/>
  <c r="C56" i="23" l="1"/>
  <c r="M56" i="23" l="1"/>
  <c r="F57" i="23"/>
  <c r="K9" i="3" s="1"/>
  <c r="K11" i="3" s="1"/>
  <c r="K14" i="3" s="1"/>
  <c r="N56" i="23"/>
  <c r="N57" i="23" s="1"/>
  <c r="H56" i="23"/>
  <c r="K16" i="3" l="1"/>
  <c r="K27" i="3" s="1"/>
  <c r="C5" i="24"/>
  <c r="H57" i="23"/>
  <c r="I56" i="23"/>
  <c r="J8" i="26" l="1"/>
  <c r="L8" i="26" l="1"/>
  <c r="C9" i="26" s="1"/>
  <c r="F9" i="26" l="1"/>
  <c r="H9" i="26" l="1"/>
  <c r="J9" i="26" s="1"/>
  <c r="L9" i="26" s="1"/>
  <c r="C10" i="26" l="1"/>
  <c r="F10" i="26"/>
  <c r="H10" i="26" s="1"/>
  <c r="J10" i="26" s="1"/>
  <c r="L10" i="26" l="1"/>
  <c r="F11" i="26" l="1"/>
  <c r="C11" i="26" l="1"/>
  <c r="H11" i="26"/>
  <c r="J11" i="26" s="1"/>
  <c r="L11" i="26" l="1"/>
  <c r="F12" i="26" s="1"/>
  <c r="C12" i="26" l="1"/>
  <c r="H12" i="26"/>
  <c r="J12" i="26" s="1"/>
  <c r="L12" i="26" l="1"/>
  <c r="F13" i="26" s="1"/>
  <c r="C13" i="26" l="1"/>
  <c r="H13" i="26"/>
  <c r="J13" i="26" s="1"/>
  <c r="L13" i="26" l="1"/>
  <c r="F14" i="26" s="1"/>
  <c r="C14" i="26" l="1"/>
  <c r="H14" i="26"/>
  <c r="J14" i="26" s="1"/>
  <c r="L14" i="26" l="1"/>
  <c r="F15" i="26" s="1"/>
  <c r="C15" i="26" l="1"/>
  <c r="H15" i="26"/>
  <c r="J15" i="26" s="1"/>
  <c r="L15" i="26" l="1"/>
  <c r="F16" i="26" s="1"/>
  <c r="C16" i="26" l="1"/>
  <c r="H16" i="26"/>
  <c r="J16" i="26" s="1"/>
  <c r="L16" i="26" l="1"/>
  <c r="F17" i="26" s="1"/>
  <c r="H17" i="26" l="1"/>
  <c r="J17" i="26" s="1"/>
  <c r="C17" i="26"/>
  <c r="L17" i="26" l="1"/>
  <c r="F18" i="26" s="1"/>
  <c r="H18" i="26" s="1"/>
  <c r="J18" i="26" s="1"/>
  <c r="C18" i="26" l="1"/>
  <c r="L18" i="26" s="1"/>
  <c r="F19" i="26" s="1"/>
  <c r="C19" i="26" l="1"/>
  <c r="H19" i="26"/>
  <c r="J19" i="26" s="1"/>
  <c r="L19" i="26" l="1"/>
  <c r="F20" i="26" s="1"/>
  <c r="C20" i="26" l="1"/>
  <c r="H20" i="26"/>
  <c r="J20" i="26" s="1"/>
  <c r="L20" i="26" l="1"/>
  <c r="F21" i="26" s="1"/>
  <c r="C21" i="26" l="1"/>
  <c r="H21" i="26"/>
  <c r="J21" i="26" s="1"/>
  <c r="L21" i="26" l="1"/>
  <c r="F22" i="26" s="1"/>
  <c r="C22" i="26" l="1"/>
  <c r="H22" i="26"/>
  <c r="J22" i="26" s="1"/>
  <c r="L22" i="26" l="1"/>
  <c r="F23" i="26" s="1"/>
  <c r="C23" i="26" l="1"/>
  <c r="H23" i="26"/>
  <c r="J23" i="26" s="1"/>
  <c r="L23" i="26" l="1"/>
  <c r="F24" i="26" s="1"/>
  <c r="C24" i="26" l="1"/>
  <c r="H24" i="26"/>
  <c r="J24" i="26" s="1"/>
  <c r="L24" i="26" l="1"/>
  <c r="F25" i="26" s="1"/>
  <c r="C25" i="26" l="1"/>
  <c r="H25" i="26"/>
  <c r="J25" i="26" s="1"/>
  <c r="L25" i="26" l="1"/>
  <c r="F26" i="26" s="1"/>
  <c r="C26" i="26" l="1"/>
  <c r="H26" i="26"/>
  <c r="J26" i="26" s="1"/>
  <c r="L26" i="26" l="1"/>
  <c r="F27" i="26" s="1"/>
  <c r="C27" i="26" l="1"/>
  <c r="H27" i="26"/>
  <c r="J27" i="26" s="1"/>
  <c r="L27" i="26" l="1"/>
  <c r="F28" i="26" s="1"/>
  <c r="C28" i="26" l="1"/>
  <c r="H28" i="26"/>
  <c r="J28" i="26" s="1"/>
  <c r="L28" i="26" l="1"/>
  <c r="F29" i="26" s="1"/>
  <c r="C29" i="26" l="1"/>
  <c r="H29" i="26"/>
  <c r="J29" i="26" s="1"/>
  <c r="L29" i="26" l="1"/>
  <c r="F30" i="26" s="1"/>
  <c r="C30" i="26" l="1"/>
  <c r="H30" i="26"/>
  <c r="J30" i="26" s="1"/>
  <c r="L30" i="26" l="1"/>
  <c r="F31" i="26" s="1"/>
  <c r="C31" i="26" l="1"/>
  <c r="H31" i="26"/>
  <c r="J31" i="26" s="1"/>
  <c r="L31" i="26" l="1"/>
  <c r="F32" i="26" s="1"/>
  <c r="C32" i="26" l="1"/>
  <c r="H32" i="26"/>
  <c r="J32" i="26" s="1"/>
  <c r="L32" i="26" l="1"/>
  <c r="F33" i="26" s="1"/>
  <c r="C33" i="26" l="1"/>
  <c r="H33" i="26"/>
  <c r="J33" i="26" s="1"/>
  <c r="L33" i="26" l="1"/>
  <c r="C34" i="26" l="1"/>
  <c r="F34" i="26"/>
  <c r="H34" i="26"/>
  <c r="J34" i="26" s="1"/>
  <c r="L34" i="26" l="1"/>
  <c r="F35" i="26" s="1"/>
  <c r="H35" i="26" s="1"/>
  <c r="J35" i="26" s="1"/>
  <c r="C35" i="26" l="1"/>
  <c r="L35" i="26"/>
  <c r="F36" i="26" s="1"/>
  <c r="C36" i="26" l="1"/>
  <c r="H36" i="26"/>
  <c r="J36" i="26" s="1"/>
  <c r="L36" i="26" l="1"/>
  <c r="F37" i="26" s="1"/>
  <c r="C37" i="26" l="1"/>
  <c r="H37" i="26"/>
  <c r="J37" i="26" s="1"/>
  <c r="L37" i="26" l="1"/>
  <c r="F38" i="26" s="1"/>
  <c r="H38" i="26" l="1"/>
  <c r="J38" i="26" s="1"/>
  <c r="C38" i="26"/>
  <c r="L38" i="26" l="1"/>
  <c r="F39" i="26" s="1"/>
  <c r="H39" i="26" s="1"/>
  <c r="J39" i="26" s="1"/>
  <c r="C39" i="26"/>
  <c r="L39" i="26" l="1"/>
  <c r="F40" i="26" s="1"/>
  <c r="H40" i="26" s="1"/>
  <c r="J40" i="26" s="1"/>
  <c r="C40" i="26" l="1"/>
  <c r="L40" i="26" s="1"/>
  <c r="F41" i="26" s="1"/>
  <c r="H41" i="26" s="1"/>
  <c r="J41" i="26" s="1"/>
  <c r="C41" i="26" l="1"/>
  <c r="L41" i="26" s="1"/>
  <c r="F42" i="26" s="1"/>
  <c r="H42" i="26" l="1"/>
  <c r="J42" i="26" s="1"/>
  <c r="C42" i="26"/>
  <c r="L42" i="26" l="1"/>
  <c r="F43" i="26" s="1"/>
  <c r="H43" i="26" s="1"/>
  <c r="J43" i="26" s="1"/>
  <c r="C43" i="26" l="1"/>
  <c r="L43" i="26" s="1"/>
  <c r="F44" i="26" s="1"/>
  <c r="H44" i="26" s="1"/>
  <c r="J44" i="26" s="1"/>
  <c r="C44" i="26" l="1"/>
  <c r="L44" i="26" s="1"/>
  <c r="F45" i="26" s="1"/>
  <c r="H45" i="26" l="1"/>
  <c r="J45" i="26" s="1"/>
  <c r="C45" i="26"/>
  <c r="L45" i="26" l="1"/>
  <c r="F46" i="26" s="1"/>
  <c r="H46" i="26" s="1"/>
  <c r="J46" i="26" s="1"/>
  <c r="C46" i="26" l="1"/>
  <c r="L46" i="26" s="1"/>
  <c r="F47" i="26" s="1"/>
  <c r="H47" i="26" l="1"/>
  <c r="J47" i="26" s="1"/>
  <c r="C47" i="26"/>
  <c r="L47" i="26" l="1"/>
  <c r="F48" i="26" s="1"/>
  <c r="H48" i="26" s="1"/>
  <c r="J48" i="26" s="1"/>
  <c r="C48" i="26" l="1"/>
  <c r="L48" i="26" s="1"/>
  <c r="F49" i="26" s="1"/>
  <c r="H49" i="26" l="1"/>
  <c r="J49" i="26" s="1"/>
  <c r="C49" i="26"/>
  <c r="L49" i="26" l="1"/>
  <c r="F50" i="26" s="1"/>
  <c r="H50" i="26" s="1"/>
  <c r="J50" i="26" s="1"/>
  <c r="C50" i="26" l="1"/>
  <c r="L50" i="26" s="1"/>
  <c r="F51" i="26" s="1"/>
  <c r="H51" i="26" l="1"/>
  <c r="J51" i="26" s="1"/>
  <c r="C51" i="26"/>
  <c r="L51" i="26" l="1"/>
  <c r="F52" i="26" s="1"/>
  <c r="H52" i="26" s="1"/>
  <c r="J52" i="26" s="1"/>
  <c r="C52" i="26" l="1"/>
  <c r="L52" i="26" s="1"/>
  <c r="F53" i="26" s="1"/>
  <c r="H53" i="26" s="1"/>
  <c r="J53" i="26" s="1"/>
  <c r="C53" i="26" l="1"/>
  <c r="L53" i="26" s="1"/>
  <c r="F54" i="26" l="1"/>
  <c r="H54" i="26" s="1"/>
  <c r="J54" i="26" s="1"/>
  <c r="C54" i="26"/>
  <c r="L54" i="26" l="1"/>
  <c r="F55" i="26" l="1"/>
  <c r="H55" i="26" s="1"/>
  <c r="J55" i="26" s="1"/>
  <c r="C55" i="26"/>
  <c r="L55" i="26" l="1"/>
  <c r="F56" i="26" l="1"/>
  <c r="H56" i="26" s="1"/>
  <c r="J56" i="26" s="1"/>
  <c r="C56" i="26"/>
  <c r="L56" i="26" l="1"/>
  <c r="F57" i="26" l="1"/>
  <c r="H57" i="26" s="1"/>
  <c r="J57" i="26" s="1"/>
  <c r="C57" i="26"/>
  <c r="L57" i="26" l="1"/>
  <c r="F58" i="26" s="1"/>
  <c r="H58" i="26" s="1"/>
  <c r="J58" i="26" s="1"/>
  <c r="C58" i="26" l="1"/>
  <c r="L58" i="26" s="1"/>
  <c r="F59" i="26" l="1"/>
  <c r="H59" i="26" s="1"/>
  <c r="J59" i="26" s="1"/>
  <c r="C59" i="26"/>
  <c r="L59" i="26" l="1"/>
  <c r="F60" i="26" l="1"/>
  <c r="H60" i="26" s="1"/>
  <c r="J60" i="26" s="1"/>
  <c r="C60" i="26"/>
  <c r="L60" i="26" l="1"/>
  <c r="F61" i="26" l="1"/>
  <c r="H61" i="26" s="1"/>
  <c r="J61" i="26" s="1"/>
  <c r="C61" i="26"/>
  <c r="L61" i="26" l="1"/>
  <c r="F62" i="26" s="1"/>
  <c r="H62" i="26" s="1"/>
  <c r="J62" i="26" s="1"/>
  <c r="C62" i="26" l="1"/>
  <c r="L62" i="26"/>
  <c r="F63" i="26" s="1"/>
  <c r="H63" i="26" s="1"/>
  <c r="J63" i="26" s="1"/>
  <c r="C63" i="26" l="1"/>
  <c r="L63" i="26"/>
  <c r="F64" i="26" s="1"/>
  <c r="H64" i="26" s="1"/>
  <c r="J64" i="26" s="1"/>
  <c r="C64" i="26" l="1"/>
  <c r="L64" i="26" s="1"/>
  <c r="F65" i="26" s="1"/>
  <c r="H65" i="26" s="1"/>
  <c r="J65" i="26" s="1"/>
  <c r="C65" i="26" l="1"/>
  <c r="L65" i="26" s="1"/>
  <c r="F66" i="26" l="1"/>
  <c r="H66" i="26" s="1"/>
  <c r="J66" i="26" s="1"/>
  <c r="C66" i="26"/>
  <c r="L66" i="26" l="1"/>
  <c r="C67" i="26" l="1"/>
  <c r="F67" i="26"/>
  <c r="H67" i="26" s="1"/>
  <c r="J67" i="26" s="1"/>
  <c r="L67" i="26" s="1"/>
  <c r="F68" i="26" s="1"/>
  <c r="H68" i="26" s="1"/>
  <c r="J68" i="26" s="1"/>
  <c r="C68" i="26" l="1"/>
  <c r="L68" i="26" s="1"/>
  <c r="F69" i="26" l="1"/>
  <c r="H69" i="26" s="1"/>
  <c r="J69" i="26" s="1"/>
  <c r="C69" i="26"/>
  <c r="L69" i="26" l="1"/>
  <c r="F70" i="26" l="1"/>
  <c r="H70" i="26" s="1"/>
  <c r="J70" i="26" s="1"/>
  <c r="C70" i="26"/>
  <c r="L70" i="26" l="1"/>
  <c r="F71" i="26" s="1"/>
  <c r="H71" i="26" s="1"/>
  <c r="J71" i="26" s="1"/>
  <c r="C71" i="26" l="1"/>
  <c r="L71" i="26" s="1"/>
  <c r="F72" i="26" s="1"/>
  <c r="H72" i="26" s="1"/>
  <c r="J72" i="26" s="1"/>
  <c r="C72" i="26" l="1"/>
  <c r="L72" i="26" s="1"/>
  <c r="F73" i="26" l="1"/>
  <c r="H73" i="26" s="1"/>
  <c r="J73" i="26" s="1"/>
  <c r="C73" i="26"/>
  <c r="L73" i="26" l="1"/>
  <c r="F74" i="26" l="1"/>
  <c r="H74" i="26" s="1"/>
  <c r="J74" i="26" s="1"/>
  <c r="C74" i="26"/>
  <c r="L74" i="26" l="1"/>
  <c r="F75" i="26" l="1"/>
  <c r="H75" i="26" s="1"/>
  <c r="J75" i="26" s="1"/>
  <c r="C75" i="26"/>
  <c r="L75" i="26" l="1"/>
  <c r="F76" i="26" l="1"/>
  <c r="H76" i="26" s="1"/>
  <c r="J76" i="26" s="1"/>
  <c r="C76" i="26"/>
  <c r="L76" i="26" l="1"/>
  <c r="F77" i="26" l="1"/>
  <c r="H77" i="26" s="1"/>
  <c r="J77" i="26" s="1"/>
  <c r="C77" i="26"/>
  <c r="L77" i="26" l="1"/>
  <c r="F78" i="26" s="1"/>
  <c r="H78" i="26" s="1"/>
  <c r="J78" i="26" s="1"/>
  <c r="C78" i="26" l="1"/>
  <c r="L78" i="26" s="1"/>
  <c r="F79" i="26" s="1"/>
  <c r="H79" i="26" s="1"/>
  <c r="J79" i="26" s="1"/>
  <c r="C79" i="26" l="1"/>
  <c r="L79" i="26" s="1"/>
  <c r="F80" i="26" s="1"/>
  <c r="H80" i="26" s="1"/>
  <c r="J80" i="26" s="1"/>
  <c r="C80" i="26" l="1"/>
  <c r="L80" i="26" s="1"/>
  <c r="C81" i="26" s="1"/>
  <c r="F81" i="26" l="1"/>
  <c r="H81" i="26" s="1"/>
  <c r="J81" i="26" s="1"/>
  <c r="L81" i="26" l="1"/>
  <c r="F82" i="26" l="1"/>
  <c r="H82" i="26" s="1"/>
  <c r="J82" i="26" s="1"/>
  <c r="C82" i="26"/>
  <c r="L82" i="26" l="1"/>
  <c r="F83" i="26" l="1"/>
  <c r="H83" i="26" s="1"/>
  <c r="J83" i="26" s="1"/>
  <c r="C83" i="26"/>
  <c r="L83" i="26" l="1"/>
  <c r="F84" i="26" l="1"/>
  <c r="H84" i="26" s="1"/>
  <c r="J84" i="26" s="1"/>
  <c r="C84" i="26"/>
  <c r="L84" i="26" l="1"/>
  <c r="F85" i="26" l="1"/>
  <c r="H85" i="26" s="1"/>
  <c r="J85" i="26" s="1"/>
  <c r="C85" i="26"/>
  <c r="L85" i="26" l="1"/>
  <c r="F86" i="26" s="1"/>
  <c r="H86" i="26" s="1"/>
  <c r="J86" i="26" s="1"/>
  <c r="C86" i="26" l="1"/>
  <c r="L86" i="26" s="1"/>
  <c r="F87" i="26" l="1"/>
  <c r="H87" i="26" s="1"/>
  <c r="J87" i="26" s="1"/>
  <c r="C87" i="26"/>
  <c r="L87" i="26" l="1"/>
  <c r="F88" i="26" s="1"/>
  <c r="H88" i="26" s="1"/>
  <c r="J88" i="26" s="1"/>
  <c r="C88" i="26" l="1"/>
  <c r="L88" i="26" s="1"/>
  <c r="F89" i="26" s="1"/>
  <c r="H89" i="26" s="1"/>
  <c r="J89" i="26" s="1"/>
  <c r="C89" i="26" l="1"/>
  <c r="L89" i="26" s="1"/>
  <c r="F90" i="26" s="1"/>
  <c r="H90" i="26" s="1"/>
  <c r="J90" i="26" s="1"/>
  <c r="C90" i="26" l="1"/>
  <c r="L90" i="26" s="1"/>
  <c r="F91" i="26" s="1"/>
  <c r="H91" i="26" s="1"/>
  <c r="J91" i="26" s="1"/>
  <c r="C91" i="26" l="1"/>
  <c r="L91" i="26" s="1"/>
  <c r="F92" i="26" l="1"/>
  <c r="H92" i="26" s="1"/>
  <c r="J92" i="26" s="1"/>
  <c r="C92" i="26"/>
  <c r="L92" i="26" l="1"/>
  <c r="F93" i="26" l="1"/>
  <c r="H93" i="26" s="1"/>
  <c r="J93" i="26" s="1"/>
  <c r="C93" i="26"/>
  <c r="L93" i="26" l="1"/>
  <c r="F94" i="26" s="1"/>
  <c r="H94" i="26" s="1"/>
  <c r="J94" i="26" s="1"/>
  <c r="C94" i="26" l="1"/>
  <c r="L94" i="26" s="1"/>
  <c r="F95" i="26" l="1"/>
  <c r="H95" i="26" s="1"/>
  <c r="J95" i="26" s="1"/>
  <c r="C95" i="26"/>
  <c r="L95" i="26" l="1"/>
  <c r="F96" i="26" s="1"/>
  <c r="H96" i="26" s="1"/>
  <c r="J96" i="26" s="1"/>
  <c r="C96" i="26" l="1"/>
  <c r="L96" i="26" s="1"/>
  <c r="F97" i="26" l="1"/>
  <c r="H97" i="26" s="1"/>
  <c r="J97" i="26" s="1"/>
  <c r="C97" i="26"/>
  <c r="L97" i="26" l="1"/>
  <c r="F98" i="26" l="1"/>
  <c r="H98" i="26" s="1"/>
  <c r="J98" i="26" s="1"/>
  <c r="C98" i="26"/>
  <c r="L98" i="26" l="1"/>
  <c r="F99" i="26" s="1"/>
  <c r="H99" i="26" s="1"/>
  <c r="J99" i="26" s="1"/>
  <c r="C99" i="26" l="1"/>
  <c r="L99" i="26" s="1"/>
  <c r="F100" i="26" l="1"/>
  <c r="H100" i="26" s="1"/>
  <c r="J100" i="26" s="1"/>
  <c r="C100" i="26"/>
  <c r="L100" i="26" l="1"/>
  <c r="F101" i="26" l="1"/>
  <c r="H101" i="26" s="1"/>
  <c r="J101" i="26" s="1"/>
  <c r="C101" i="26"/>
  <c r="L101" i="26" s="1"/>
  <c r="F102" i="26" l="1"/>
  <c r="H102" i="26" s="1"/>
  <c r="J102" i="26" s="1"/>
  <c r="C102" i="26"/>
  <c r="L102" i="26" s="1"/>
  <c r="F103" i="26" s="1"/>
  <c r="H103" i="26" s="1"/>
  <c r="J103" i="26" s="1"/>
  <c r="C103" i="26" l="1"/>
  <c r="L103" i="26" s="1"/>
  <c r="F104" i="26" s="1"/>
  <c r="C104" i="26"/>
  <c r="H104" i="26"/>
  <c r="J104" i="26" s="1"/>
  <c r="L104" i="26" l="1"/>
  <c r="F105" i="26" s="1"/>
  <c r="C105" i="26" l="1"/>
  <c r="H105" i="26"/>
  <c r="J105" i="26" s="1"/>
  <c r="L105" i="26" l="1"/>
  <c r="F106" i="26" s="1"/>
  <c r="C106" i="26" l="1"/>
  <c r="H106" i="26"/>
  <c r="J106" i="26" s="1"/>
  <c r="L106" i="26" l="1"/>
  <c r="F107" i="26" s="1"/>
  <c r="C107" i="26" l="1"/>
  <c r="H107" i="26"/>
  <c r="J107" i="26" s="1"/>
  <c r="L107" i="26" l="1"/>
  <c r="F108" i="26" s="1"/>
  <c r="C108" i="26" l="1"/>
  <c r="H108" i="26"/>
  <c r="J108" i="26" s="1"/>
  <c r="L108" i="26" l="1"/>
  <c r="F109" i="26" s="1"/>
  <c r="C109" i="26" l="1"/>
  <c r="H109" i="26"/>
  <c r="J109" i="26" s="1"/>
  <c r="L109" i="26" l="1"/>
  <c r="F110" i="26" s="1"/>
  <c r="H110" i="26" s="1"/>
  <c r="J110" i="26" s="1"/>
  <c r="C110" i="26" l="1"/>
  <c r="L110" i="26" s="1"/>
  <c r="F111" i="26" s="1"/>
  <c r="C111" i="26" l="1"/>
  <c r="H111" i="26"/>
  <c r="J111" i="26" s="1"/>
  <c r="L111" i="26" l="1"/>
  <c r="F112" i="26" s="1"/>
  <c r="C112" i="26" l="1"/>
  <c r="H112" i="26"/>
  <c r="J112" i="26" s="1"/>
  <c r="L112" i="26" l="1"/>
  <c r="F113" i="26" s="1"/>
  <c r="H113" i="26" l="1"/>
  <c r="J113" i="26" s="1"/>
  <c r="C113" i="26"/>
  <c r="L113" i="26" l="1"/>
  <c r="F114" i="26" s="1"/>
  <c r="H114" i="26" s="1"/>
  <c r="J114" i="26" s="1"/>
  <c r="C114" i="26" l="1"/>
  <c r="L114" i="26" s="1"/>
  <c r="F115" i="26" s="1"/>
  <c r="H115" i="26" l="1"/>
  <c r="J115" i="26" s="1"/>
  <c r="C115" i="26"/>
  <c r="L115" i="26" l="1"/>
  <c r="F116" i="26" s="1"/>
  <c r="H116" i="26" l="1"/>
  <c r="J116" i="26" s="1"/>
  <c r="C116" i="26"/>
  <c r="L116" i="26" l="1"/>
  <c r="F117" i="26" s="1"/>
  <c r="H117" i="26" s="1"/>
  <c r="J117" i="26" s="1"/>
  <c r="C117" i="26" l="1"/>
  <c r="L117" i="26" s="1"/>
  <c r="F118" i="26" s="1"/>
  <c r="C118" i="26" l="1"/>
  <c r="H118" i="26"/>
  <c r="J118" i="26" s="1"/>
  <c r="L118" i="26" l="1"/>
  <c r="F119" i="26" s="1"/>
  <c r="H119" i="26" l="1"/>
  <c r="J119" i="26" s="1"/>
  <c r="C119" i="26"/>
  <c r="L119" i="26" l="1"/>
  <c r="F120" i="26" s="1"/>
  <c r="C120" i="26" l="1"/>
  <c r="H120" i="26"/>
  <c r="J120" i="26" s="1"/>
  <c r="L120" i="26" l="1"/>
  <c r="F121" i="26" s="1"/>
  <c r="C121" i="26" l="1"/>
  <c r="H121" i="26"/>
  <c r="J121" i="26" s="1"/>
  <c r="L121" i="26" l="1"/>
  <c r="F122" i="26" s="1"/>
  <c r="H122" i="26" l="1"/>
  <c r="J122" i="26" s="1"/>
  <c r="C122" i="26"/>
  <c r="L122" i="26" l="1"/>
  <c r="F123" i="26" s="1"/>
  <c r="H123" i="26" l="1"/>
  <c r="J123" i="26" s="1"/>
  <c r="C123" i="26"/>
  <c r="L123" i="26" l="1"/>
  <c r="F124" i="26" s="1"/>
  <c r="H124" i="26" l="1"/>
  <c r="J124" i="26" s="1"/>
  <c r="C124" i="26"/>
  <c r="L124" i="26" l="1"/>
  <c r="F125" i="26" s="1"/>
  <c r="C125" i="26" l="1"/>
  <c r="H125" i="26"/>
  <c r="J125" i="26" s="1"/>
  <c r="L125" i="26" l="1"/>
  <c r="F126" i="26" s="1"/>
  <c r="C126" i="26" l="1"/>
  <c r="H126" i="26"/>
  <c r="J126" i="26" s="1"/>
  <c r="L126" i="26" l="1"/>
  <c r="F127" i="26" l="1"/>
  <c r="H127" i="26" s="1"/>
  <c r="J127" i="26" s="1"/>
  <c r="C127" i="26"/>
  <c r="L127" i="26" l="1"/>
  <c r="F128" i="26" s="1"/>
  <c r="H128" i="26" s="1"/>
  <c r="J128" i="26" s="1"/>
  <c r="C128" i="26" l="1"/>
  <c r="L128" i="26" s="1"/>
  <c r="F129" i="26" s="1"/>
  <c r="C129" i="26" l="1"/>
  <c r="H129" i="26"/>
  <c r="J129" i="26" s="1"/>
  <c r="L129" i="26" l="1"/>
  <c r="F130" i="26" s="1"/>
  <c r="H130" i="26" l="1"/>
  <c r="J130" i="26" s="1"/>
  <c r="C130" i="26"/>
  <c r="L130" i="26" l="1"/>
  <c r="F131" i="26" s="1"/>
  <c r="H131" i="26" l="1"/>
  <c r="J131" i="26" s="1"/>
  <c r="C131" i="26"/>
  <c r="L131" i="26" l="1"/>
  <c r="F132" i="26" s="1"/>
  <c r="H132" i="26" s="1"/>
  <c r="J132" i="26" s="1"/>
  <c r="C132" i="26" l="1"/>
  <c r="L132" i="26"/>
  <c r="F133" i="26" s="1"/>
  <c r="C133" i="26" l="1"/>
  <c r="H133" i="26"/>
  <c r="J133" i="26" s="1"/>
  <c r="L133" i="26" l="1"/>
  <c r="F134" i="26" s="1"/>
  <c r="C134" i="26" l="1"/>
  <c r="H134" i="26"/>
  <c r="J134" i="26" s="1"/>
  <c r="L134" i="26" l="1"/>
  <c r="F135" i="26" s="1"/>
  <c r="H135" i="26" l="1"/>
  <c r="J135" i="26" s="1"/>
  <c r="C135" i="26"/>
  <c r="L135" i="26" l="1"/>
  <c r="F136" i="26" s="1"/>
  <c r="C136" i="26" l="1"/>
  <c r="H136" i="26"/>
  <c r="J136" i="26" s="1"/>
  <c r="L136" i="26" l="1"/>
  <c r="F137" i="26" s="1"/>
  <c r="C137" i="26" l="1"/>
  <c r="H137" i="26"/>
  <c r="J137" i="26" s="1"/>
  <c r="L137" i="26" l="1"/>
  <c r="F138" i="26" s="1"/>
  <c r="C138" i="26" l="1"/>
  <c r="H138" i="26"/>
  <c r="J138" i="26" s="1"/>
  <c r="L138" i="26" l="1"/>
  <c r="F139" i="26" s="1"/>
  <c r="H139" i="26" s="1"/>
  <c r="J139" i="26" s="1"/>
  <c r="C139" i="26" l="1"/>
  <c r="L139" i="26" s="1"/>
  <c r="F140" i="26" s="1"/>
  <c r="H140" i="26" l="1"/>
  <c r="J140" i="26" s="1"/>
  <c r="C140" i="26"/>
  <c r="L140" i="26" l="1"/>
  <c r="F141" i="26" s="1"/>
  <c r="H141" i="26" l="1"/>
  <c r="J141" i="26" s="1"/>
  <c r="C141" i="26"/>
  <c r="L141" i="26" l="1"/>
  <c r="F142" i="26" s="1"/>
  <c r="H142" i="26" l="1"/>
  <c r="J142" i="26" s="1"/>
  <c r="C142" i="26"/>
  <c r="L142" i="26" l="1"/>
  <c r="F143" i="26" s="1"/>
  <c r="H143" i="26" s="1"/>
  <c r="J143" i="26" s="1"/>
  <c r="C143" i="26" l="1"/>
  <c r="L143" i="26" s="1"/>
  <c r="F144" i="26" s="1"/>
  <c r="C144" i="26" l="1"/>
  <c r="H144" i="26"/>
  <c r="J144" i="26" s="1"/>
  <c r="L144" i="26" l="1"/>
  <c r="F145" i="26" s="1"/>
  <c r="C145" i="26" l="1"/>
  <c r="H145" i="26"/>
  <c r="J145" i="26" s="1"/>
  <c r="L145" i="26" l="1"/>
  <c r="F146" i="26" s="1"/>
  <c r="H146" i="26" l="1"/>
  <c r="J146" i="26" s="1"/>
  <c r="C146" i="26"/>
  <c r="L146" i="26" l="1"/>
  <c r="F147" i="26" s="1"/>
  <c r="H147" i="26" s="1"/>
  <c r="J147" i="26" s="1"/>
  <c r="C147" i="26" l="1"/>
  <c r="L147" i="26" s="1"/>
  <c r="F148" i="26" s="1"/>
  <c r="C148" i="26" l="1"/>
  <c r="H148" i="26"/>
  <c r="J148" i="26" s="1"/>
  <c r="L148" i="26" l="1"/>
  <c r="F149" i="26" s="1"/>
  <c r="C149" i="26" l="1"/>
  <c r="H149" i="26"/>
  <c r="J149" i="26" s="1"/>
  <c r="L149" i="26" l="1"/>
  <c r="F150" i="26" s="1"/>
  <c r="C150" i="26" l="1"/>
  <c r="H150" i="26"/>
  <c r="J150" i="26" s="1"/>
  <c r="L150" i="26" l="1"/>
  <c r="F151" i="26" s="1"/>
  <c r="C151" i="26" l="1"/>
  <c r="H151" i="26"/>
  <c r="J151" i="26" s="1"/>
  <c r="L151" i="26" l="1"/>
  <c r="F152" i="26" s="1"/>
  <c r="H152" i="26" l="1"/>
  <c r="J152" i="26" s="1"/>
  <c r="C152" i="26"/>
  <c r="L152" i="26" l="1"/>
  <c r="F153" i="26" s="1"/>
  <c r="H153" i="26" s="1"/>
  <c r="J153" i="26" s="1"/>
  <c r="C153" i="26" l="1"/>
  <c r="L153" i="26" s="1"/>
  <c r="F154" i="26" s="1"/>
  <c r="C154" i="26" l="1"/>
  <c r="H154" i="26"/>
  <c r="J154" i="26" s="1"/>
  <c r="L154" i="26" l="1"/>
  <c r="F155" i="26" s="1"/>
  <c r="C155" i="26" l="1"/>
  <c r="H155" i="26"/>
  <c r="J155" i="26" s="1"/>
  <c r="L155" i="26" l="1"/>
  <c r="F156" i="26" s="1"/>
  <c r="H156" i="26" l="1"/>
  <c r="J156" i="26" s="1"/>
  <c r="C156" i="26"/>
  <c r="L156" i="26" l="1"/>
  <c r="F157" i="26" s="1"/>
  <c r="H157" i="26" s="1"/>
  <c r="J157" i="26" s="1"/>
  <c r="C157" i="26" l="1"/>
  <c r="L157" i="26" s="1"/>
  <c r="F158" i="26" s="1"/>
  <c r="C158" i="26" l="1"/>
  <c r="H158" i="26"/>
  <c r="J158" i="26" s="1"/>
  <c r="L158" i="26" l="1"/>
  <c r="F159" i="26" s="1"/>
  <c r="C159" i="26" l="1"/>
  <c r="H159" i="26"/>
  <c r="J159" i="26" s="1"/>
  <c r="L159" i="26" l="1"/>
  <c r="F160" i="26" s="1"/>
  <c r="C160" i="26" l="1"/>
  <c r="H160" i="26"/>
  <c r="J160" i="26" s="1"/>
  <c r="L160" i="26" l="1"/>
  <c r="F161" i="26" s="1"/>
  <c r="C161" i="26" l="1"/>
  <c r="H161" i="26"/>
  <c r="J161" i="26" s="1"/>
  <c r="L161" i="26" l="1"/>
  <c r="F162" i="26" s="1"/>
  <c r="C162" i="26" l="1"/>
  <c r="H162" i="26"/>
  <c r="J162" i="26" s="1"/>
  <c r="L162" i="26" l="1"/>
  <c r="F163" i="26" s="1"/>
  <c r="C163" i="26" l="1"/>
  <c r="H163" i="26"/>
  <c r="J163" i="26" s="1"/>
  <c r="L163" i="26" l="1"/>
  <c r="F164" i="26" s="1"/>
  <c r="C164" i="26" l="1"/>
  <c r="H164" i="26"/>
  <c r="J164" i="26" s="1"/>
  <c r="L164" i="26" l="1"/>
  <c r="F165" i="26" s="1"/>
  <c r="H165" i="26" l="1"/>
  <c r="J165" i="26" s="1"/>
  <c r="C165" i="26"/>
  <c r="L165" i="26" l="1"/>
  <c r="F166" i="26" s="1"/>
  <c r="C166" i="26" l="1"/>
  <c r="H166" i="26"/>
  <c r="J166" i="26" s="1"/>
  <c r="L166" i="26" l="1"/>
  <c r="F167" i="26" s="1"/>
  <c r="C167" i="26" l="1"/>
  <c r="H167" i="26"/>
  <c r="J167" i="26" s="1"/>
  <c r="L167" i="26" l="1"/>
  <c r="F168" i="26" s="1"/>
  <c r="C168" i="26" l="1"/>
  <c r="H168" i="26"/>
  <c r="J168" i="26" s="1"/>
  <c r="L168" i="26" l="1"/>
  <c r="F169" i="26" s="1"/>
  <c r="H169" i="26" l="1"/>
  <c r="J169" i="26" s="1"/>
  <c r="C169" i="26"/>
  <c r="L169" i="26" l="1"/>
  <c r="F170" i="26" s="1"/>
  <c r="C170" i="26" l="1"/>
  <c r="H170" i="26"/>
  <c r="J170" i="26" s="1"/>
  <c r="L170" i="26" l="1"/>
  <c r="F171" i="26" s="1"/>
  <c r="C171" i="26" l="1"/>
  <c r="H171" i="26"/>
  <c r="J171" i="26" s="1"/>
  <c r="L171" i="26" l="1"/>
  <c r="F172" i="26" s="1"/>
  <c r="C172" i="26" l="1"/>
  <c r="H172" i="26"/>
  <c r="J172" i="26" s="1"/>
  <c r="L172" i="26" l="1"/>
  <c r="F173" i="26" s="1"/>
  <c r="C173" i="26" l="1"/>
  <c r="H173" i="26"/>
  <c r="J173" i="26" s="1"/>
  <c r="L173" i="26" l="1"/>
  <c r="C174" i="26" l="1"/>
  <c r="F174" i="26"/>
  <c r="H174" i="26" s="1"/>
  <c r="J174" i="26" s="1"/>
  <c r="L174" i="26" s="1"/>
  <c r="F175" i="26" s="1"/>
  <c r="C175" i="26" l="1"/>
  <c r="H175" i="26"/>
  <c r="J175" i="26" s="1"/>
  <c r="L175" i="26" l="1"/>
  <c r="F176" i="26" s="1"/>
  <c r="C176" i="26" l="1"/>
  <c r="H176" i="26"/>
  <c r="J176" i="26" s="1"/>
  <c r="L176" i="26" l="1"/>
  <c r="F177" i="26" s="1"/>
  <c r="C177" i="26" l="1"/>
  <c r="H177" i="26"/>
  <c r="J177" i="26" s="1"/>
  <c r="L177" i="26" l="1"/>
  <c r="F178" i="26" s="1"/>
  <c r="C178" i="26" l="1"/>
  <c r="H178" i="26"/>
  <c r="J178" i="26" s="1"/>
  <c r="L178" i="26" l="1"/>
  <c r="F179" i="26" s="1"/>
  <c r="C179" i="26" l="1"/>
  <c r="H179" i="26"/>
  <c r="J179" i="26" s="1"/>
  <c r="L179" i="26" l="1"/>
  <c r="F180" i="26" s="1"/>
  <c r="C180" i="26" l="1"/>
  <c r="H180" i="26"/>
  <c r="J180" i="26" s="1"/>
  <c r="L180" i="26" l="1"/>
  <c r="F181" i="26" s="1"/>
  <c r="C181" i="26" l="1"/>
  <c r="H181" i="26"/>
  <c r="J181" i="26" s="1"/>
  <c r="L181" i="26" l="1"/>
  <c r="F182" i="26" s="1"/>
  <c r="C182" i="26" l="1"/>
  <c r="H182" i="26"/>
  <c r="J182" i="26" s="1"/>
  <c r="L182" i="26" l="1"/>
  <c r="F183" i="26" s="1"/>
  <c r="C183" i="26" l="1"/>
  <c r="H183" i="26"/>
  <c r="J183" i="26" s="1"/>
  <c r="L183" i="26" l="1"/>
  <c r="F184" i="26" s="1"/>
  <c r="C184" i="26" l="1"/>
  <c r="H184" i="26"/>
  <c r="J184" i="26" s="1"/>
  <c r="L184" i="26" l="1"/>
  <c r="F185" i="26" s="1"/>
  <c r="C185" i="26" l="1"/>
  <c r="H185" i="26"/>
  <c r="J185" i="26" s="1"/>
  <c r="L185" i="26" l="1"/>
  <c r="F186" i="26" s="1"/>
  <c r="C186" i="26" l="1"/>
  <c r="H186" i="26"/>
  <c r="J186" i="26" s="1"/>
  <c r="L186" i="26" l="1"/>
  <c r="F187" i="26" s="1"/>
  <c r="C187" i="26" l="1"/>
  <c r="H187" i="26"/>
  <c r="J187" i="26" s="1"/>
  <c r="L187" i="26" l="1"/>
  <c r="F188" i="26" s="1"/>
  <c r="H188" i="26" s="1"/>
  <c r="J188" i="26" s="1"/>
  <c r="C188" i="26" l="1"/>
  <c r="L188" i="26" s="1"/>
  <c r="F189" i="26" s="1"/>
  <c r="C189" i="26" l="1"/>
  <c r="H189" i="26"/>
  <c r="J189" i="26" s="1"/>
  <c r="L189" i="26" l="1"/>
  <c r="F190" i="26" s="1"/>
  <c r="H190" i="26" s="1"/>
  <c r="J190" i="26" s="1"/>
  <c r="C190" i="26" l="1"/>
  <c r="L190" i="26" s="1"/>
  <c r="F191" i="26" s="1"/>
  <c r="C191" i="26" l="1"/>
  <c r="H191" i="26"/>
  <c r="J191" i="26" s="1"/>
  <c r="L191" i="26" l="1"/>
  <c r="F192" i="26" s="1"/>
  <c r="C192" i="26" l="1"/>
  <c r="H192" i="26"/>
  <c r="J192" i="26" s="1"/>
  <c r="L192" i="26" l="1"/>
  <c r="F193" i="26" s="1"/>
  <c r="C193" i="26" l="1"/>
  <c r="H193" i="26"/>
  <c r="J193" i="26" s="1"/>
  <c r="L193" i="26" l="1"/>
  <c r="F194" i="26" s="1"/>
  <c r="C194" i="26" l="1"/>
  <c r="H194" i="26"/>
  <c r="J194" i="26" s="1"/>
  <c r="L194" i="26" l="1"/>
  <c r="F195" i="26" s="1"/>
  <c r="C195" i="26" l="1"/>
  <c r="H195" i="26"/>
  <c r="J195" i="26" s="1"/>
  <c r="L195" i="26" l="1"/>
  <c r="F196" i="26" s="1"/>
  <c r="C196" i="26" l="1"/>
  <c r="H196" i="26"/>
  <c r="J196" i="26" s="1"/>
  <c r="L196" i="26" l="1"/>
  <c r="F197" i="26" s="1"/>
  <c r="C197" i="26" l="1"/>
  <c r="H197" i="26"/>
  <c r="J197" i="26" s="1"/>
  <c r="L197" i="26" l="1"/>
  <c r="F198" i="26" s="1"/>
  <c r="C198" i="26" l="1"/>
  <c r="H198" i="26"/>
  <c r="J198" i="26" s="1"/>
  <c r="L198" i="26" l="1"/>
  <c r="F199" i="26" s="1"/>
  <c r="C199" i="26" l="1"/>
  <c r="H199" i="26"/>
  <c r="J199" i="26" s="1"/>
  <c r="L199" i="26" l="1"/>
  <c r="F200" i="26" s="1"/>
  <c r="C200" i="26" l="1"/>
  <c r="H200" i="26"/>
  <c r="J200" i="26" s="1"/>
  <c r="L200" i="26" l="1"/>
  <c r="F201" i="26" s="1"/>
  <c r="C201" i="26" l="1"/>
  <c r="H201" i="26"/>
  <c r="J201" i="26" s="1"/>
  <c r="L201" i="26" l="1"/>
  <c r="F202" i="26" s="1"/>
  <c r="H202" i="26" s="1"/>
  <c r="J202" i="26" s="1"/>
  <c r="C202" i="26" l="1"/>
  <c r="L202" i="26" s="1"/>
  <c r="F203" i="26" s="1"/>
  <c r="C203" i="26" l="1"/>
  <c r="H203" i="26"/>
  <c r="J203" i="26" s="1"/>
  <c r="L203" i="26" l="1"/>
  <c r="F204" i="26" s="1"/>
  <c r="C204" i="26" l="1"/>
  <c r="H204" i="26"/>
  <c r="J204" i="26" s="1"/>
  <c r="L204" i="26" l="1"/>
  <c r="F205" i="26" s="1"/>
  <c r="C205" i="26" l="1"/>
  <c r="H205" i="26"/>
  <c r="J205" i="26" s="1"/>
  <c r="L205" i="26" l="1"/>
  <c r="F206" i="26" s="1"/>
  <c r="C206" i="26" l="1"/>
  <c r="H206" i="26"/>
  <c r="J206" i="26" s="1"/>
  <c r="L206" i="26" l="1"/>
  <c r="F207" i="26" s="1"/>
  <c r="C207" i="26" l="1"/>
  <c r="H207" i="26"/>
  <c r="J207" i="26" s="1"/>
  <c r="L207" i="26" l="1"/>
  <c r="C208" i="26" l="1"/>
  <c r="F208" i="26"/>
  <c r="H208" i="26" s="1"/>
  <c r="J208" i="26" s="1"/>
  <c r="L208" i="26" l="1"/>
  <c r="F209" i="26" s="1"/>
  <c r="H209" i="26" s="1"/>
  <c r="J209" i="26" s="1"/>
  <c r="C209" i="26" l="1"/>
  <c r="L209" i="26" s="1"/>
  <c r="F210" i="26" s="1"/>
  <c r="H210" i="26" s="1"/>
  <c r="J210" i="26" s="1"/>
  <c r="C210" i="26" l="1"/>
  <c r="L210" i="26" s="1"/>
  <c r="F211" i="26" s="1"/>
  <c r="H211" i="26" s="1"/>
  <c r="J211" i="26" s="1"/>
  <c r="C211" i="26" l="1"/>
  <c r="L211" i="26" s="1"/>
  <c r="F212" i="26" s="1"/>
  <c r="H212" i="26" s="1"/>
  <c r="J212" i="26" s="1"/>
  <c r="C212" i="26" l="1"/>
  <c r="L212" i="26" s="1"/>
  <c r="F213" i="26" l="1"/>
  <c r="H213" i="26" s="1"/>
  <c r="J213" i="26" s="1"/>
  <c r="C213" i="26"/>
  <c r="L213" i="26" l="1"/>
  <c r="F214" i="26" s="1"/>
  <c r="H214" i="26" s="1"/>
  <c r="J214" i="26" s="1"/>
  <c r="C214" i="26" l="1"/>
  <c r="L214" i="26" s="1"/>
  <c r="F215" i="26" s="1"/>
  <c r="H215" i="26" s="1"/>
  <c r="J215" i="26" s="1"/>
  <c r="C215" i="26" l="1"/>
  <c r="L215" i="26" s="1"/>
  <c r="F216" i="26" s="1"/>
  <c r="C216" i="26" l="1"/>
  <c r="H216" i="26"/>
  <c r="J216" i="26" s="1"/>
  <c r="L216" i="26" l="1"/>
  <c r="F217" i="26" s="1"/>
  <c r="H217" i="26" l="1"/>
  <c r="J217" i="26" s="1"/>
  <c r="C217" i="26"/>
  <c r="L217" i="26" l="1"/>
  <c r="F218" i="26" s="1"/>
  <c r="H218" i="26" l="1"/>
  <c r="J218" i="26" s="1"/>
  <c r="C218" i="26"/>
  <c r="L218" i="26" l="1"/>
  <c r="F219" i="26" s="1"/>
  <c r="C219" i="26" l="1"/>
  <c r="H219" i="26"/>
  <c r="J219" i="26" s="1"/>
  <c r="L219" i="26" l="1"/>
  <c r="F220" i="26" s="1"/>
  <c r="C220" i="26" l="1"/>
  <c r="H220" i="26"/>
  <c r="J220" i="26" s="1"/>
  <c r="L220" i="26" l="1"/>
  <c r="F221" i="26" s="1"/>
  <c r="H221" i="26" l="1"/>
  <c r="J221" i="26" s="1"/>
  <c r="C221" i="26"/>
  <c r="L221" i="26" l="1"/>
  <c r="F222" i="26" s="1"/>
  <c r="H222" i="26" s="1"/>
  <c r="J222" i="26" s="1"/>
  <c r="C222" i="26" l="1"/>
  <c r="L222" i="26" s="1"/>
  <c r="C223" i="26" l="1"/>
  <c r="F223" i="26"/>
  <c r="H223" i="26" s="1"/>
  <c r="J223" i="26" s="1"/>
  <c r="L223" i="26" l="1"/>
  <c r="F224" i="26" s="1"/>
  <c r="H224" i="26" s="1"/>
  <c r="J224" i="26" s="1"/>
  <c r="C224" i="26" l="1"/>
  <c r="L224" i="26"/>
  <c r="F225" i="26" s="1"/>
  <c r="H225" i="26" l="1"/>
  <c r="J225" i="26" s="1"/>
  <c r="C225" i="26"/>
  <c r="L225" i="26" l="1"/>
  <c r="F226" i="26" s="1"/>
  <c r="H226" i="26" s="1"/>
  <c r="J226" i="26" s="1"/>
  <c r="C226" i="26" l="1"/>
  <c r="L226" i="26" s="1"/>
  <c r="F227" i="26" s="1"/>
  <c r="C227" i="26" l="1"/>
  <c r="H227" i="26"/>
  <c r="J227" i="26" s="1"/>
  <c r="L227" i="26" l="1"/>
  <c r="F228" i="26" s="1"/>
  <c r="C228" i="26" l="1"/>
  <c r="H228" i="26"/>
  <c r="J228" i="26" s="1"/>
  <c r="L228" i="26" l="1"/>
  <c r="F229" i="26" s="1"/>
  <c r="H229" i="26" l="1"/>
  <c r="J229" i="26" s="1"/>
  <c r="C229" i="26"/>
  <c r="L229" i="26" l="1"/>
  <c r="F230" i="26" l="1"/>
  <c r="H230" i="26" s="1"/>
  <c r="J230" i="26" s="1"/>
  <c r="C230" i="26"/>
  <c r="L230" i="26" l="1"/>
  <c r="C231" i="26" l="1"/>
  <c r="F231" i="26"/>
  <c r="H231" i="26" s="1"/>
  <c r="J231" i="26" s="1"/>
  <c r="L231" i="26" l="1"/>
  <c r="F232" i="26" l="1"/>
  <c r="H232" i="26" s="1"/>
  <c r="J232" i="26" s="1"/>
  <c r="C232" i="26"/>
  <c r="L232" i="26" l="1"/>
  <c r="F233" i="26" l="1"/>
  <c r="H233" i="26" s="1"/>
  <c r="J233" i="26" s="1"/>
  <c r="C233" i="26"/>
  <c r="L233" i="26" l="1"/>
  <c r="F234" i="26" s="1"/>
  <c r="H234" i="26" s="1"/>
  <c r="J234" i="26" s="1"/>
  <c r="C234" i="26"/>
  <c r="L234" i="26" l="1"/>
  <c r="F235" i="26" l="1"/>
  <c r="H235" i="26" s="1"/>
  <c r="J235" i="26" s="1"/>
  <c r="C235" i="26"/>
  <c r="L235" i="26" l="1"/>
  <c r="F236" i="26" l="1"/>
  <c r="H236" i="26" s="1"/>
  <c r="J236" i="26" s="1"/>
  <c r="C236" i="26"/>
  <c r="L236" i="26" l="1"/>
  <c r="F237" i="26" l="1"/>
  <c r="H237" i="26" s="1"/>
  <c r="J237" i="26" s="1"/>
  <c r="C237" i="26"/>
  <c r="L237" i="26" l="1"/>
  <c r="F238" i="26" l="1"/>
  <c r="H238" i="26" s="1"/>
  <c r="J238" i="26" s="1"/>
  <c r="C238" i="26"/>
  <c r="L238" i="26" l="1"/>
  <c r="C239" i="26" l="1"/>
  <c r="F239" i="26"/>
  <c r="H239" i="26" s="1"/>
  <c r="J239" i="26" s="1"/>
  <c r="L239" i="26" l="1"/>
  <c r="F240" i="26" l="1"/>
  <c r="H240" i="26" s="1"/>
  <c r="J240" i="26" s="1"/>
  <c r="C240" i="26"/>
  <c r="L240" i="26" l="1"/>
  <c r="F241" i="26" l="1"/>
  <c r="H241" i="26" s="1"/>
  <c r="J241" i="26" s="1"/>
  <c r="C241" i="26"/>
  <c r="L241" i="26" l="1"/>
  <c r="F242" i="26" s="1"/>
  <c r="H242" i="26" s="1"/>
  <c r="J242" i="26" s="1"/>
  <c r="C242" i="26" l="1"/>
  <c r="L242" i="26" s="1"/>
  <c r="F243" i="26" l="1"/>
  <c r="H243" i="26" s="1"/>
  <c r="J243" i="26" s="1"/>
  <c r="C243" i="26"/>
  <c r="L243" i="26" l="1"/>
  <c r="F244" i="26" l="1"/>
  <c r="H244" i="26" s="1"/>
  <c r="J244" i="26" s="1"/>
  <c r="C244" i="26"/>
  <c r="L244" i="26" l="1"/>
  <c r="F245" i="26" l="1"/>
  <c r="H245" i="26" s="1"/>
  <c r="J245" i="26" s="1"/>
  <c r="C245" i="26"/>
  <c r="L245" i="26" l="1"/>
  <c r="F246" i="26" l="1"/>
  <c r="H246" i="26" s="1"/>
  <c r="J246" i="26" s="1"/>
  <c r="C246" i="26"/>
  <c r="L246" i="26" l="1"/>
  <c r="F247" i="26" l="1"/>
  <c r="H247" i="26" s="1"/>
  <c r="J247" i="26" s="1"/>
  <c r="C247" i="26"/>
  <c r="L247" i="26" l="1"/>
  <c r="F248" i="26" s="1"/>
  <c r="H248" i="26" s="1"/>
  <c r="J248" i="26" s="1"/>
  <c r="C248" i="26" l="1"/>
  <c r="L248" i="26" s="1"/>
  <c r="F249" i="26" s="1"/>
  <c r="H249" i="26" s="1"/>
  <c r="J249" i="26" s="1"/>
  <c r="C249" i="26" l="1"/>
  <c r="L249" i="26" s="1"/>
  <c r="F250" i="26" l="1"/>
  <c r="H250" i="26" s="1"/>
  <c r="J250" i="26" s="1"/>
  <c r="C250" i="26"/>
  <c r="L250" i="26" l="1"/>
  <c r="C251" i="26" s="1"/>
  <c r="F251" i="26" l="1"/>
  <c r="H251" i="26" s="1"/>
  <c r="J251" i="26" s="1"/>
  <c r="L251" i="26" l="1"/>
  <c r="F252" i="26" l="1"/>
  <c r="H252" i="26" s="1"/>
  <c r="J252" i="26" s="1"/>
  <c r="C252" i="26"/>
  <c r="L252" i="26" l="1"/>
  <c r="F253" i="26" s="1"/>
  <c r="H253" i="26" s="1"/>
  <c r="J253" i="26" s="1"/>
  <c r="C253" i="26" l="1"/>
  <c r="L253" i="26" s="1"/>
  <c r="F254" i="26" l="1"/>
  <c r="H254" i="26" s="1"/>
  <c r="J254" i="26" s="1"/>
  <c r="C254" i="26"/>
  <c r="L254" i="26" s="1"/>
  <c r="C255" i="26" s="1"/>
  <c r="F255" i="26" l="1"/>
  <c r="H255" i="26" s="1"/>
  <c r="J255" i="26" s="1"/>
  <c r="L255" i="26"/>
  <c r="F256" i="26" l="1"/>
  <c r="H256" i="26" s="1"/>
  <c r="J256" i="26" s="1"/>
  <c r="C256" i="26"/>
  <c r="L256" i="26" l="1"/>
  <c r="F257" i="26" s="1"/>
  <c r="H257" i="26" s="1"/>
  <c r="J257" i="26" s="1"/>
  <c r="C257" i="26" l="1"/>
  <c r="L257" i="26" s="1"/>
  <c r="F258" i="26" l="1"/>
  <c r="H258" i="26" s="1"/>
  <c r="J258" i="26" s="1"/>
  <c r="C258" i="26"/>
  <c r="L258" i="26" l="1"/>
  <c r="F259" i="26" s="1"/>
  <c r="C259" i="26" l="1"/>
  <c r="H259" i="26"/>
  <c r="J259" i="26" l="1"/>
  <c r="L259" i="26" s="1"/>
  <c r="F260" i="26" s="1"/>
  <c r="C260" i="26" l="1"/>
  <c r="H260" i="26"/>
  <c r="F261" i="26"/>
  <c r="C6" i="24" s="1"/>
  <c r="C7" i="24" s="1"/>
  <c r="C9" i="24" l="1"/>
  <c r="C10" i="24" s="1"/>
  <c r="J260" i="26"/>
  <c r="J261" i="26" s="1"/>
  <c r="H261" i="26"/>
  <c r="G263" i="26" s="1"/>
  <c r="L260" i="26" l="1"/>
</calcChain>
</file>

<file path=xl/comments1.xml><?xml version="1.0" encoding="utf-8"?>
<comments xmlns="http://schemas.openxmlformats.org/spreadsheetml/2006/main">
  <authors>
    <author>Jennifer Mohler</author>
  </authors>
  <commentList>
    <comment ref="K1" authorId="0" shapeId="0">
      <text>
        <r>
          <rPr>
            <b/>
            <sz val="9"/>
            <color indexed="81"/>
            <rFont val="Tahoma"/>
            <family val="2"/>
          </rPr>
          <t xml:space="preserve">Why do we exclude M&amp;S? </t>
        </r>
        <r>
          <rPr>
            <sz val="9"/>
            <color indexed="81"/>
            <rFont val="Tahoma"/>
            <family val="2"/>
          </rPr>
          <t xml:space="preserve">
No tax basis difference in M&amp;S so we don't need to provide M&amp;S to the tax dept for our ADIT number.
</t>
        </r>
        <r>
          <rPr>
            <b/>
            <sz val="9"/>
            <color indexed="81"/>
            <rFont val="Tahoma"/>
            <family val="2"/>
          </rPr>
          <t>Why do we exclude the coal related NBV of Unit 1?</t>
        </r>
        <r>
          <rPr>
            <sz val="9"/>
            <color indexed="81"/>
            <rFont val="Tahoma"/>
            <family val="2"/>
          </rPr>
          <t xml:space="preserve">
The NBV of Unit 1 is very small so we didn't want to mess with determining the book basis vs. tax basis for this calculation.  We are considering it immaterial to calculate.</t>
        </r>
      </text>
    </comment>
  </commentList>
</comments>
</file>

<file path=xl/sharedStrings.xml><?xml version="1.0" encoding="utf-8"?>
<sst xmlns="http://schemas.openxmlformats.org/spreadsheetml/2006/main" count="213" uniqueCount="164">
  <si>
    <t>Kentucky Power Company</t>
  </si>
  <si>
    <t>Month</t>
  </si>
  <si>
    <t xml:space="preserve"> </t>
  </si>
  <si>
    <t>Unit 1</t>
  </si>
  <si>
    <t>Total</t>
  </si>
  <si>
    <t>Gross-up</t>
  </si>
  <si>
    <t>KENTUCKY POWER COMPANY</t>
  </si>
  <si>
    <t>SECTION V</t>
  </si>
  <si>
    <t>COST OF CAPITAL</t>
  </si>
  <si>
    <t>WORKPAPER S-2</t>
  </si>
  <si>
    <t>PAGE 1 OF 3</t>
  </si>
  <si>
    <t>Reapportioned</t>
  </si>
  <si>
    <t>Annual</t>
  </si>
  <si>
    <t>Weighted</t>
  </si>
  <si>
    <t>Kentucky</t>
  </si>
  <si>
    <t>Percentage</t>
  </si>
  <si>
    <t>Cost</t>
  </si>
  <si>
    <t>Average</t>
  </si>
  <si>
    <t>Line</t>
  </si>
  <si>
    <t>Jurisdictional</t>
  </si>
  <si>
    <t>of</t>
  </si>
  <si>
    <t>No.</t>
  </si>
  <si>
    <t>Description</t>
  </si>
  <si>
    <t>Capital   1/</t>
  </si>
  <si>
    <t>Rate</t>
  </si>
  <si>
    <t>Percent</t>
  </si>
  <si>
    <t>(6) = (4) X (5)</t>
  </si>
  <si>
    <t>Long Term Debt</t>
  </si>
  <si>
    <t>2/</t>
  </si>
  <si>
    <t>Short Term Debt</t>
  </si>
  <si>
    <t>3/</t>
  </si>
  <si>
    <t>Accounts Receivable Financing 4/</t>
  </si>
  <si>
    <t>5/</t>
  </si>
  <si>
    <t>Common Equity</t>
  </si>
  <si>
    <t>6/</t>
  </si>
  <si>
    <t>-------------------</t>
  </si>
  <si>
    <t>==========</t>
  </si>
  <si>
    <t>1/</t>
  </si>
  <si>
    <t>Per workpaper S-3, Pg 2, Ln 16</t>
  </si>
  <si>
    <t>4/</t>
  </si>
  <si>
    <t>13 Month Average Accounts Receivable Balance and 13 Month Average Annual Carrying Cost</t>
  </si>
  <si>
    <t>Per Recommendation of William Avera</t>
  </si>
  <si>
    <t>Computation of the Gross Revenue</t>
  </si>
  <si>
    <t>Conversion Factor</t>
  </si>
  <si>
    <t>PAGE 2 OF 3</t>
  </si>
  <si>
    <t>Line       No.</t>
  </si>
  <si>
    <t>Operating Revenues</t>
  </si>
  <si>
    <t>Less: Uncollectible Accounts Expense   1/</t>
  </si>
  <si>
    <t>KPSC Maintenance Fee</t>
  </si>
  <si>
    <t>---------------------</t>
  </si>
  <si>
    <t>Income Before income Taxes</t>
  </si>
  <si>
    <t>Less: State Income Taxes (L4 X 5.3947%)   2/</t>
  </si>
  <si>
    <t>Income Before Federal Income Taxes</t>
  </si>
  <si>
    <t>Less: Federal income Taxes (L6 X 35.00%)</t>
  </si>
  <si>
    <t>Operating Income Percentage</t>
  </si>
  <si>
    <t>Gross Revenue Conversion Factor (100% / L8)</t>
  </si>
  <si>
    <t>===========</t>
  </si>
  <si>
    <t>Gross Revenue CF Excluding Taxes (100%/ L4)</t>
  </si>
  <si>
    <t>WACC</t>
  </si>
  <si>
    <t>Additions</t>
  </si>
  <si>
    <t>CC</t>
  </si>
  <si>
    <t>Components Subject 
to WACC Return:</t>
  </si>
  <si>
    <t>Totals</t>
  </si>
  <si>
    <t>Monthly</t>
  </si>
  <si>
    <t>Monthly Payment</t>
  </si>
  <si>
    <t>Factor Calc</t>
  </si>
  <si>
    <t>Factor</t>
  </si>
  <si>
    <t>Retirement Costs</t>
  </si>
  <si>
    <t>Monthly WACC Calculation</t>
  </si>
  <si>
    <t>*</t>
  </si>
  <si>
    <t>ADIT Balance</t>
  </si>
  <si>
    <t>Components Subject to WACC Ending Balance</t>
  </si>
  <si>
    <t>Components Subject to WACC Beginning Balance</t>
  </si>
  <si>
    <t>*  Represents the reversal of the original ADIT included in the beginning balance.</t>
  </si>
  <si>
    <t>Actual June 30, 
2015 Balance</t>
  </si>
  <si>
    <t>NBV:  (1823379, 76)</t>
  </si>
  <si>
    <t>ARO Cash Flow (1823380)</t>
  </si>
  <si>
    <t>NBV</t>
  </si>
  <si>
    <t>M&amp;S</t>
  </si>
  <si>
    <t>Net Recovery</t>
  </si>
  <si>
    <t>Jurisdictional Factor</t>
  </si>
  <si>
    <t>Retail</t>
  </si>
  <si>
    <t>Total Company</t>
  </si>
  <si>
    <t>Monthly Revenue</t>
  </si>
  <si>
    <t>Monthly Change in ADIT on RA</t>
  </si>
  <si>
    <t>KY Jurisdictional</t>
  </si>
  <si>
    <t>Note this schedule is updated with Commission orders that impact gross up factors for KY.</t>
  </si>
  <si>
    <t>Note this schedule is updated with Commission orders that impact the WACC and CAP. structure  for KY.</t>
  </si>
  <si>
    <t>Cost after 
6/30/15</t>
  </si>
  <si>
    <t>These are queries after all entries been posted</t>
  </si>
  <si>
    <t>From BS10r Sheet</t>
  </si>
  <si>
    <t>Janet will give</t>
  </si>
  <si>
    <t>us change in NBV</t>
  </si>
  <si>
    <t>of unit 1</t>
  </si>
  <si>
    <t>humphries</t>
  </si>
  <si>
    <t>change in unused M&amp;S</t>
  </si>
  <si>
    <t>coal related assets unit 1</t>
  </si>
  <si>
    <t>Unit 2 O&amp;M (1823518)</t>
  </si>
  <si>
    <t>Unit 1 NBV (101/108)</t>
  </si>
  <si>
    <t>Unusable M&amp;S U2 (1823378)</t>
  </si>
  <si>
    <t>Unusable M&amp;S U1</t>
  </si>
  <si>
    <t>GIVE TO TAX FOR ADIT CALCULATION</t>
  </si>
  <si>
    <t>Change in Retirement Costs</t>
  </si>
  <si>
    <t>Retirement Costs Balance</t>
  </si>
  <si>
    <t>FOR ADIT CALCULATION ONLY - Reg. Asset 
(excluding M&amp;S and U1 NBV)</t>
  </si>
  <si>
    <t>Asbestos Adjustment Entry</t>
  </si>
  <si>
    <t>Net Book Value</t>
  </si>
  <si>
    <t>Cost of Removal</t>
  </si>
  <si>
    <t>Materials &amp; Supplies</t>
  </si>
  <si>
    <t>Asset Retirement Obligation Spent</t>
  </si>
  <si>
    <t>Unit 2 Operational &amp; Maintenance Expense</t>
  </si>
  <si>
    <t>Current Value of Coal Related Materials &amp; Supplies that is no longer usable.  
Regulatory asset is adjusted for inventory movement (transfers, scrap sales and other adjustments)</t>
  </si>
  <si>
    <t>Operational and Maintenance Costs Recoverable through the BSRR</t>
  </si>
  <si>
    <t>In June 2015, this represents the Net Book Value of Unit 2.  In December 2015, we transferred in the Net Book Value of Coal Related Assets for Unit 1.  Unit 1 retired in November 2015.
You will fill in current month activity after Day 5 of close.</t>
  </si>
  <si>
    <t>Cost of Removal is segregated from the NBV to provide visibility to the future cash outflows for the cost of removal.
You will fill in current month activity after Day 5 of close.</t>
  </si>
  <si>
    <t>Actual Coal related Asset Retirement Costs spent to date.
You will fill in current month activity after Day 5 of close.</t>
  </si>
  <si>
    <t>Net Book Value of Unit 1.  This balance was transferred to 1823379 in November 2015 as the Unit retired.
This amount should always be zero starting in November 2015.</t>
  </si>
  <si>
    <t>Current Value of Unit 1 Coal Related Materials &amp; Supplies that is no longer usable.  This balance was transferred to 1823378 in November 2015 as the Unit retired.
This amount should always be zero starting in November 2015.</t>
  </si>
  <si>
    <t>Unit 1 Coal Retirement (November 2015)</t>
  </si>
  <si>
    <t>Unit 1 Coal Retirement (Nov 2015)</t>
  </si>
  <si>
    <t>June 30, 2015 Balance</t>
  </si>
  <si>
    <t>Additions after 6/30/15</t>
  </si>
  <si>
    <t>Plus: Carrying Charges Incurred</t>
  </si>
  <si>
    <t>Less: Revenue collected</t>
  </si>
  <si>
    <t>Cumulative Actuals</t>
  </si>
  <si>
    <t xml:space="preserve"> Beginning Balance</t>
  </si>
  <si>
    <t>Levelized Payment</t>
  </si>
  <si>
    <t>Calculated Change in Reg Asset</t>
  </si>
  <si>
    <t>Ending Balance</t>
  </si>
  <si>
    <t xml:space="preserve">Components Subject to Recovery </t>
  </si>
  <si>
    <t>Amortization of Retirement Costs</t>
  </si>
  <si>
    <t>WACC Carrying Charges</t>
  </si>
  <si>
    <t>Total Costs to Recover</t>
  </si>
  <si>
    <t>Monthly Revenue Payment --&gt; Annual Revenue / 12 months</t>
  </si>
  <si>
    <t>Monthly Change in ADIT on RA at 21%</t>
  </si>
  <si>
    <t>Excess unprotected  ADIT will be amortized over 18 years beg 1/1/2018</t>
  </si>
  <si>
    <t>Beginning Jan 18, 2018</t>
  </si>
  <si>
    <t>Beginning January 2018</t>
  </si>
  <si>
    <t>ADIT</t>
  </si>
  <si>
    <t>Unamortized Excess Unprotected ADIT</t>
  </si>
  <si>
    <t>*Estimated future ADIT calculated as  Regulatory Asset Retirement Costs * 21%, actual ADIT calculated monthly for purpose of over/under</t>
  </si>
  <si>
    <t>Excess Unprotected ADFIT (Difference between 35% and 21%)</t>
  </si>
  <si>
    <t>December 2017 Reg Asset Balance Subject to ADIT</t>
  </si>
  <si>
    <t>Balance Net of Recovery</t>
  </si>
  <si>
    <t>Total Beginning Balance</t>
  </si>
  <si>
    <t>TEST YEAR ENDED 2/28/2017</t>
  </si>
  <si>
    <t>Test Year Twelve Ended 2/28/2017</t>
  </si>
  <si>
    <t>Schedule 3, Column 14, Lines 1, 2, 3 &amp; 4</t>
  </si>
  <si>
    <t>Per workpaper S-3, Pg 1, Ln 15, Col 14</t>
  </si>
  <si>
    <t>Per Commission Order Case No. 2017-00179</t>
  </si>
  <si>
    <t>**Excess Unprotected ADIT is being credited to customers in the Federal Tax Cut Tariff</t>
  </si>
  <si>
    <t>ADIT @ 35%</t>
  </si>
  <si>
    <t>ADIT @ 21%</t>
  </si>
  <si>
    <t>7/1/18-6/30/19</t>
  </si>
  <si>
    <t>July 2019 Estimated ADIT at 21%*</t>
  </si>
  <si>
    <t>Remaining Excess Unprotected ADFIT Balance</t>
  </si>
  <si>
    <t>Remaining Reg Asset to Collect Over 21 Years</t>
  </si>
  <si>
    <t>Annual Revenue --&gt; Total Costs / 21 years</t>
  </si>
  <si>
    <t>as of 6/30/2019</t>
  </si>
  <si>
    <t>Excess Unprotected</t>
  </si>
  <si>
    <t>less Excess Unprotected ADIT returned via TRR Jan 2018 -June 2019</t>
  </si>
  <si>
    <t>Big Sandy Decommissioning Rider (BSDR) 2019 Rate Update Summary</t>
  </si>
  <si>
    <t>Big Sandy Decommissioning Cost Component Summary</t>
  </si>
  <si>
    <t>Less: BSDR collection July 2015 -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</si>
</sst>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#,##0.000_);\(#,##0.000\)"/>
    <numFmt numFmtId="167" formatCode="0.0000%"/>
    <numFmt numFmtId="168" formatCode="0.000000"/>
    <numFmt numFmtId="169" formatCode="0.00000%"/>
    <numFmt numFmtId="170" formatCode="0.000000%"/>
    <numFmt numFmtId="171" formatCode="0.000000_);\(0.000000\)"/>
    <numFmt numFmtId="172" formatCode="_(* #,##0.0_);_(* \(#,##0.0\);&quot;&quot;;_(@_)"/>
    <numFmt numFmtId="173" formatCode="[Blue]#,##0,_);[Red]\(#,##0,\)"/>
    <numFmt numFmtId="174" formatCode="_(* #,##0.000_);_(* \(#,##0.000\);_(* &quot;-&quot;??_);_(@_)"/>
    <numFmt numFmtId="175" formatCode="_(* #,##0.00000_);_(* \(#,##0.00000\);_(* &quot;-&quot;?????_);_(@_)"/>
    <numFmt numFmtId="176" formatCode="[$-409]mmmm\-yy;@"/>
    <numFmt numFmtId="177" formatCode="m/d/yy;@"/>
    <numFmt numFmtId="178" formatCode="_(&quot;$&quot;* #,##0_);_(&quot;$&quot;* \(#,##0\);_(&quot;$&quot;* &quot;-&quot;??_);_(@_)"/>
    <numFmt numFmtId="179" formatCode="0.000%"/>
    <numFmt numFmtId="180" formatCode="0.0000"/>
  </numFmts>
  <fonts count="8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 Unicode MS"/>
      <family val="2"/>
    </font>
    <font>
      <sz val="12"/>
      <name val="Arial MT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 Unicode MS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24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7" fillId="2" borderId="0" applyNumberFormat="0" applyBorder="0" applyAlignment="0" applyProtection="0"/>
    <xf numFmtId="0" fontId="26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7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7" fillId="5" borderId="0" applyNumberFormat="0" applyBorder="0" applyAlignment="0" applyProtection="0"/>
    <xf numFmtId="0" fontId="26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7" fillId="7" borderId="0" applyNumberFormat="0" applyBorder="0" applyAlignment="0" applyProtection="0"/>
    <xf numFmtId="0" fontId="26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7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7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7" fillId="13" borderId="0" applyNumberFormat="0" applyBorder="0" applyAlignment="0" applyProtection="0"/>
    <xf numFmtId="0" fontId="26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7" borderId="0" applyNumberFormat="0" applyBorder="0" applyAlignment="0" applyProtection="0"/>
    <xf numFmtId="0" fontId="26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7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9" fillId="16" borderId="0" applyNumberFormat="0" applyBorder="0" applyAlignment="0" applyProtection="0"/>
    <xf numFmtId="0" fontId="28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7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13" borderId="0" applyNumberFormat="0" applyBorder="0" applyAlignment="0" applyProtection="0"/>
    <xf numFmtId="0" fontId="28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8" borderId="0" applyNumberFormat="0" applyBorder="0" applyAlignment="0" applyProtection="0"/>
    <xf numFmtId="0" fontId="28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7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9" borderId="0" applyNumberFormat="0" applyBorder="0" applyAlignment="0" applyProtection="0"/>
    <xf numFmtId="0" fontId="28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9" fillId="20" borderId="0" applyNumberFormat="0" applyBorder="0" applyAlignment="0" applyProtection="0"/>
    <xf numFmtId="0" fontId="28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7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2" borderId="0" applyNumberFormat="0" applyBorder="0" applyAlignment="0" applyProtection="0"/>
    <xf numFmtId="0" fontId="7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18" borderId="0" applyNumberFormat="0" applyBorder="0" applyAlignment="0" applyProtection="0"/>
    <xf numFmtId="0" fontId="28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7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4" borderId="0" applyNumberFormat="0" applyBorder="0" applyAlignment="0" applyProtection="0"/>
    <xf numFmtId="0" fontId="8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1" fillId="4" borderId="0" applyNumberFormat="0" applyBorder="0" applyAlignment="0" applyProtection="0"/>
    <xf numFmtId="0" fontId="30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3" borderId="1" applyNumberFormat="0" applyAlignment="0" applyProtection="0"/>
    <xf numFmtId="0" fontId="32" fillId="3" borderId="1" applyNumberFormat="0" applyAlignment="0" applyProtection="0"/>
    <xf numFmtId="0" fontId="32" fillId="3" borderId="1" applyNumberFormat="0" applyAlignment="0" applyProtection="0"/>
    <xf numFmtId="0" fontId="32" fillId="3" borderId="1" applyNumberFormat="0" applyAlignment="0" applyProtection="0"/>
    <xf numFmtId="0" fontId="33" fillId="3" borderId="1" applyNumberFormat="0" applyAlignment="0" applyProtection="0"/>
    <xf numFmtId="0" fontId="10" fillId="11" borderId="2" applyNumberFormat="0" applyAlignment="0" applyProtection="0"/>
    <xf numFmtId="0" fontId="34" fillId="11" borderId="2" applyNumberFormat="0" applyAlignment="0" applyProtection="0"/>
    <xf numFmtId="0" fontId="34" fillId="11" borderId="2" applyNumberFormat="0" applyAlignment="0" applyProtection="0"/>
    <xf numFmtId="0" fontId="34" fillId="11" borderId="2" applyNumberFormat="0" applyAlignment="0" applyProtection="0"/>
    <xf numFmtId="0" fontId="35" fillId="26" borderId="2" applyNumberFormat="0" applyAlignment="0" applyProtection="0"/>
    <xf numFmtId="0" fontId="34" fillId="26" borderId="2" applyNumberFormat="0" applyAlignment="0" applyProtection="0"/>
    <xf numFmtId="0" fontId="10" fillId="26" borderId="2" applyNumberFormat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40" fillId="5" borderId="0" applyNumberFormat="0" applyBorder="0" applyAlignment="0" applyProtection="0"/>
    <xf numFmtId="0" fontId="41" fillId="0" borderId="4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3" fillId="0" borderId="3" applyNumberFormat="0" applyFill="0" applyAlignment="0" applyProtection="0"/>
    <xf numFmtId="0" fontId="44" fillId="0" borderId="3" applyNumberFormat="0" applyFill="0" applyAlignment="0" applyProtection="0"/>
    <xf numFmtId="0" fontId="13" fillId="0" borderId="3" applyNumberFormat="0" applyFill="0" applyAlignment="0" applyProtection="0"/>
    <xf numFmtId="0" fontId="45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7" fillId="0" borderId="5" applyNumberFormat="0" applyFill="0" applyAlignment="0" applyProtection="0"/>
    <xf numFmtId="0" fontId="48" fillId="0" borderId="5" applyNumberFormat="0" applyFill="0" applyAlignment="0" applyProtection="0"/>
    <xf numFmtId="0" fontId="14" fillId="0" borderId="5" applyNumberFormat="0" applyFill="0" applyAlignment="0" applyProtection="0"/>
    <xf numFmtId="0" fontId="49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1" fillId="0" borderId="7" applyNumberFormat="0" applyFill="0" applyAlignment="0" applyProtection="0"/>
    <xf numFmtId="0" fontId="52" fillId="0" borderId="7" applyNumberFormat="0" applyFill="0" applyAlignment="0" applyProtection="0"/>
    <xf numFmtId="0" fontId="15" fillId="0" borderId="7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9" borderId="1" applyNumberFormat="0" applyAlignment="0" applyProtection="0"/>
    <xf numFmtId="0" fontId="53" fillId="9" borderId="1" applyNumberFormat="0" applyAlignment="0" applyProtection="0"/>
    <xf numFmtId="0" fontId="53" fillId="9" borderId="1" applyNumberFormat="0" applyAlignment="0" applyProtection="0"/>
    <xf numFmtId="0" fontId="53" fillId="9" borderId="1" applyNumberFormat="0" applyAlignment="0" applyProtection="0"/>
    <xf numFmtId="0" fontId="54" fillId="9" borderId="1" applyNumberFormat="0" applyAlignment="0" applyProtection="0"/>
    <xf numFmtId="41" fontId="55" fillId="0" borderId="0">
      <alignment horizontal="left"/>
    </xf>
    <xf numFmtId="0" fontId="17" fillId="0" borderId="9" applyNumberFormat="0" applyFill="0" applyAlignment="0" applyProtection="0"/>
    <xf numFmtId="0" fontId="56" fillId="0" borderId="9" applyNumberFormat="0" applyFill="0" applyAlignment="0" applyProtection="0"/>
    <xf numFmtId="0" fontId="56" fillId="0" borderId="9" applyNumberFormat="0" applyFill="0" applyAlignment="0" applyProtection="0"/>
    <xf numFmtId="0" fontId="56" fillId="0" borderId="9" applyNumberFormat="0" applyFill="0" applyAlignment="0" applyProtection="0"/>
    <xf numFmtId="0" fontId="57" fillId="0" borderId="9" applyNumberFormat="0" applyFill="0" applyAlignment="0" applyProtection="0"/>
    <xf numFmtId="0" fontId="1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9" fillId="14" borderId="0" applyNumberFormat="0" applyBorder="0" applyAlignment="0" applyProtection="0"/>
    <xf numFmtId="0" fontId="72" fillId="0" borderId="0"/>
    <xf numFmtId="0" fontId="24" fillId="0" borderId="0"/>
    <xf numFmtId="37" fontId="25" fillId="0" borderId="0"/>
    <xf numFmtId="0" fontId="25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0" fontId="2" fillId="0" borderId="0"/>
    <xf numFmtId="0" fontId="71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0" fontId="3" fillId="0" borderId="0"/>
    <xf numFmtId="0" fontId="60" fillId="0" borderId="0"/>
    <xf numFmtId="0" fontId="60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2" fillId="0" borderId="0"/>
    <xf numFmtId="0" fontId="60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3" fillId="0" borderId="0"/>
    <xf numFmtId="0" fontId="2" fillId="0" borderId="0"/>
    <xf numFmtId="0" fontId="6" fillId="0" borderId="0"/>
    <xf numFmtId="0" fontId="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2" fillId="6" borderId="10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43" fontId="53" fillId="0" borderId="0"/>
    <xf numFmtId="173" fontId="61" fillId="0" borderId="0"/>
    <xf numFmtId="0" fontId="19" fillId="3" borderId="11" applyNumberFormat="0" applyAlignment="0" applyProtection="0"/>
    <xf numFmtId="0" fontId="62" fillId="3" borderId="11" applyNumberFormat="0" applyAlignment="0" applyProtection="0"/>
    <xf numFmtId="0" fontId="62" fillId="3" borderId="11" applyNumberFormat="0" applyAlignment="0" applyProtection="0"/>
    <xf numFmtId="0" fontId="62" fillId="3" borderId="11" applyNumberFormat="0" applyAlignment="0" applyProtection="0"/>
    <xf numFmtId="0" fontId="63" fillId="3" borderId="11" applyNumberFormat="0" applyAlignment="0" applyProtection="0"/>
    <xf numFmtId="9" fontId="7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65" fillId="0" borderId="14" applyNumberFormat="0" applyFill="0" applyAlignment="0" applyProtection="0"/>
    <xf numFmtId="0" fontId="65" fillId="0" borderId="14" applyNumberFormat="0" applyFill="0" applyAlignment="0" applyProtection="0"/>
    <xf numFmtId="0" fontId="65" fillId="0" borderId="14" applyNumberFormat="0" applyFill="0" applyAlignment="0" applyProtection="0"/>
    <xf numFmtId="0" fontId="66" fillId="0" borderId="13" applyNumberFormat="0" applyFill="0" applyAlignment="0" applyProtection="0"/>
    <xf numFmtId="0" fontId="65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1" fillId="0" borderId="0"/>
  </cellStyleXfs>
  <cellXfs count="133">
    <xf numFmtId="0" fontId="0" fillId="0" borderId="0" xfId="0"/>
    <xf numFmtId="10" fontId="0" fillId="0" borderId="0" xfId="0" applyNumberFormat="1"/>
    <xf numFmtId="43" fontId="0" fillId="0" borderId="0" xfId="0" applyNumberFormat="1"/>
    <xf numFmtId="49" fontId="0" fillId="0" borderId="0" xfId="0" applyNumberFormat="1"/>
    <xf numFmtId="165" fontId="0" fillId="0" borderId="0" xfId="0" applyNumberFormat="1"/>
    <xf numFmtId="5" fontId="0" fillId="0" borderId="0" xfId="0" applyNumberFormat="1"/>
    <xf numFmtId="37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0" fontId="71" fillId="0" borderId="0" xfId="608" applyNumberFormat="1" applyFont="1"/>
    <xf numFmtId="43" fontId="71" fillId="0" borderId="0" xfId="178" applyFont="1"/>
    <xf numFmtId="175" fontId="0" fillId="0" borderId="0" xfId="0" applyNumberFormat="1"/>
    <xf numFmtId="0" fontId="73" fillId="0" borderId="12" xfId="0" applyFont="1" applyFill="1" applyBorder="1" applyAlignment="1">
      <alignment horizontal="center"/>
    </xf>
    <xf numFmtId="164" fontId="71" fillId="0" borderId="0" xfId="178" applyNumberFormat="1" applyFont="1" applyFill="1" applyAlignment="1">
      <alignment wrapText="1"/>
    </xf>
    <xf numFmtId="176" fontId="0" fillId="0" borderId="0" xfId="0" applyNumberFormat="1" applyFill="1"/>
    <xf numFmtId="14" fontId="0" fillId="0" borderId="0" xfId="0" quotePrefix="1" applyNumberFormat="1" applyFill="1" applyAlignment="1">
      <alignment horizontal="right"/>
    </xf>
    <xf numFmtId="8" fontId="75" fillId="0" borderId="15" xfId="178" applyNumberFormat="1" applyFont="1" applyFill="1" applyBorder="1"/>
    <xf numFmtId="177" fontId="0" fillId="0" borderId="0" xfId="0" applyNumberFormat="1" applyFill="1"/>
    <xf numFmtId="44" fontId="0" fillId="0" borderId="0" xfId="0" applyNumberFormat="1" applyFill="1"/>
    <xf numFmtId="6" fontId="75" fillId="0" borderId="0" xfId="0" applyNumberFormat="1" applyFont="1" applyFill="1"/>
    <xf numFmtId="6" fontId="75" fillId="0" borderId="0" xfId="178" applyNumberFormat="1" applyFont="1" applyFill="1"/>
    <xf numFmtId="43" fontId="71" fillId="0" borderId="15" xfId="178" applyFont="1" applyFill="1" applyBorder="1"/>
    <xf numFmtId="178" fontId="78" fillId="28" borderId="16" xfId="328" applyNumberFormat="1" applyFont="1" applyFill="1" applyBorder="1"/>
    <xf numFmtId="0" fontId="78" fillId="28" borderId="17" xfId="0" applyFont="1" applyFill="1" applyBorder="1"/>
    <xf numFmtId="178" fontId="79" fillId="28" borderId="18" xfId="328" applyNumberFormat="1" applyFont="1" applyFill="1" applyBorder="1"/>
    <xf numFmtId="0" fontId="79" fillId="28" borderId="19" xfId="0" applyFont="1" applyFill="1" applyBorder="1"/>
    <xf numFmtId="178" fontId="78" fillId="28" borderId="20" xfId="328" applyNumberFormat="1" applyFont="1" applyFill="1" applyBorder="1"/>
    <xf numFmtId="0" fontId="78" fillId="28" borderId="21" xfId="0" applyFont="1" applyFill="1" applyBorder="1"/>
    <xf numFmtId="178" fontId="78" fillId="28" borderId="18" xfId="328" applyNumberFormat="1" applyFont="1" applyFill="1" applyBorder="1"/>
    <xf numFmtId="0" fontId="78" fillId="28" borderId="19" xfId="0" applyFont="1" applyFill="1" applyBorder="1"/>
    <xf numFmtId="0" fontId="78" fillId="28" borderId="22" xfId="0" applyFont="1" applyFill="1" applyBorder="1"/>
    <xf numFmtId="0" fontId="78" fillId="28" borderId="23" xfId="0" applyFont="1" applyFill="1" applyBorder="1"/>
    <xf numFmtId="0" fontId="0" fillId="28" borderId="24" xfId="0" applyFill="1" applyBorder="1"/>
    <xf numFmtId="0" fontId="0" fillId="28" borderId="19" xfId="0" applyFill="1" applyBorder="1"/>
    <xf numFmtId="0" fontId="0" fillId="28" borderId="0" xfId="0" applyFill="1"/>
    <xf numFmtId="8" fontId="75" fillId="0" borderId="0" xfId="0" applyNumberFormat="1" applyFont="1" applyFill="1"/>
    <xf numFmtId="0" fontId="0" fillId="0" borderId="0" xfId="0" applyFill="1" applyAlignment="1">
      <alignment horizontal="center"/>
    </xf>
    <xf numFmtId="43" fontId="71" fillId="0" borderId="0" xfId="178" applyFont="1" applyFill="1"/>
    <xf numFmtId="14" fontId="0" fillId="0" borderId="0" xfId="0" applyNumberFormat="1" applyFill="1"/>
    <xf numFmtId="43" fontId="75" fillId="0" borderId="0" xfId="178" applyNumberFormat="1" applyFont="1" applyFill="1"/>
    <xf numFmtId="0" fontId="75" fillId="0" borderId="0" xfId="0" applyFont="1" applyFill="1"/>
    <xf numFmtId="8" fontId="0" fillId="0" borderId="15" xfId="0" applyNumberFormat="1" applyFill="1" applyBorder="1"/>
    <xf numFmtId="43" fontId="0" fillId="0" borderId="15" xfId="0" applyNumberFormat="1" applyFill="1" applyBorder="1"/>
    <xf numFmtId="8" fontId="0" fillId="0" borderId="0" xfId="0" applyNumberFormat="1" applyFill="1"/>
    <xf numFmtId="43" fontId="0" fillId="0" borderId="0" xfId="0" applyNumberFormat="1" applyFill="1"/>
    <xf numFmtId="167" fontId="71" fillId="0" borderId="0" xfId="608" applyNumberFormat="1" applyFont="1" applyFill="1"/>
    <xf numFmtId="0" fontId="76" fillId="0" borderId="0" xfId="0" applyFont="1" applyFill="1"/>
    <xf numFmtId="0" fontId="77" fillId="0" borderId="0" xfId="0" applyFont="1" applyFill="1"/>
    <xf numFmtId="174" fontId="71" fillId="0" borderId="0" xfId="178" applyNumberFormat="1" applyFont="1" applyFill="1" applyAlignment="1">
      <alignment horizontal="center"/>
    </xf>
    <xf numFmtId="167" fontId="71" fillId="0" borderId="0" xfId="608" applyNumberFormat="1" applyFont="1" applyFill="1" applyAlignment="1">
      <alignment horizontal="center"/>
    </xf>
    <xf numFmtId="0" fontId="75" fillId="0" borderId="0" xfId="0" applyFont="1" applyFill="1" applyAlignment="1">
      <alignment horizontal="center"/>
    </xf>
    <xf numFmtId="0" fontId="77" fillId="0" borderId="0" xfId="0" applyFont="1" applyFill="1" applyAlignment="1">
      <alignment horizontal="center" wrapText="1"/>
    </xf>
    <xf numFmtId="43" fontId="75" fillId="0" borderId="0" xfId="0" applyNumberFormat="1" applyFont="1" applyFill="1"/>
    <xf numFmtId="174" fontId="71" fillId="0" borderId="0" xfId="178" applyNumberFormat="1" applyFont="1" applyFill="1"/>
    <xf numFmtId="176" fontId="0" fillId="0" borderId="0" xfId="0" applyNumberFormat="1" applyFill="1" applyBorder="1"/>
    <xf numFmtId="8" fontId="0" fillId="0" borderId="0" xfId="0" applyNumberFormat="1" applyFill="1" applyBorder="1"/>
    <xf numFmtId="43" fontId="71" fillId="0" borderId="0" xfId="178" applyFont="1" applyFill="1" applyBorder="1"/>
    <xf numFmtId="8" fontId="75" fillId="0" borderId="0" xfId="178" applyNumberFormat="1" applyFont="1" applyFill="1" applyBorder="1"/>
    <xf numFmtId="43" fontId="0" fillId="0" borderId="0" xfId="0" applyNumberFormat="1" applyFill="1" applyBorder="1"/>
    <xf numFmtId="43" fontId="75" fillId="0" borderId="0" xfId="178" applyNumberFormat="1" applyFont="1" applyFill="1" applyBorder="1"/>
    <xf numFmtId="0" fontId="0" fillId="0" borderId="0" xfId="0" applyFill="1"/>
    <xf numFmtId="8" fontId="75" fillId="0" borderId="0" xfId="178" applyNumberFormat="1" applyFont="1" applyFill="1"/>
    <xf numFmtId="0" fontId="0" fillId="0" borderId="0" xfId="0" applyFill="1" applyBorder="1"/>
    <xf numFmtId="43" fontId="71" fillId="0" borderId="0" xfId="178" applyNumberFormat="1" applyFont="1" applyFill="1" applyBorder="1"/>
    <xf numFmtId="164" fontId="71" fillId="0" borderId="0" xfId="178" applyNumberFormat="1" applyFont="1" applyFill="1" applyBorder="1"/>
    <xf numFmtId="164" fontId="75" fillId="0" borderId="0" xfId="178" applyNumberFormat="1" applyFont="1" applyFill="1"/>
    <xf numFmtId="6" fontId="0" fillId="0" borderId="0" xfId="0" applyNumberFormat="1" applyFill="1" applyBorder="1"/>
    <xf numFmtId="164" fontId="71" fillId="0" borderId="0" xfId="178" applyNumberFormat="1" applyFont="1" applyFill="1"/>
    <xf numFmtId="6" fontId="0" fillId="0" borderId="0" xfId="0" applyNumberFormat="1" applyFill="1"/>
    <xf numFmtId="0" fontId="73" fillId="0" borderId="0" xfId="0" applyFont="1" applyFill="1" applyAlignment="1">
      <alignment wrapText="1"/>
    </xf>
    <xf numFmtId="164" fontId="71" fillId="0" borderId="15" xfId="178" applyNumberFormat="1" applyFont="1" applyFill="1" applyBorder="1"/>
    <xf numFmtId="0" fontId="74" fillId="0" borderId="0" xfId="0" applyFont="1" applyFill="1" applyAlignment="1">
      <alignment wrapText="1"/>
    </xf>
    <xf numFmtId="164" fontId="0" fillId="0" borderId="0" xfId="0" applyNumberFormat="1" applyFill="1"/>
    <xf numFmtId="179" fontId="0" fillId="0" borderId="0" xfId="0" applyNumberFormat="1"/>
    <xf numFmtId="0" fontId="73" fillId="0" borderId="0" xfId="0" applyFont="1" applyFill="1"/>
    <xf numFmtId="49" fontId="0" fillId="0" borderId="0" xfId="0" applyNumberFormat="1" applyFill="1"/>
    <xf numFmtId="180" fontId="0" fillId="0" borderId="0" xfId="0" applyNumberFormat="1"/>
    <xf numFmtId="5" fontId="76" fillId="0" borderId="0" xfId="0" applyNumberFormat="1" applyFont="1"/>
    <xf numFmtId="37" fontId="76" fillId="0" borderId="0" xfId="0" applyNumberFormat="1" applyFont="1"/>
    <xf numFmtId="0" fontId="0" fillId="0" borderId="0" xfId="0" applyFill="1" applyAlignment="1">
      <alignment wrapText="1"/>
    </xf>
    <xf numFmtId="43" fontId="71" fillId="0" borderId="15" xfId="178" applyNumberFormat="1" applyFont="1" applyFill="1" applyBorder="1"/>
    <xf numFmtId="164" fontId="0" fillId="0" borderId="0" xfId="178" applyNumberFormat="1" applyFont="1" applyFill="1" applyBorder="1"/>
    <xf numFmtId="164" fontId="0" fillId="0" borderId="0" xfId="0" applyNumberFormat="1" applyFill="1" applyBorder="1"/>
    <xf numFmtId="164" fontId="0" fillId="0" borderId="0" xfId="0" quotePrefix="1" applyNumberFormat="1" applyFill="1" applyBorder="1"/>
    <xf numFmtId="43" fontId="0" fillId="0" borderId="0" xfId="178" applyFont="1" applyFill="1" applyBorder="1"/>
    <xf numFmtId="0" fontId="0" fillId="0" borderId="15" xfId="0" applyFill="1" applyBorder="1"/>
    <xf numFmtId="164" fontId="73" fillId="0" borderId="0" xfId="178" applyNumberFormat="1" applyFont="1" applyFill="1" applyBorder="1"/>
    <xf numFmtId="8" fontId="0" fillId="0" borderId="0" xfId="0" applyNumberFormat="1" applyFill="1" applyBorder="1" applyAlignment="1"/>
    <xf numFmtId="164" fontId="73" fillId="0" borderId="0" xfId="0" applyNumberFormat="1" applyFont="1" applyFill="1" applyBorder="1"/>
    <xf numFmtId="0" fontId="76" fillId="0" borderId="0" xfId="0" applyFont="1" applyFill="1" applyAlignment="1"/>
    <xf numFmtId="164" fontId="76" fillId="0" borderId="15" xfId="178" applyNumberFormat="1" applyFont="1" applyFill="1" applyBorder="1"/>
    <xf numFmtId="8" fontId="73" fillId="0" borderId="0" xfId="0" applyNumberFormat="1" applyFont="1" applyFill="1"/>
    <xf numFmtId="164" fontId="77" fillId="0" borderId="0" xfId="178" applyNumberFormat="1" applyFont="1" applyFill="1"/>
    <xf numFmtId="164" fontId="76" fillId="0" borderId="0" xfId="178" applyNumberFormat="1" applyFont="1" applyFill="1"/>
    <xf numFmtId="164" fontId="73" fillId="0" borderId="30" xfId="0" applyNumberFormat="1" applyFont="1" applyFill="1" applyBorder="1"/>
    <xf numFmtId="8" fontId="73" fillId="0" borderId="0" xfId="0" applyNumberFormat="1" applyFont="1" applyFill="1" applyAlignment="1">
      <alignment wrapText="1"/>
    </xf>
    <xf numFmtId="164" fontId="0" fillId="0" borderId="0" xfId="178" applyNumberFormat="1" applyFont="1" applyFill="1"/>
    <xf numFmtId="0" fontId="0" fillId="0" borderId="0" xfId="0" applyFill="1" applyAlignment="1">
      <alignment horizontal="center" wrapText="1"/>
    </xf>
    <xf numFmtId="176" fontId="0" fillId="0" borderId="0" xfId="0" quotePrefix="1" applyNumberFormat="1" applyFill="1"/>
    <xf numFmtId="0" fontId="73" fillId="0" borderId="0" xfId="0" applyFont="1" applyFill="1" applyBorder="1" applyAlignment="1">
      <alignment horizontal="center"/>
    </xf>
    <xf numFmtId="176" fontId="0" fillId="0" borderId="0" xfId="0" applyNumberFormat="1" applyFill="1" applyAlignment="1">
      <alignment horizontal="center"/>
    </xf>
    <xf numFmtId="164" fontId="71" fillId="0" borderId="15" xfId="178" applyNumberFormat="1" applyFont="1" applyFill="1" applyBorder="1" applyAlignment="1">
      <alignment wrapText="1"/>
    </xf>
    <xf numFmtId="164" fontId="77" fillId="0" borderId="15" xfId="178" applyNumberFormat="1" applyFont="1" applyFill="1" applyBorder="1"/>
    <xf numFmtId="0" fontId="0" fillId="0" borderId="0" xfId="0" applyFill="1" applyAlignment="1">
      <alignment horizontal="left"/>
    </xf>
    <xf numFmtId="43" fontId="0" fillId="0" borderId="0" xfId="178" applyFont="1" applyFill="1"/>
    <xf numFmtId="0" fontId="73" fillId="0" borderId="0" xfId="0" applyFont="1" applyFill="1" applyBorder="1" applyAlignment="1">
      <alignment horizontal="center"/>
    </xf>
    <xf numFmtId="0" fontId="0" fillId="29" borderId="0" xfId="0" applyFill="1"/>
    <xf numFmtId="0" fontId="0" fillId="29" borderId="15" xfId="0" applyFill="1" applyBorder="1" applyAlignment="1">
      <alignment horizontal="center"/>
    </xf>
    <xf numFmtId="164" fontId="71" fillId="29" borderId="0" xfId="178" applyNumberFormat="1" applyFont="1" applyFill="1"/>
    <xf numFmtId="164" fontId="71" fillId="29" borderId="15" xfId="178" applyNumberFormat="1" applyFont="1" applyFill="1" applyBorder="1"/>
    <xf numFmtId="164" fontId="71" fillId="29" borderId="0" xfId="178" applyNumberFormat="1" applyFont="1" applyFill="1" applyBorder="1"/>
    <xf numFmtId="8" fontId="0" fillId="29" borderId="0" xfId="0" applyNumberFormat="1" applyFill="1"/>
    <xf numFmtId="1" fontId="75" fillId="0" borderId="0" xfId="0" applyNumberFormat="1" applyFont="1" applyFill="1"/>
    <xf numFmtId="0" fontId="0" fillId="0" borderId="0" xfId="0" applyFill="1" applyAlignment="1">
      <alignment horizontal="right"/>
    </xf>
    <xf numFmtId="6" fontId="75" fillId="0" borderId="0" xfId="0" applyNumberFormat="1" applyFont="1" applyFill="1" applyAlignment="1">
      <alignment horizontal="center"/>
    </xf>
    <xf numFmtId="6" fontId="77" fillId="0" borderId="0" xfId="0" applyNumberFormat="1" applyFont="1" applyFill="1" applyAlignment="1">
      <alignment horizontal="center" wrapText="1"/>
    </xf>
    <xf numFmtId="6" fontId="75" fillId="0" borderId="0" xfId="178" quotePrefix="1" applyNumberFormat="1" applyFont="1" applyFill="1"/>
    <xf numFmtId="44" fontId="71" fillId="0" borderId="0" xfId="328" applyFont="1" applyFill="1"/>
    <xf numFmtId="164" fontId="0" fillId="0" borderId="15" xfId="0" applyNumberFormat="1" applyFill="1" applyBorder="1"/>
    <xf numFmtId="9" fontId="71" fillId="0" borderId="0" xfId="608" applyFont="1" applyFill="1" applyAlignment="1">
      <alignment horizontal="center"/>
    </xf>
    <xf numFmtId="0" fontId="80" fillId="28" borderId="25" xfId="0" applyFont="1" applyFill="1" applyBorder="1" applyAlignment="1">
      <alignment horizontal="center" vertical="center"/>
    </xf>
    <xf numFmtId="0" fontId="80" fillId="28" borderId="26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/>
    </xf>
    <xf numFmtId="0" fontId="73" fillId="0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75" fillId="0" borderId="27" xfId="0" applyFont="1" applyFill="1" applyBorder="1" applyAlignment="1">
      <alignment horizontal="center" vertical="top" wrapText="1"/>
    </xf>
    <xf numFmtId="0" fontId="75" fillId="0" borderId="28" xfId="0" applyFont="1" applyFill="1" applyBorder="1" applyAlignment="1">
      <alignment horizontal="center" vertical="top" wrapText="1"/>
    </xf>
    <xf numFmtId="0" fontId="75" fillId="0" borderId="29" xfId="0" applyFont="1" applyFill="1" applyBorder="1" applyAlignment="1">
      <alignment horizontal="center" vertical="top" wrapText="1"/>
    </xf>
    <xf numFmtId="0" fontId="73" fillId="0" borderId="0" xfId="0" applyFont="1" applyFill="1" applyBorder="1" applyAlignment="1">
      <alignment horizontal="center"/>
    </xf>
  </cellXfs>
  <cellStyles count="724">
    <cellStyle name="20% - Accent1 2" xfId="1"/>
    <cellStyle name="20% - Accent1 2 2" xfId="2"/>
    <cellStyle name="20% - Accent1 3" xfId="3"/>
    <cellStyle name="20% - Accent1 4" xfId="4"/>
    <cellStyle name="20% - Accent1 5" xfId="5"/>
    <cellStyle name="20% - Accent1 6" xfId="6"/>
    <cellStyle name="20% - Accent1 7" xfId="7"/>
    <cellStyle name="20% - Accent1 8" xfId="8"/>
    <cellStyle name="20% - Accent2 2" xfId="9"/>
    <cellStyle name="20% - Accent2 2 2" xfId="10"/>
    <cellStyle name="20% - Accent2 3" xfId="11"/>
    <cellStyle name="20% - Accent2 4" xfId="12"/>
    <cellStyle name="20% - Accent2 5" xfId="13"/>
    <cellStyle name="20% - Accent2 6" xfId="14"/>
    <cellStyle name="20% - Accent3 2" xfId="15"/>
    <cellStyle name="20% - Accent3 2 2" xfId="16"/>
    <cellStyle name="20% - Accent3 3" xfId="17"/>
    <cellStyle name="20% - Accent3 4" xfId="18"/>
    <cellStyle name="20% - Accent3 5" xfId="19"/>
    <cellStyle name="20% - Accent3 6" xfId="20"/>
    <cellStyle name="20% - Accent3 7" xfId="21"/>
    <cellStyle name="20% - Accent3 8" xfId="22"/>
    <cellStyle name="20% - Accent4 2" xfId="23"/>
    <cellStyle name="20% - Accent4 2 2" xfId="24"/>
    <cellStyle name="20% - Accent4 3" xfId="25"/>
    <cellStyle name="20% - Accent4 4" xfId="26"/>
    <cellStyle name="20% - Accent4 5" xfId="27"/>
    <cellStyle name="20% - Accent4 6" xfId="28"/>
    <cellStyle name="20% - Accent4 7" xfId="29"/>
    <cellStyle name="20% - Accent4 8" xfId="30"/>
    <cellStyle name="20% - Accent5 2" xfId="31"/>
    <cellStyle name="20% - Accent5 2 2" xfId="32"/>
    <cellStyle name="20% - Accent5 3" xfId="33"/>
    <cellStyle name="20% - Accent5 4" xfId="34"/>
    <cellStyle name="20% - Accent5 5" xfId="35"/>
    <cellStyle name="20% - Accent5 6" xfId="36"/>
    <cellStyle name="20% - Accent6 2" xfId="37"/>
    <cellStyle name="20% - Accent6 2 2" xfId="38"/>
    <cellStyle name="20% - Accent6 3" xfId="39"/>
    <cellStyle name="20% - Accent6 4" xfId="40"/>
    <cellStyle name="20% - Accent6 5" xfId="41"/>
    <cellStyle name="20% - Accent6 6" xfId="42"/>
    <cellStyle name="40% - Accent1 2" xfId="43"/>
    <cellStyle name="40% - Accent1 2 2" xfId="44"/>
    <cellStyle name="40% - Accent1 3" xfId="45"/>
    <cellStyle name="40% - Accent1 4" xfId="46"/>
    <cellStyle name="40% - Accent1 5" xfId="47"/>
    <cellStyle name="40% - Accent1 6" xfId="48"/>
    <cellStyle name="40% - Accent1 7" xfId="49"/>
    <cellStyle name="40% - Accent1 8" xfId="50"/>
    <cellStyle name="40% - Accent2 2" xfId="51"/>
    <cellStyle name="40% - Accent2 2 2" xfId="52"/>
    <cellStyle name="40% - Accent2 3" xfId="53"/>
    <cellStyle name="40% - Accent2 4" xfId="54"/>
    <cellStyle name="40% - Accent2 5" xfId="55"/>
    <cellStyle name="40% - Accent2 6" xfId="56"/>
    <cellStyle name="40% - Accent3 2" xfId="57"/>
    <cellStyle name="40% - Accent3 2 2" xfId="58"/>
    <cellStyle name="40% - Accent3 3" xfId="59"/>
    <cellStyle name="40% - Accent3 4" xfId="60"/>
    <cellStyle name="40% - Accent3 5" xfId="61"/>
    <cellStyle name="40% - Accent3 6" xfId="62"/>
    <cellStyle name="40% - Accent3 7" xfId="63"/>
    <cellStyle name="40% - Accent3 8" xfId="64"/>
    <cellStyle name="40% - Accent4 2" xfId="65"/>
    <cellStyle name="40% - Accent4 2 2" xfId="66"/>
    <cellStyle name="40% - Accent4 3" xfId="67"/>
    <cellStyle name="40% - Accent4 4" xfId="68"/>
    <cellStyle name="40% - Accent4 5" xfId="69"/>
    <cellStyle name="40% - Accent4 6" xfId="70"/>
    <cellStyle name="40% - Accent4 7" xfId="71"/>
    <cellStyle name="40% - Accent4 8" xfId="72"/>
    <cellStyle name="40% - Accent5 2" xfId="73"/>
    <cellStyle name="40% - Accent5 2 2" xfId="74"/>
    <cellStyle name="40% - Accent5 3" xfId="75"/>
    <cellStyle name="40% - Accent5 4" xfId="76"/>
    <cellStyle name="40% - Accent5 5" xfId="77"/>
    <cellStyle name="40% - Accent5 6" xfId="78"/>
    <cellStyle name="40% - Accent6 2" xfId="79"/>
    <cellStyle name="40% - Accent6 2 2" xfId="80"/>
    <cellStyle name="40% - Accent6 3" xfId="81"/>
    <cellStyle name="40% - Accent6 4" xfId="82"/>
    <cellStyle name="40% - Accent6 5" xfId="83"/>
    <cellStyle name="40% - Accent6 6" xfId="84"/>
    <cellStyle name="40% - Accent6 7" xfId="85"/>
    <cellStyle name="40% - Accent6 8" xfId="86"/>
    <cellStyle name="60% - Accent1 2" xfId="87"/>
    <cellStyle name="60% - Accent1 3" xfId="88"/>
    <cellStyle name="60% - Accent1 4" xfId="89"/>
    <cellStyle name="60% - Accent1 5" xfId="90"/>
    <cellStyle name="60% - Accent1 6" xfId="91"/>
    <cellStyle name="60% - Accent1 7" xfId="92"/>
    <cellStyle name="60% - Accent1 8" xfId="93"/>
    <cellStyle name="60% - Accent2 2" xfId="94"/>
    <cellStyle name="60% - Accent2 3" xfId="95"/>
    <cellStyle name="60% - Accent2 4" xfId="96"/>
    <cellStyle name="60% - Accent2 5" xfId="97"/>
    <cellStyle name="60% - Accent2 6" xfId="98"/>
    <cellStyle name="60% - Accent3 2" xfId="99"/>
    <cellStyle name="60% - Accent3 3" xfId="100"/>
    <cellStyle name="60% - Accent3 4" xfId="101"/>
    <cellStyle name="60% - Accent3 5" xfId="102"/>
    <cellStyle name="60% - Accent3 6" xfId="103"/>
    <cellStyle name="60% - Accent3 7" xfId="104"/>
    <cellStyle name="60% - Accent3 8" xfId="105"/>
    <cellStyle name="60% - Accent4 2" xfId="106"/>
    <cellStyle name="60% - Accent4 3" xfId="107"/>
    <cellStyle name="60% - Accent4 4" xfId="108"/>
    <cellStyle name="60% - Accent4 5" xfId="109"/>
    <cellStyle name="60% - Accent4 6" xfId="110"/>
    <cellStyle name="60% - Accent4 7" xfId="111"/>
    <cellStyle name="60% - Accent4 8" xfId="112"/>
    <cellStyle name="60% - Accent5 2" xfId="113"/>
    <cellStyle name="60% - Accent5 3" xfId="114"/>
    <cellStyle name="60% - Accent5 4" xfId="115"/>
    <cellStyle name="60% - Accent5 5" xfId="116"/>
    <cellStyle name="60% - Accent5 6" xfId="117"/>
    <cellStyle name="60% - Accent6 2" xfId="118"/>
    <cellStyle name="60% - Accent6 3" xfId="119"/>
    <cellStyle name="60% - Accent6 4" xfId="120"/>
    <cellStyle name="60% - Accent6 5" xfId="121"/>
    <cellStyle name="60% - Accent6 6" xfId="122"/>
    <cellStyle name="60% - Accent6 7" xfId="123"/>
    <cellStyle name="60% - Accent6 8" xfId="124"/>
    <cellStyle name="Accent1 2" xfId="125"/>
    <cellStyle name="Accent1 3" xfId="126"/>
    <cellStyle name="Accent1 4" xfId="127"/>
    <cellStyle name="Accent1 5" xfId="128"/>
    <cellStyle name="Accent1 6" xfId="129"/>
    <cellStyle name="Accent1 7" xfId="130"/>
    <cellStyle name="Accent1 8" xfId="131"/>
    <cellStyle name="Accent2 2" xfId="132"/>
    <cellStyle name="Accent2 3" xfId="133"/>
    <cellStyle name="Accent2 4" xfId="134"/>
    <cellStyle name="Accent2 5" xfId="135"/>
    <cellStyle name="Accent2 6" xfId="136"/>
    <cellStyle name="Accent3 2" xfId="137"/>
    <cellStyle name="Accent3 3" xfId="138"/>
    <cellStyle name="Accent3 4" xfId="139"/>
    <cellStyle name="Accent3 5" xfId="140"/>
    <cellStyle name="Accent3 6" xfId="141"/>
    <cellStyle name="Accent4 2" xfId="142"/>
    <cellStyle name="Accent4 3" xfId="143"/>
    <cellStyle name="Accent4 4" xfId="144"/>
    <cellStyle name="Accent4 5" xfId="145"/>
    <cellStyle name="Accent4 6" xfId="146"/>
    <cellStyle name="Accent4 7" xfId="147"/>
    <cellStyle name="Accent4 8" xfId="148"/>
    <cellStyle name="Accent5 2" xfId="149"/>
    <cellStyle name="Accent5 3" xfId="150"/>
    <cellStyle name="Accent5 4" xfId="151"/>
    <cellStyle name="Accent5 5" xfId="152"/>
    <cellStyle name="Accent5 6" xfId="153"/>
    <cellStyle name="Accent6 2" xfId="154"/>
    <cellStyle name="Accent6 3" xfId="155"/>
    <cellStyle name="Accent6 4" xfId="156"/>
    <cellStyle name="Accent6 5" xfId="157"/>
    <cellStyle name="Accent6 6" xfId="158"/>
    <cellStyle name="Bad 2" xfId="159"/>
    <cellStyle name="Bad 3" xfId="160"/>
    <cellStyle name="Bad 4" xfId="161"/>
    <cellStyle name="Bad 5" xfId="162"/>
    <cellStyle name="Bad 6" xfId="163"/>
    <cellStyle name="Bad 7" xfId="164"/>
    <cellStyle name="Bad 8" xfId="165"/>
    <cellStyle name="Calculation 2" xfId="166"/>
    <cellStyle name="Calculation 3" xfId="167"/>
    <cellStyle name="Calculation 4" xfId="168"/>
    <cellStyle name="Calculation 5" xfId="169"/>
    <cellStyle name="Calculation 6" xfId="170"/>
    <cellStyle name="Check Cell 2" xfId="171"/>
    <cellStyle name="Check Cell 3" xfId="172"/>
    <cellStyle name="Check Cell 4" xfId="173"/>
    <cellStyle name="Check Cell 5" xfId="174"/>
    <cellStyle name="Check Cell 6" xfId="175"/>
    <cellStyle name="Check Cell 7" xfId="176"/>
    <cellStyle name="Check Cell 8" xfId="177"/>
    <cellStyle name="Comma" xfId="178" builtinId="3"/>
    <cellStyle name="Comma 10" xfId="179"/>
    <cellStyle name="Comma 11" xfId="180"/>
    <cellStyle name="Comma 12" xfId="181"/>
    <cellStyle name="Comma 13" xfId="182"/>
    <cellStyle name="Comma 14" xfId="183"/>
    <cellStyle name="Comma 15" xfId="184"/>
    <cellStyle name="Comma 16" xfId="185"/>
    <cellStyle name="Comma 17" xfId="186"/>
    <cellStyle name="Comma 17 2" xfId="187"/>
    <cellStyle name="Comma 17 2 2" xfId="188"/>
    <cellStyle name="Comma 17 2 2 2" xfId="189"/>
    <cellStyle name="Comma 17 2 3" xfId="190"/>
    <cellStyle name="Comma 17 3" xfId="191"/>
    <cellStyle name="Comma 17 3 2" xfId="192"/>
    <cellStyle name="Comma 17 3 2 2" xfId="193"/>
    <cellStyle name="Comma 17 3 3" xfId="194"/>
    <cellStyle name="Comma 17 4" xfId="195"/>
    <cellStyle name="Comma 17 4 2" xfId="196"/>
    <cellStyle name="Comma 17 5" xfId="197"/>
    <cellStyle name="Comma 18" xfId="198"/>
    <cellStyle name="Comma 19" xfId="199"/>
    <cellStyle name="Comma 2" xfId="200"/>
    <cellStyle name="Comma 2 2" xfId="201"/>
    <cellStyle name="Comma 2 2 2" xfId="202"/>
    <cellStyle name="Comma 2 2 3" xfId="203"/>
    <cellStyle name="Comma 2 3" xfId="204"/>
    <cellStyle name="Comma 2 4" xfId="205"/>
    <cellStyle name="Comma 2 5" xfId="206"/>
    <cellStyle name="Comma 2_Allocators" xfId="207"/>
    <cellStyle name="Comma 20" xfId="208"/>
    <cellStyle name="Comma 20 2" xfId="209"/>
    <cellStyle name="Comma 20 2 2" xfId="210"/>
    <cellStyle name="Comma 20 2 2 2" xfId="211"/>
    <cellStyle name="Comma 20 2 3" xfId="212"/>
    <cellStyle name="Comma 20 3" xfId="213"/>
    <cellStyle name="Comma 20 3 2" xfId="214"/>
    <cellStyle name="Comma 20 3 2 2" xfId="215"/>
    <cellStyle name="Comma 20 3 3" xfId="216"/>
    <cellStyle name="Comma 20 4" xfId="217"/>
    <cellStyle name="Comma 20 4 2" xfId="218"/>
    <cellStyle name="Comma 20 5" xfId="219"/>
    <cellStyle name="Comma 21" xfId="220"/>
    <cellStyle name="Comma 3" xfId="221"/>
    <cellStyle name="Comma 3 10" xfId="222"/>
    <cellStyle name="Comma 3 10 2" xfId="223"/>
    <cellStyle name="Comma 3 10 2 2" xfId="224"/>
    <cellStyle name="Comma 3 10 2 2 2" xfId="225"/>
    <cellStyle name="Comma 3 10 2 3" xfId="226"/>
    <cellStyle name="Comma 3 10 3" xfId="227"/>
    <cellStyle name="Comma 3 10 3 2" xfId="228"/>
    <cellStyle name="Comma 3 10 3 2 2" xfId="229"/>
    <cellStyle name="Comma 3 10 3 3" xfId="230"/>
    <cellStyle name="Comma 3 10 4" xfId="231"/>
    <cellStyle name="Comma 3 10 4 2" xfId="232"/>
    <cellStyle name="Comma 3 10 5" xfId="233"/>
    <cellStyle name="Comma 3 11" xfId="234"/>
    <cellStyle name="Comma 3 12" xfId="235"/>
    <cellStyle name="Comma 3 12 2" xfId="236"/>
    <cellStyle name="Comma 3 12 2 2" xfId="237"/>
    <cellStyle name="Comma 3 12 3" xfId="238"/>
    <cellStyle name="Comma 3 13" xfId="239"/>
    <cellStyle name="Comma 3 2" xfId="240"/>
    <cellStyle name="Comma 3 3" xfId="241"/>
    <cellStyle name="Comma 3 4" xfId="242"/>
    <cellStyle name="Comma 3 4 2" xfId="243"/>
    <cellStyle name="Comma 3 4 2 2" xfId="244"/>
    <cellStyle name="Comma 3 4 2 2 2" xfId="245"/>
    <cellStyle name="Comma 3 4 2 3" xfId="246"/>
    <cellStyle name="Comma 3 4 3" xfId="247"/>
    <cellStyle name="Comma 3 4 3 2" xfId="248"/>
    <cellStyle name="Comma 3 4 3 2 2" xfId="249"/>
    <cellStyle name="Comma 3 4 3 3" xfId="250"/>
    <cellStyle name="Comma 3 4 4" xfId="251"/>
    <cellStyle name="Comma 3 4 4 2" xfId="252"/>
    <cellStyle name="Comma 3 4 5" xfId="253"/>
    <cellStyle name="Comma 3 5" xfId="254"/>
    <cellStyle name="Comma 3 5 2" xfId="255"/>
    <cellStyle name="Comma 3 5 2 2" xfId="256"/>
    <cellStyle name="Comma 3 5 2 2 2" xfId="257"/>
    <cellStyle name="Comma 3 5 2 3" xfId="258"/>
    <cellStyle name="Comma 3 5 3" xfId="259"/>
    <cellStyle name="Comma 3 5 3 2" xfId="260"/>
    <cellStyle name="Comma 3 5 3 2 2" xfId="261"/>
    <cellStyle name="Comma 3 5 3 3" xfId="262"/>
    <cellStyle name="Comma 3 5 4" xfId="263"/>
    <cellStyle name="Comma 3 5 4 2" xfId="264"/>
    <cellStyle name="Comma 3 5 5" xfId="265"/>
    <cellStyle name="Comma 3 6" xfId="266"/>
    <cellStyle name="Comma 3 6 2" xfId="267"/>
    <cellStyle name="Comma 3 6 2 2" xfId="268"/>
    <cellStyle name="Comma 3 6 2 2 2" xfId="269"/>
    <cellStyle name="Comma 3 6 2 3" xfId="270"/>
    <cellStyle name="Comma 3 6 3" xfId="271"/>
    <cellStyle name="Comma 3 6 3 2" xfId="272"/>
    <cellStyle name="Comma 3 6 3 2 2" xfId="273"/>
    <cellStyle name="Comma 3 6 3 3" xfId="274"/>
    <cellStyle name="Comma 3 6 4" xfId="275"/>
    <cellStyle name="Comma 3 6 4 2" xfId="276"/>
    <cellStyle name="Comma 3 6 5" xfId="277"/>
    <cellStyle name="Comma 3 7" xfId="278"/>
    <cellStyle name="Comma 3 7 2" xfId="279"/>
    <cellStyle name="Comma 3 7 2 2" xfId="280"/>
    <cellStyle name="Comma 3 7 2 2 2" xfId="281"/>
    <cellStyle name="Comma 3 7 2 3" xfId="282"/>
    <cellStyle name="Comma 3 7 3" xfId="283"/>
    <cellStyle name="Comma 3 7 3 2" xfId="284"/>
    <cellStyle name="Comma 3 7 3 2 2" xfId="285"/>
    <cellStyle name="Comma 3 7 3 3" xfId="286"/>
    <cellStyle name="Comma 3 7 4" xfId="287"/>
    <cellStyle name="Comma 3 7 4 2" xfId="288"/>
    <cellStyle name="Comma 3 7 5" xfId="289"/>
    <cellStyle name="Comma 3 8" xfId="290"/>
    <cellStyle name="Comma 3 8 2" xfId="291"/>
    <cellStyle name="Comma 3 8 2 2" xfId="292"/>
    <cellStyle name="Comma 3 8 2 2 2" xfId="293"/>
    <cellStyle name="Comma 3 8 2 3" xfId="294"/>
    <cellStyle name="Comma 3 8 3" xfId="295"/>
    <cellStyle name="Comma 3 8 3 2" xfId="296"/>
    <cellStyle name="Comma 3 8 3 2 2" xfId="297"/>
    <cellStyle name="Comma 3 8 3 3" xfId="298"/>
    <cellStyle name="Comma 3 8 4" xfId="299"/>
    <cellStyle name="Comma 3 8 4 2" xfId="300"/>
    <cellStyle name="Comma 3 8 5" xfId="301"/>
    <cellStyle name="Comma 3 9" xfId="302"/>
    <cellStyle name="Comma 3 9 2" xfId="303"/>
    <cellStyle name="Comma 3 9 2 2" xfId="304"/>
    <cellStyle name="Comma 3 9 2 2 2" xfId="305"/>
    <cellStyle name="Comma 3 9 2 3" xfId="306"/>
    <cellStyle name="Comma 3 9 3" xfId="307"/>
    <cellStyle name="Comma 3 9 3 2" xfId="308"/>
    <cellStyle name="Comma 3 9 3 2 2" xfId="309"/>
    <cellStyle name="Comma 3 9 3 3" xfId="310"/>
    <cellStyle name="Comma 3 9 4" xfId="311"/>
    <cellStyle name="Comma 3 9 4 2" xfId="312"/>
    <cellStyle name="Comma 3 9 5" xfId="313"/>
    <cellStyle name="Comma 4" xfId="314"/>
    <cellStyle name="Comma 4 2" xfId="315"/>
    <cellStyle name="Comma 4 3" xfId="316"/>
    <cellStyle name="Comma 4 4" xfId="317"/>
    <cellStyle name="Comma 5" xfId="318"/>
    <cellStyle name="Comma 6" xfId="319"/>
    <cellStyle name="Comma 6 2" xfId="320"/>
    <cellStyle name="Comma 7" xfId="321"/>
    <cellStyle name="Comma 7 2" xfId="322"/>
    <cellStyle name="Comma 8" xfId="323"/>
    <cellStyle name="Comma 8 2" xfId="324"/>
    <cellStyle name="Comma 9" xfId="325"/>
    <cellStyle name="CommaBlank" xfId="326"/>
    <cellStyle name="CommaBlank 2" xfId="327"/>
    <cellStyle name="Currency" xfId="328" builtinId="4"/>
    <cellStyle name="Currency 10" xfId="329"/>
    <cellStyle name="Currency 10 2" xfId="330"/>
    <cellStyle name="Currency 10 2 2" xfId="331"/>
    <cellStyle name="Currency 10 2 2 2" xfId="332"/>
    <cellStyle name="Currency 10 2 3" xfId="333"/>
    <cellStyle name="Currency 10 3" xfId="334"/>
    <cellStyle name="Currency 10 3 2" xfId="335"/>
    <cellStyle name="Currency 10 3 2 2" xfId="336"/>
    <cellStyle name="Currency 10 3 3" xfId="337"/>
    <cellStyle name="Currency 10 4" xfId="338"/>
    <cellStyle name="Currency 10 4 2" xfId="339"/>
    <cellStyle name="Currency 10 5" xfId="340"/>
    <cellStyle name="Currency 11" xfId="341"/>
    <cellStyle name="Currency 2" xfId="342"/>
    <cellStyle name="Currency 2 2" xfId="343"/>
    <cellStyle name="Currency 2 3" xfId="344"/>
    <cellStyle name="Currency 2 4" xfId="345"/>
    <cellStyle name="Currency 3" xfId="346"/>
    <cellStyle name="Currency 3 2" xfId="347"/>
    <cellStyle name="Currency 3 3" xfId="348"/>
    <cellStyle name="Currency 3 4" xfId="349"/>
    <cellStyle name="Currency 3 5" xfId="350"/>
    <cellStyle name="Currency 4" xfId="351"/>
    <cellStyle name="Currency 4 2" xfId="352"/>
    <cellStyle name="Currency 4 3" xfId="353"/>
    <cellStyle name="Currency 4 4" xfId="354"/>
    <cellStyle name="Currency 5" xfId="355"/>
    <cellStyle name="Currency 6" xfId="356"/>
    <cellStyle name="Currency 7" xfId="357"/>
    <cellStyle name="Currency 8" xfId="358"/>
    <cellStyle name="Currency 9" xfId="359"/>
    <cellStyle name="Explanatory Text 2" xfId="360"/>
    <cellStyle name="Explanatory Text 3" xfId="361"/>
    <cellStyle name="Explanatory Text 4" xfId="362"/>
    <cellStyle name="Explanatory Text 5" xfId="363"/>
    <cellStyle name="Explanatory Text 6" xfId="364"/>
    <cellStyle name="Good 2" xfId="365"/>
    <cellStyle name="Good 3" xfId="366"/>
    <cellStyle name="Good 4" xfId="367"/>
    <cellStyle name="Good 5" xfId="368"/>
    <cellStyle name="Good 6" xfId="369"/>
    <cellStyle name="Heading 1 2" xfId="370"/>
    <cellStyle name="Heading 1 3" xfId="371"/>
    <cellStyle name="Heading 1 4" xfId="372"/>
    <cellStyle name="Heading 1 5" xfId="373"/>
    <cellStyle name="Heading 1 6" xfId="374"/>
    <cellStyle name="Heading 1 7" xfId="375"/>
    <cellStyle name="Heading 1 8" xfId="376"/>
    <cellStyle name="Heading 2 2" xfId="377"/>
    <cellStyle name="Heading 2 3" xfId="378"/>
    <cellStyle name="Heading 2 4" xfId="379"/>
    <cellStyle name="Heading 2 5" xfId="380"/>
    <cellStyle name="Heading 2 6" xfId="381"/>
    <cellStyle name="Heading 2 7" xfId="382"/>
    <cellStyle name="Heading 2 8" xfId="383"/>
    <cellStyle name="Heading 3 2" xfId="384"/>
    <cellStyle name="Heading 3 3" xfId="385"/>
    <cellStyle name="Heading 3 4" xfId="386"/>
    <cellStyle name="Heading 3 5" xfId="387"/>
    <cellStyle name="Heading 3 6" xfId="388"/>
    <cellStyle name="Heading 3 7" xfId="389"/>
    <cellStyle name="Heading 3 8" xfId="390"/>
    <cellStyle name="Heading 4 2" xfId="391"/>
    <cellStyle name="Heading 4 3" xfId="392"/>
    <cellStyle name="Heading 4 4" xfId="393"/>
    <cellStyle name="Heading 4 5" xfId="394"/>
    <cellStyle name="Heading 4 6" xfId="395"/>
    <cellStyle name="Heading 4 7" xfId="396"/>
    <cellStyle name="Heading 4 8" xfId="397"/>
    <cellStyle name="Input 2" xfId="398"/>
    <cellStyle name="Input 3" xfId="399"/>
    <cellStyle name="Input 4" xfId="400"/>
    <cellStyle name="Input 5" xfId="401"/>
    <cellStyle name="Input 6" xfId="402"/>
    <cellStyle name="kirkdollars" xfId="403"/>
    <cellStyle name="Linked Cell 2" xfId="404"/>
    <cellStyle name="Linked Cell 3" xfId="405"/>
    <cellStyle name="Linked Cell 4" xfId="406"/>
    <cellStyle name="Linked Cell 5" xfId="407"/>
    <cellStyle name="Linked Cell 6" xfId="408"/>
    <cellStyle name="Neutral 2" xfId="409"/>
    <cellStyle name="Neutral 3" xfId="410"/>
    <cellStyle name="Neutral 4" xfId="411"/>
    <cellStyle name="Neutral 5" xfId="412"/>
    <cellStyle name="Neutral 6" xfId="413"/>
    <cellStyle name="Normal" xfId="0" builtinId="0"/>
    <cellStyle name="Normal 10" xfId="414"/>
    <cellStyle name="Normal 11" xfId="415"/>
    <cellStyle name="Normal 12" xfId="416"/>
    <cellStyle name="Normal 13" xfId="417"/>
    <cellStyle name="Normal 14" xfId="418"/>
    <cellStyle name="Normal 15" xfId="419"/>
    <cellStyle name="Normal 15 2" xfId="420"/>
    <cellStyle name="Normal 15 2 2" xfId="421"/>
    <cellStyle name="Normal 15 2 2 2" xfId="422"/>
    <cellStyle name="Normal 15 2 3" xfId="423"/>
    <cellStyle name="Normal 15 3" xfId="424"/>
    <cellStyle name="Normal 15 3 2" xfId="425"/>
    <cellStyle name="Normal 15 3 2 2" xfId="426"/>
    <cellStyle name="Normal 15 3 3" xfId="427"/>
    <cellStyle name="Normal 15 4" xfId="428"/>
    <cellStyle name="Normal 15 4 2" xfId="429"/>
    <cellStyle name="Normal 15 5" xfId="430"/>
    <cellStyle name="Normal 16" xfId="431"/>
    <cellStyle name="Normal 17" xfId="432"/>
    <cellStyle name="Normal 18" xfId="433"/>
    <cellStyle name="Normal 19" xfId="434"/>
    <cellStyle name="Normal 2" xfId="435"/>
    <cellStyle name="Normal 2 2" xfId="436"/>
    <cellStyle name="Normal 2 2 2" xfId="437"/>
    <cellStyle name="Normal 2 3" xfId="438"/>
    <cellStyle name="Normal 2 4" xfId="439"/>
    <cellStyle name="Normal 2 5" xfId="440"/>
    <cellStyle name="Normal 2_Adjustment WP" xfId="441"/>
    <cellStyle name="Normal 20" xfId="442"/>
    <cellStyle name="Normal 21" xfId="443"/>
    <cellStyle name="Normal 22" xfId="444"/>
    <cellStyle name="Normal 23" xfId="445"/>
    <cellStyle name="Normal 24" xfId="446"/>
    <cellStyle name="Normal 25" xfId="447"/>
    <cellStyle name="Normal 26" xfId="448"/>
    <cellStyle name="Normal 27" xfId="449"/>
    <cellStyle name="Normal 28" xfId="450"/>
    <cellStyle name="Normal 29" xfId="451"/>
    <cellStyle name="Normal 3" xfId="452"/>
    <cellStyle name="Normal 3 2" xfId="453"/>
    <cellStyle name="Normal 3 3" xfId="454"/>
    <cellStyle name="Normal 3 4" xfId="455"/>
    <cellStyle name="Normal 3 5" xfId="456"/>
    <cellStyle name="Normal 3 6" xfId="457"/>
    <cellStyle name="Normal 3 7" xfId="458"/>
    <cellStyle name="Normal 3 8" xfId="459"/>
    <cellStyle name="Normal 3_108 Summary" xfId="460"/>
    <cellStyle name="Normal 30" xfId="461"/>
    <cellStyle name="Normal 31" xfId="462"/>
    <cellStyle name="Normal 32" xfId="463"/>
    <cellStyle name="Normal 33" xfId="464"/>
    <cellStyle name="Normal 34" xfId="465"/>
    <cellStyle name="Normal 35" xfId="466"/>
    <cellStyle name="Normal 35 2" xfId="467"/>
    <cellStyle name="Normal 35 2 2" xfId="468"/>
    <cellStyle name="Normal 35 2 2 2" xfId="469"/>
    <cellStyle name="Normal 35 2 3" xfId="470"/>
    <cellStyle name="Normal 35 3" xfId="471"/>
    <cellStyle name="Normal 35 3 2" xfId="472"/>
    <cellStyle name="Normal 35 3 2 2" xfId="473"/>
    <cellStyle name="Normal 35 3 3" xfId="474"/>
    <cellStyle name="Normal 35 4" xfId="475"/>
    <cellStyle name="Normal 35 4 2" xfId="476"/>
    <cellStyle name="Normal 35 5" xfId="477"/>
    <cellStyle name="Normal 36" xfId="478"/>
    <cellStyle name="Normal 36 2" xfId="479"/>
    <cellStyle name="Normal 37" xfId="723"/>
    <cellStyle name="Normal 4" xfId="480"/>
    <cellStyle name="Normal 4 2" xfId="481"/>
    <cellStyle name="Normal 4 3" xfId="482"/>
    <cellStyle name="Normal 4 4" xfId="483"/>
    <cellStyle name="Normal 4 5" xfId="484"/>
    <cellStyle name="Normal 5" xfId="485"/>
    <cellStyle name="Normal 5 2" xfId="486"/>
    <cellStyle name="Normal 5 3" xfId="487"/>
    <cellStyle name="Normal 6" xfId="488"/>
    <cellStyle name="Normal 6 10" xfId="489"/>
    <cellStyle name="Normal 6 10 2" xfId="490"/>
    <cellStyle name="Normal 6 10 2 2" xfId="491"/>
    <cellStyle name="Normal 6 10 3" xfId="492"/>
    <cellStyle name="Normal 6 2" xfId="493"/>
    <cellStyle name="Normal 6 2 2" xfId="494"/>
    <cellStyle name="Normal 6 2 2 2" xfId="495"/>
    <cellStyle name="Normal 6 2 2 2 2" xfId="496"/>
    <cellStyle name="Normal 6 2 2 3" xfId="497"/>
    <cellStyle name="Normal 6 2 3" xfId="498"/>
    <cellStyle name="Normal 6 2 3 2" xfId="499"/>
    <cellStyle name="Normal 6 2 3 2 2" xfId="500"/>
    <cellStyle name="Normal 6 2 3 3" xfId="501"/>
    <cellStyle name="Normal 6 2 4" xfId="502"/>
    <cellStyle name="Normal 6 2 4 2" xfId="503"/>
    <cellStyle name="Normal 6 2 5" xfId="504"/>
    <cellStyle name="Normal 6 3" xfId="505"/>
    <cellStyle name="Normal 6 3 2" xfId="506"/>
    <cellStyle name="Normal 6 3 2 2" xfId="507"/>
    <cellStyle name="Normal 6 3 2 2 2" xfId="508"/>
    <cellStyle name="Normal 6 3 2 3" xfId="509"/>
    <cellStyle name="Normal 6 3 3" xfId="510"/>
    <cellStyle name="Normal 6 3 3 2" xfId="511"/>
    <cellStyle name="Normal 6 3 3 2 2" xfId="512"/>
    <cellStyle name="Normal 6 3 3 3" xfId="513"/>
    <cellStyle name="Normal 6 3 4" xfId="514"/>
    <cellStyle name="Normal 6 3 4 2" xfId="515"/>
    <cellStyle name="Normal 6 3 5" xfId="516"/>
    <cellStyle name="Normal 6 4" xfId="517"/>
    <cellStyle name="Normal 6 4 2" xfId="518"/>
    <cellStyle name="Normal 6 4 2 2" xfId="519"/>
    <cellStyle name="Normal 6 4 2 2 2" xfId="520"/>
    <cellStyle name="Normal 6 4 2 3" xfId="521"/>
    <cellStyle name="Normal 6 4 3" xfId="522"/>
    <cellStyle name="Normal 6 4 3 2" xfId="523"/>
    <cellStyle name="Normal 6 4 3 2 2" xfId="524"/>
    <cellStyle name="Normal 6 4 3 3" xfId="525"/>
    <cellStyle name="Normal 6 4 4" xfId="526"/>
    <cellStyle name="Normal 6 4 4 2" xfId="527"/>
    <cellStyle name="Normal 6 4 5" xfId="528"/>
    <cellStyle name="Normal 6 5" xfId="529"/>
    <cellStyle name="Normal 6 5 2" xfId="530"/>
    <cellStyle name="Normal 6 5 2 2" xfId="531"/>
    <cellStyle name="Normal 6 5 2 2 2" xfId="532"/>
    <cellStyle name="Normal 6 5 2 3" xfId="533"/>
    <cellStyle name="Normal 6 5 3" xfId="534"/>
    <cellStyle name="Normal 6 5 3 2" xfId="535"/>
    <cellStyle name="Normal 6 5 3 2 2" xfId="536"/>
    <cellStyle name="Normal 6 5 3 3" xfId="537"/>
    <cellStyle name="Normal 6 5 4" xfId="538"/>
    <cellStyle name="Normal 6 5 4 2" xfId="539"/>
    <cellStyle name="Normal 6 5 5" xfId="540"/>
    <cellStyle name="Normal 6 6" xfId="541"/>
    <cellStyle name="Normal 6 6 2" xfId="542"/>
    <cellStyle name="Normal 6 6 2 2" xfId="543"/>
    <cellStyle name="Normal 6 6 2 2 2" xfId="544"/>
    <cellStyle name="Normal 6 6 2 3" xfId="545"/>
    <cellStyle name="Normal 6 6 3" xfId="546"/>
    <cellStyle name="Normal 6 6 3 2" xfId="547"/>
    <cellStyle name="Normal 6 6 3 2 2" xfId="548"/>
    <cellStyle name="Normal 6 6 3 3" xfId="549"/>
    <cellStyle name="Normal 6 6 4" xfId="550"/>
    <cellStyle name="Normal 6 6 4 2" xfId="551"/>
    <cellStyle name="Normal 6 6 5" xfId="552"/>
    <cellStyle name="Normal 6 7" xfId="553"/>
    <cellStyle name="Normal 6 7 2" xfId="554"/>
    <cellStyle name="Normal 6 7 2 2" xfId="555"/>
    <cellStyle name="Normal 6 7 2 2 2" xfId="556"/>
    <cellStyle name="Normal 6 7 2 3" xfId="557"/>
    <cellStyle name="Normal 6 7 3" xfId="558"/>
    <cellStyle name="Normal 6 7 3 2" xfId="559"/>
    <cellStyle name="Normal 6 7 3 2 2" xfId="560"/>
    <cellStyle name="Normal 6 7 3 3" xfId="561"/>
    <cellStyle name="Normal 6 7 4" xfId="562"/>
    <cellStyle name="Normal 6 7 4 2" xfId="563"/>
    <cellStyle name="Normal 6 7 5" xfId="564"/>
    <cellStyle name="Normal 6 8" xfId="565"/>
    <cellStyle name="Normal 6 8 2" xfId="566"/>
    <cellStyle name="Normal 6 8 2 2" xfId="567"/>
    <cellStyle name="Normal 6 8 2 2 2" xfId="568"/>
    <cellStyle name="Normal 6 8 2 3" xfId="569"/>
    <cellStyle name="Normal 6 8 3" xfId="570"/>
    <cellStyle name="Normal 6 8 3 2" xfId="571"/>
    <cellStyle name="Normal 6 8 3 2 2" xfId="572"/>
    <cellStyle name="Normal 6 8 3 3" xfId="573"/>
    <cellStyle name="Normal 6 8 4" xfId="574"/>
    <cellStyle name="Normal 6 8 4 2" xfId="575"/>
    <cellStyle name="Normal 6 8 5" xfId="576"/>
    <cellStyle name="Normal 6 9" xfId="577"/>
    <cellStyle name="Normal 7" xfId="578"/>
    <cellStyle name="Normal 8" xfId="579"/>
    <cellStyle name="Normal 9" xfId="580"/>
    <cellStyle name="Note 10" xfId="581"/>
    <cellStyle name="Note 11" xfId="582"/>
    <cellStyle name="Note 2" xfId="583"/>
    <cellStyle name="Note 2 2" xfId="584"/>
    <cellStyle name="Note 2_Allocators" xfId="585"/>
    <cellStyle name="Note 3" xfId="586"/>
    <cellStyle name="Note 3 2" xfId="587"/>
    <cellStyle name="Note 3 3" xfId="588"/>
    <cellStyle name="Note 3_Allocators" xfId="589"/>
    <cellStyle name="Note 4" xfId="590"/>
    <cellStyle name="Note 4 2" xfId="591"/>
    <cellStyle name="Note 4_Allocators" xfId="592"/>
    <cellStyle name="Note 5" xfId="593"/>
    <cellStyle name="Note 6" xfId="594"/>
    <cellStyle name="Note 6 2" xfId="595"/>
    <cellStyle name="Note 6_Allocators" xfId="596"/>
    <cellStyle name="Note 7" xfId="597"/>
    <cellStyle name="Note 7 2" xfId="598"/>
    <cellStyle name="Note 8" xfId="599"/>
    <cellStyle name="Note 9" xfId="600"/>
    <cellStyle name="nPlosion" xfId="601"/>
    <cellStyle name="nvision" xfId="602"/>
    <cellStyle name="Output 2" xfId="603"/>
    <cellStyle name="Output 3" xfId="604"/>
    <cellStyle name="Output 4" xfId="605"/>
    <cellStyle name="Output 5" xfId="606"/>
    <cellStyle name="Output 6" xfId="607"/>
    <cellStyle name="Percent" xfId="608" builtinId="5"/>
    <cellStyle name="Percent 10" xfId="609"/>
    <cellStyle name="Percent 11" xfId="610"/>
    <cellStyle name="Percent 12" xfId="611"/>
    <cellStyle name="Percent 13" xfId="612"/>
    <cellStyle name="Percent 13 2" xfId="613"/>
    <cellStyle name="Percent 13 2 2" xfId="614"/>
    <cellStyle name="Percent 13 2 2 2" xfId="615"/>
    <cellStyle name="Percent 13 2 3" xfId="616"/>
    <cellStyle name="Percent 13 3" xfId="617"/>
    <cellStyle name="Percent 13 3 2" xfId="618"/>
    <cellStyle name="Percent 13 3 2 2" xfId="619"/>
    <cellStyle name="Percent 13 3 3" xfId="620"/>
    <cellStyle name="Percent 13 4" xfId="621"/>
    <cellStyle name="Percent 13 4 2" xfId="622"/>
    <cellStyle name="Percent 13 5" xfId="623"/>
    <cellStyle name="Percent 14" xfId="624"/>
    <cellStyle name="Percent 2" xfId="625"/>
    <cellStyle name="Percent 2 2" xfId="626"/>
    <cellStyle name="Percent 2 3" xfId="627"/>
    <cellStyle name="Percent 3" xfId="628"/>
    <cellStyle name="Percent 3 2" xfId="629"/>
    <cellStyle name="Percent 3 3" xfId="630"/>
    <cellStyle name="Percent 3 4" xfId="631"/>
    <cellStyle name="Percent 3 5" xfId="632"/>
    <cellStyle name="Percent 3 6" xfId="633"/>
    <cellStyle name="Percent 4" xfId="634"/>
    <cellStyle name="Percent 4 2" xfId="635"/>
    <cellStyle name="Percent 4 3" xfId="636"/>
    <cellStyle name="Percent 4 4" xfId="637"/>
    <cellStyle name="Percent 5" xfId="638"/>
    <cellStyle name="Percent 5 2" xfId="639"/>
    <cellStyle name="Percent 6" xfId="640"/>
    <cellStyle name="Percent 6 2" xfId="641"/>
    <cellStyle name="Percent 7" xfId="642"/>
    <cellStyle name="Percent 8" xfId="643"/>
    <cellStyle name="Percent 9" xfId="644"/>
    <cellStyle name="PSChar" xfId="645"/>
    <cellStyle name="PSChar 2" xfId="646"/>
    <cellStyle name="PSChar 2 2" xfId="647"/>
    <cellStyle name="PSChar 2 3" xfId="648"/>
    <cellStyle name="PSChar 3" xfId="649"/>
    <cellStyle name="PSChar 3 2" xfId="650"/>
    <cellStyle name="PSChar 4" xfId="651"/>
    <cellStyle name="PSChar 5" xfId="652"/>
    <cellStyle name="PSChar 6" xfId="653"/>
    <cellStyle name="PSDate" xfId="654"/>
    <cellStyle name="PSDate 2" xfId="655"/>
    <cellStyle name="PSDate 2 2" xfId="656"/>
    <cellStyle name="PSDate 2 3" xfId="657"/>
    <cellStyle name="PSDate 3" xfId="658"/>
    <cellStyle name="PSDate 3 2" xfId="659"/>
    <cellStyle name="PSDate 4" xfId="660"/>
    <cellStyle name="PSDate 5" xfId="661"/>
    <cellStyle name="PSDate 6" xfId="662"/>
    <cellStyle name="PSDec" xfId="663"/>
    <cellStyle name="PSDec 2" xfId="664"/>
    <cellStyle name="PSDec 2 2" xfId="665"/>
    <cellStyle name="PSDec 2 3" xfId="666"/>
    <cellStyle name="PSDec 3" xfId="667"/>
    <cellStyle name="PSDec 3 2" xfId="668"/>
    <cellStyle name="PSDec 4" xfId="669"/>
    <cellStyle name="PSDec 5" xfId="670"/>
    <cellStyle name="PSDec 6" xfId="671"/>
    <cellStyle name="PSHeading" xfId="672"/>
    <cellStyle name="PSHeading 10" xfId="673"/>
    <cellStyle name="PSHeading 11" xfId="674"/>
    <cellStyle name="PSHeading 2" xfId="675"/>
    <cellStyle name="PSHeading 2 2" xfId="676"/>
    <cellStyle name="PSHeading 2 3" xfId="677"/>
    <cellStyle name="PSHeading 2_108 Summary" xfId="678"/>
    <cellStyle name="PSHeading 3" xfId="679"/>
    <cellStyle name="PSHeading 3 2" xfId="680"/>
    <cellStyle name="PSHeading 3_108 Summary" xfId="681"/>
    <cellStyle name="PSHeading 4" xfId="682"/>
    <cellStyle name="PSHeading 5" xfId="683"/>
    <cellStyle name="PSHeading 6" xfId="684"/>
    <cellStyle name="PSHeading 7" xfId="685"/>
    <cellStyle name="PSHeading 8" xfId="686"/>
    <cellStyle name="PSHeading 9" xfId="687"/>
    <cellStyle name="PSHeading_101 check" xfId="688"/>
    <cellStyle name="PSInt" xfId="689"/>
    <cellStyle name="PSInt 2" xfId="690"/>
    <cellStyle name="PSInt 2 2" xfId="691"/>
    <cellStyle name="PSInt 2 3" xfId="692"/>
    <cellStyle name="PSInt 3" xfId="693"/>
    <cellStyle name="PSInt 3 2" xfId="694"/>
    <cellStyle name="PSInt 4" xfId="695"/>
    <cellStyle name="PSInt 5" xfId="696"/>
    <cellStyle name="PSInt 6" xfId="697"/>
    <cellStyle name="PSSpacer" xfId="698"/>
    <cellStyle name="PSSpacer 2" xfId="699"/>
    <cellStyle name="PSSpacer 2 2" xfId="700"/>
    <cellStyle name="PSSpacer 2 3" xfId="701"/>
    <cellStyle name="PSSpacer 3" xfId="702"/>
    <cellStyle name="PSSpacer 3 2" xfId="703"/>
    <cellStyle name="PSSpacer 4" xfId="704"/>
    <cellStyle name="PSSpacer 5" xfId="705"/>
    <cellStyle name="PSSpacer 6" xfId="706"/>
    <cellStyle name="Title 2" xfId="707"/>
    <cellStyle name="Title 3" xfId="708"/>
    <cellStyle name="Title 4" xfId="709"/>
    <cellStyle name="Title 5" xfId="710"/>
    <cellStyle name="Total 2" xfId="711"/>
    <cellStyle name="Total 3" xfId="712"/>
    <cellStyle name="Total 4" xfId="713"/>
    <cellStyle name="Total 5" xfId="714"/>
    <cellStyle name="Total 6" xfId="715"/>
    <cellStyle name="Total 7" xfId="716"/>
    <cellStyle name="Total 8" xfId="717"/>
    <cellStyle name="Warning Text 2" xfId="718"/>
    <cellStyle name="Warning Text 3" xfId="719"/>
    <cellStyle name="Warning Text 4" xfId="720"/>
    <cellStyle name="Warning Text 5" xfId="721"/>
    <cellStyle name="Warning Text 6" xfId="7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10"/>
  <sheetViews>
    <sheetView tabSelected="1" zoomScaleNormal="100" workbookViewId="0">
      <selection activeCell="A2" sqref="A2"/>
    </sheetView>
  </sheetViews>
  <sheetFormatPr defaultColWidth="9.140625" defaultRowHeight="15"/>
  <cols>
    <col min="1" max="1" width="4" style="38" customWidth="1"/>
    <col min="2" max="2" width="80.42578125" style="38" bestFit="1" customWidth="1"/>
    <col min="3" max="3" width="21.140625" style="38" customWidth="1"/>
    <col min="4" max="16384" width="9.140625" style="38"/>
  </cols>
  <sheetData>
    <row r="1" spans="2:3" ht="8.25" customHeight="1" thickBot="1"/>
    <row r="2" spans="2:3" ht="21.75" thickBot="1">
      <c r="B2" s="124" t="s">
        <v>161</v>
      </c>
      <c r="C2" s="125"/>
    </row>
    <row r="3" spans="2:3">
      <c r="B3" s="37"/>
      <c r="C3" s="36"/>
    </row>
    <row r="4" spans="2:3" ht="18.75">
      <c r="B4" s="35" t="s">
        <v>129</v>
      </c>
      <c r="C4" s="34"/>
    </row>
    <row r="5" spans="2:3" ht="18.75">
      <c r="B5" s="33" t="s">
        <v>130</v>
      </c>
      <c r="C5" s="32">
        <f>Components!K14</f>
        <v>286176461.75887197</v>
      </c>
    </row>
    <row r="6" spans="2:3" ht="18.75">
      <c r="B6" s="31" t="s">
        <v>131</v>
      </c>
      <c r="C6" s="30">
        <f>'21 Yr Amortization'!F261</f>
        <v>200175833.92460746</v>
      </c>
    </row>
    <row r="7" spans="2:3" ht="18.75">
      <c r="B7" s="33" t="s">
        <v>132</v>
      </c>
      <c r="C7" s="32">
        <f>C6+C5</f>
        <v>486352295.68347943</v>
      </c>
    </row>
    <row r="8" spans="2:3" ht="18.75">
      <c r="B8" s="29"/>
      <c r="C8" s="28"/>
    </row>
    <row r="9" spans="2:3" ht="18.75">
      <c r="B9" s="33" t="s">
        <v>157</v>
      </c>
      <c r="C9" s="32">
        <f>C7/21</f>
        <v>23159633.127784736</v>
      </c>
    </row>
    <row r="10" spans="2:3" ht="19.5" thickBot="1">
      <c r="B10" s="27" t="s">
        <v>133</v>
      </c>
      <c r="C10" s="26">
        <f>C9/12</f>
        <v>1929969.4273153946</v>
      </c>
    </row>
  </sheetData>
  <mergeCells count="1">
    <mergeCell ref="B2:C2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T76"/>
  <sheetViews>
    <sheetView zoomScale="78" zoomScaleNormal="78" workbookViewId="0">
      <selection activeCell="A20" sqref="A20"/>
    </sheetView>
  </sheetViews>
  <sheetFormatPr defaultColWidth="8.85546875" defaultRowHeight="15"/>
  <cols>
    <col min="1" max="1" width="33" style="64" customWidth="1"/>
    <col min="2" max="2" width="18.5703125" style="64" customWidth="1"/>
    <col min="3" max="3" width="17" style="64" customWidth="1"/>
    <col min="4" max="4" width="16.28515625" style="64" customWidth="1"/>
    <col min="5" max="5" width="1" style="110" customWidth="1"/>
    <col min="6" max="6" width="17.85546875" style="64" customWidth="1"/>
    <col min="7" max="7" width="15.28515625" style="64" bestFit="1" customWidth="1"/>
    <col min="8" max="8" width="15.7109375" style="64" customWidth="1"/>
    <col min="9" max="9" width="1" style="110" customWidth="1"/>
    <col min="10" max="10" width="74" style="64" bestFit="1" customWidth="1"/>
    <col min="11" max="11" width="17.7109375" style="64" customWidth="1"/>
    <col min="12" max="12" width="1.140625" style="110" customWidth="1"/>
    <col min="13" max="13" width="19.5703125" style="64" bestFit="1" customWidth="1"/>
    <col min="14" max="14" width="17" style="64" customWidth="1"/>
    <col min="15" max="15" width="10.85546875" style="64" customWidth="1"/>
    <col min="16" max="16" width="30.140625" style="64" bestFit="1" customWidth="1"/>
    <col min="17" max="17" width="8.85546875" style="64"/>
    <col min="18" max="18" width="14.7109375" style="64" bestFit="1" customWidth="1"/>
    <col min="19" max="19" width="8.85546875" style="64"/>
    <col min="20" max="20" width="14.7109375" style="64" bestFit="1" customWidth="1"/>
    <col min="21" max="16384" width="8.85546875" style="64"/>
  </cols>
  <sheetData>
    <row r="1" spans="1:16">
      <c r="A1" s="64" t="s">
        <v>162</v>
      </c>
    </row>
    <row r="2" spans="1:16">
      <c r="J2" s="127" t="s">
        <v>156</v>
      </c>
      <c r="K2" s="127"/>
    </row>
    <row r="3" spans="1:16">
      <c r="A3" s="89"/>
      <c r="B3" s="126" t="s">
        <v>82</v>
      </c>
      <c r="C3" s="126"/>
      <c r="D3" s="126"/>
      <c r="E3" s="111"/>
      <c r="F3" s="126" t="s">
        <v>81</v>
      </c>
      <c r="G3" s="126"/>
      <c r="H3" s="126"/>
      <c r="I3" s="111"/>
      <c r="J3" s="126" t="s">
        <v>163</v>
      </c>
      <c r="K3" s="126"/>
      <c r="L3" s="111"/>
      <c r="M3" s="89" t="s">
        <v>124</v>
      </c>
    </row>
    <row r="4" spans="1:16" ht="30">
      <c r="A4" s="83" t="s">
        <v>61</v>
      </c>
      <c r="B4" s="83" t="s">
        <v>74</v>
      </c>
      <c r="C4" s="83" t="s">
        <v>88</v>
      </c>
      <c r="D4" s="64" t="s">
        <v>4</v>
      </c>
      <c r="F4" s="83" t="s">
        <v>74</v>
      </c>
      <c r="G4" s="83" t="s">
        <v>88</v>
      </c>
      <c r="H4" s="64" t="s">
        <v>4</v>
      </c>
      <c r="J4" s="83"/>
      <c r="K4" s="83"/>
      <c r="M4" s="104" t="s">
        <v>158</v>
      </c>
      <c r="N4" s="18" t="s">
        <v>153</v>
      </c>
      <c r="O4" s="18"/>
      <c r="P4" s="18"/>
    </row>
    <row r="5" spans="1:16">
      <c r="A5" s="83" t="s">
        <v>75</v>
      </c>
      <c r="B5" s="17">
        <f>251384137.3-66333380.8+1854094.4</f>
        <v>186904850.90000001</v>
      </c>
      <c r="C5" s="17">
        <f t="shared" ref="C5:C10" si="0">SUM(M5:M5)</f>
        <v>39429740.670000002</v>
      </c>
      <c r="D5" s="71">
        <f t="shared" ref="D5:D10" si="1">SUM(B5:C5)</f>
        <v>226334591.56999999</v>
      </c>
      <c r="E5" s="112"/>
      <c r="F5" s="71">
        <f>B5*'Actual Yr 1-4 Amortization'!C5</f>
        <v>184288182.9874</v>
      </c>
      <c r="G5" s="71">
        <f>32635288.47+(N5*'21 Yr Amortization'!C5)</f>
        <v>38869826.053300001</v>
      </c>
      <c r="H5" s="71">
        <f>F5+G5</f>
        <v>223158009.04069999</v>
      </c>
      <c r="I5" s="112"/>
      <c r="J5" s="71" t="s">
        <v>120</v>
      </c>
      <c r="K5" s="71">
        <f>F14</f>
        <v>193208573.36056</v>
      </c>
      <c r="L5" s="112"/>
      <c r="M5" s="71">
        <f>SUM(Additions!C8:D56)</f>
        <v>39429740.670000002</v>
      </c>
      <c r="N5" s="71">
        <f>SUM(Additions!C45:D56)</f>
        <v>6329479.7799999993</v>
      </c>
      <c r="O5" s="71"/>
      <c r="P5" s="71"/>
    </row>
    <row r="6" spans="1:16">
      <c r="A6" s="73" t="s">
        <v>98</v>
      </c>
      <c r="B6" s="17">
        <v>2671359.25</v>
      </c>
      <c r="C6" s="17">
        <f t="shared" si="0"/>
        <v>-2671359.25</v>
      </c>
      <c r="D6" s="71">
        <f>SUM(B6:C6)</f>
        <v>0</v>
      </c>
      <c r="E6" s="112"/>
      <c r="F6" s="71">
        <f>B6*'Actual Yr 1-4 Amortization'!C5</f>
        <v>2633960.2204999998</v>
      </c>
      <c r="G6" s="71">
        <f>-2633960.22+(N6*'21 Yr Amortization'!C5)</f>
        <v>-2633960.2200000002</v>
      </c>
      <c r="H6" s="71">
        <f t="shared" ref="H6:H11" si="2">F6+G6</f>
        <v>4.9999961629509926E-4</v>
      </c>
      <c r="I6" s="112"/>
      <c r="J6" s="71" t="s">
        <v>121</v>
      </c>
      <c r="K6" s="74">
        <f>G11</f>
        <v>109282297.95889999</v>
      </c>
      <c r="L6" s="112"/>
      <c r="M6" s="71">
        <f>SUM(Additions!H8:H56)</f>
        <v>-2671359.25</v>
      </c>
      <c r="N6" s="48">
        <f>SUM(Additions!H45:H56)</f>
        <v>0</v>
      </c>
      <c r="O6" s="71"/>
    </row>
    <row r="7" spans="1:16">
      <c r="A7" s="64" t="s">
        <v>99</v>
      </c>
      <c r="B7" s="71">
        <v>4101526.44</v>
      </c>
      <c r="C7" s="17">
        <f t="shared" si="0"/>
        <v>-1085741.0200000003</v>
      </c>
      <c r="D7" s="71">
        <f t="shared" si="1"/>
        <v>3015785.42</v>
      </c>
      <c r="E7" s="112"/>
      <c r="F7" s="71">
        <f>B7*'Actual Yr 1-4 Amortization'!C5</f>
        <v>4044105.06984</v>
      </c>
      <c r="G7" s="71">
        <f>-998819.58+(N7*'21 Yr Amortization'!C5)</f>
        <v>-1070144.6612499999</v>
      </c>
      <c r="H7" s="71">
        <f t="shared" si="2"/>
        <v>2973960.4085900001</v>
      </c>
      <c r="I7" s="112"/>
      <c r="J7" s="71" t="s">
        <v>67</v>
      </c>
      <c r="K7" s="71">
        <f>K6+K5</f>
        <v>302490871.31945997</v>
      </c>
      <c r="L7" s="112"/>
      <c r="M7" s="71">
        <f>SUM(Additions!E8:E56)</f>
        <v>-1085741.0200000003</v>
      </c>
      <c r="N7" s="48">
        <f>SUM(Additions!E45:E56)</f>
        <v>-72411.25</v>
      </c>
      <c r="O7" s="71"/>
    </row>
    <row r="8" spans="1:16">
      <c r="A8" s="73" t="s">
        <v>100</v>
      </c>
      <c r="B8" s="17">
        <v>514215</v>
      </c>
      <c r="C8" s="17">
        <f t="shared" si="0"/>
        <v>-514215</v>
      </c>
      <c r="D8" s="71">
        <f>SUM(B8:C8)</f>
        <v>0</v>
      </c>
      <c r="E8" s="112"/>
      <c r="F8" s="71">
        <f>B8*'Actual Yr 1-4 Amortization'!C5</f>
        <v>507015.99</v>
      </c>
      <c r="G8" s="71">
        <f>-507015.99+(N8*'21 Yr Amortization'!C5)</f>
        <v>-507015.99</v>
      </c>
      <c r="H8" s="71">
        <f t="shared" si="2"/>
        <v>0</v>
      </c>
      <c r="I8" s="112"/>
      <c r="J8" s="71"/>
      <c r="K8" s="71"/>
      <c r="L8" s="112"/>
      <c r="M8" s="71">
        <f>SUM(Additions!I8:I56)</f>
        <v>-514215</v>
      </c>
      <c r="N8" s="48">
        <f>SUM(Additions!I45:I56)</f>
        <v>0</v>
      </c>
      <c r="O8" s="71"/>
    </row>
    <row r="9" spans="1:16">
      <c r="A9" s="64" t="s">
        <v>97</v>
      </c>
      <c r="B9" s="71">
        <v>0</v>
      </c>
      <c r="C9" s="17">
        <f t="shared" si="0"/>
        <v>906532.34999999951</v>
      </c>
      <c r="D9" s="71">
        <f t="shared" si="1"/>
        <v>906532.34999999951</v>
      </c>
      <c r="E9" s="112"/>
      <c r="F9" s="71">
        <f>B9*'Actual Yr 1-4 Amortization'!C5</f>
        <v>0</v>
      </c>
      <c r="G9" s="71">
        <f>849419.46+(N9*'21 Yr Amortization'!C5)</f>
        <v>893791.36569999997</v>
      </c>
      <c r="H9" s="71">
        <f t="shared" si="2"/>
        <v>893791.36569999997</v>
      </c>
      <c r="I9" s="112"/>
      <c r="J9" s="71" t="s">
        <v>122</v>
      </c>
      <c r="K9" s="71">
        <f>'Actual Yr 1-4 Amortization'!F57</f>
        <v>57062894.866050318</v>
      </c>
      <c r="L9" s="112"/>
      <c r="M9" s="71">
        <f>SUM(Additions!G8:G56)</f>
        <v>906532.34999999951</v>
      </c>
      <c r="N9" s="76">
        <f>SUM(Additions!G45:G56)</f>
        <v>45047.62</v>
      </c>
      <c r="O9" s="71"/>
    </row>
    <row r="10" spans="1:16" s="66" customFormat="1">
      <c r="A10" s="66" t="s">
        <v>76</v>
      </c>
      <c r="B10" s="74">
        <f>3333431.55-1573483.18</f>
        <v>1759948.3699999999</v>
      </c>
      <c r="C10" s="105">
        <f t="shared" si="0"/>
        <v>74816165.400000006</v>
      </c>
      <c r="D10" s="74">
        <f t="shared" si="1"/>
        <v>76576113.770000011</v>
      </c>
      <c r="E10" s="113"/>
      <c r="F10" s="74">
        <f>B10*'Actual Yr 1-4 Amortization'!C5</f>
        <v>1735309.0928199999</v>
      </c>
      <c r="G10" s="74">
        <f>49555339.83+(N10*'21 Yr Amortization'!C5)</f>
        <v>73729801.411149994</v>
      </c>
      <c r="H10" s="74">
        <f t="shared" si="2"/>
        <v>75465110.503969997</v>
      </c>
      <c r="I10" s="113"/>
      <c r="J10" s="74" t="s">
        <v>123</v>
      </c>
      <c r="K10" s="74">
        <f>'Actual Yr 1-4 Amortization'!G57</f>
        <v>73377304.42663832</v>
      </c>
      <c r="L10" s="113"/>
      <c r="M10" s="74">
        <f>SUM(Additions!F8:F56)</f>
        <v>74816165.400000006</v>
      </c>
      <c r="N10" s="122">
        <f>SUM(Additions!F45:F56)</f>
        <v>24542600.59</v>
      </c>
      <c r="O10" s="71"/>
    </row>
    <row r="11" spans="1:16">
      <c r="A11" s="75" t="s">
        <v>67</v>
      </c>
      <c r="B11" s="71">
        <f>SUM(B5:B10)</f>
        <v>195951899.96000001</v>
      </c>
      <c r="C11" s="71">
        <f>SUM(C5:C10)</f>
        <v>110881123.15000001</v>
      </c>
      <c r="D11" s="71">
        <f>B11+C11</f>
        <v>306833023.11000001</v>
      </c>
      <c r="E11" s="112"/>
      <c r="F11" s="71">
        <f>SUM(F5:F10)</f>
        <v>193208573.36056</v>
      </c>
      <c r="G11" s="71">
        <f>SUM(G5:G10)</f>
        <v>109282297.95889999</v>
      </c>
      <c r="H11" s="71">
        <f t="shared" si="2"/>
        <v>302490871.31945997</v>
      </c>
      <c r="I11" s="112"/>
      <c r="J11" s="71" t="s">
        <v>79</v>
      </c>
      <c r="K11" s="71">
        <f>K9-K10</f>
        <v>-16314409.560588002</v>
      </c>
      <c r="L11" s="112"/>
      <c r="M11" s="71">
        <f>SUM(M5:M10)</f>
        <v>110881123.15000001</v>
      </c>
      <c r="N11" s="76">
        <f>SUM(N5:N10)</f>
        <v>30844716.739999998</v>
      </c>
      <c r="O11" s="76"/>
      <c r="P11" s="76"/>
    </row>
    <row r="12" spans="1:16">
      <c r="A12" s="66"/>
      <c r="B12" s="71"/>
      <c r="C12" s="71"/>
      <c r="D12" s="71"/>
      <c r="E12" s="112"/>
      <c r="F12" s="71"/>
      <c r="G12" s="71"/>
      <c r="H12" s="71"/>
      <c r="I12" s="112"/>
      <c r="J12" s="71"/>
      <c r="K12" s="71"/>
      <c r="L12" s="112"/>
      <c r="M12" s="71"/>
    </row>
    <row r="13" spans="1:16">
      <c r="A13" s="66"/>
      <c r="B13" s="74"/>
      <c r="C13" s="74"/>
      <c r="D13" s="74"/>
      <c r="E13" s="113"/>
      <c r="F13" s="84"/>
      <c r="G13" s="74"/>
      <c r="H13" s="74"/>
      <c r="I13" s="113"/>
      <c r="J13" s="89"/>
      <c r="K13" s="89"/>
      <c r="L13" s="113"/>
      <c r="M13" s="74"/>
    </row>
    <row r="14" spans="1:16">
      <c r="A14" s="64" t="s">
        <v>102</v>
      </c>
      <c r="B14" s="76">
        <f>B11</f>
        <v>195951899.96000001</v>
      </c>
      <c r="C14" s="76">
        <f>C11</f>
        <v>110881123.15000001</v>
      </c>
      <c r="D14" s="76">
        <f>D11</f>
        <v>306833023.11000001</v>
      </c>
      <c r="F14" s="76">
        <f>F11</f>
        <v>193208573.36056</v>
      </c>
      <c r="G14" s="76">
        <f>G11</f>
        <v>109282297.95889999</v>
      </c>
      <c r="H14" s="76">
        <f>H11</f>
        <v>302490871.31945997</v>
      </c>
      <c r="J14" s="90" t="s">
        <v>143</v>
      </c>
      <c r="K14" s="90">
        <f>K7+K11</f>
        <v>286176461.75887197</v>
      </c>
      <c r="M14" s="76"/>
      <c r="N14" s="76"/>
    </row>
    <row r="15" spans="1:16" s="66" customFormat="1">
      <c r="B15" s="68"/>
      <c r="C15" s="68"/>
      <c r="D15" s="68"/>
      <c r="E15" s="114"/>
      <c r="F15" s="67"/>
      <c r="G15" s="67"/>
      <c r="H15" s="68"/>
      <c r="I15" s="114"/>
      <c r="J15" s="68"/>
      <c r="K15" s="68"/>
      <c r="L15" s="114"/>
      <c r="M15" s="68"/>
    </row>
    <row r="16" spans="1:16" ht="28.15" customHeight="1">
      <c r="A16" s="128" t="s">
        <v>140</v>
      </c>
      <c r="B16" s="128"/>
      <c r="C16" s="128"/>
      <c r="D16" s="128"/>
      <c r="E16" s="115"/>
      <c r="F16" s="91"/>
      <c r="G16" s="91"/>
      <c r="H16" s="91"/>
      <c r="I16" s="115"/>
      <c r="J16" s="92" t="s">
        <v>154</v>
      </c>
      <c r="K16" s="92">
        <f>-0.21*K14</f>
        <v>-60097056.969363116</v>
      </c>
      <c r="L16" s="112"/>
      <c r="M16" s="71"/>
    </row>
    <row r="17" spans="1:13">
      <c r="A17" s="93" t="s">
        <v>150</v>
      </c>
      <c r="B17" s="47"/>
      <c r="F17" s="66"/>
      <c r="G17" s="66"/>
      <c r="H17" s="59"/>
      <c r="I17" s="115"/>
      <c r="J17" s="86"/>
      <c r="K17" s="86"/>
      <c r="L17" s="112"/>
      <c r="M17" s="71"/>
    </row>
    <row r="18" spans="1:13">
      <c r="B18" s="71"/>
      <c r="C18" s="71"/>
      <c r="F18" s="66"/>
      <c r="G18" s="66"/>
      <c r="H18" s="66"/>
      <c r="J18" s="86"/>
      <c r="K18" s="86"/>
      <c r="L18" s="112"/>
      <c r="M18" s="71"/>
    </row>
    <row r="19" spans="1:13" ht="18" customHeight="1">
      <c r="B19" s="71"/>
      <c r="C19" s="71"/>
      <c r="D19" s="76"/>
      <c r="J19" s="47" t="s">
        <v>142</v>
      </c>
      <c r="K19" s="71">
        <f>'Actual Yr 1-4 Amortization'!I38</f>
        <v>247925802.068647</v>
      </c>
      <c r="L19" s="112"/>
      <c r="M19" s="71"/>
    </row>
    <row r="20" spans="1:13">
      <c r="B20" s="76"/>
      <c r="D20" s="76"/>
      <c r="J20" s="47" t="s">
        <v>151</v>
      </c>
      <c r="K20" s="71">
        <f>-K19*0.35</f>
        <v>-86774030.724026442</v>
      </c>
      <c r="L20" s="112"/>
      <c r="M20" s="71"/>
    </row>
    <row r="21" spans="1:13">
      <c r="D21" s="76"/>
      <c r="J21" s="45" t="s">
        <v>152</v>
      </c>
      <c r="K21" s="94">
        <f>-K19*0.21</f>
        <v>-52064418.434415869</v>
      </c>
      <c r="L21" s="112"/>
      <c r="M21" s="71"/>
    </row>
    <row r="22" spans="1:13">
      <c r="J22" s="95" t="s">
        <v>141</v>
      </c>
      <c r="K22" s="96">
        <f>K20-K21</f>
        <v>-34709612.289610572</v>
      </c>
      <c r="L22" s="112"/>
      <c r="M22" s="71"/>
    </row>
    <row r="23" spans="1:13">
      <c r="J23" s="95" t="s">
        <v>160</v>
      </c>
      <c r="K23" s="106">
        <v>2892467.6908008819</v>
      </c>
      <c r="L23" s="112"/>
      <c r="M23" s="71"/>
    </row>
    <row r="24" spans="1:13">
      <c r="B24" s="108"/>
      <c r="C24" s="107"/>
      <c r="J24" s="95" t="s">
        <v>155</v>
      </c>
      <c r="K24" s="96">
        <f>K22+K23</f>
        <v>-31817144.598809689</v>
      </c>
      <c r="L24" s="112"/>
      <c r="M24" s="71"/>
    </row>
    <row r="25" spans="1:13">
      <c r="B25" s="108"/>
      <c r="C25" s="107"/>
      <c r="J25" s="95"/>
      <c r="K25" s="97"/>
      <c r="L25" s="112"/>
      <c r="M25" s="71"/>
    </row>
    <row r="26" spans="1:13">
      <c r="B26" s="108"/>
      <c r="C26" s="107"/>
      <c r="J26" s="95"/>
      <c r="K26" s="97"/>
      <c r="L26" s="112"/>
      <c r="M26" s="71"/>
    </row>
    <row r="27" spans="1:13" ht="15.75" thickBot="1">
      <c r="B27" s="108"/>
      <c r="C27" s="107"/>
      <c r="J27" s="98" t="s">
        <v>144</v>
      </c>
      <c r="K27" s="98">
        <f>K14+K16+K24</f>
        <v>194262260.19069916</v>
      </c>
      <c r="L27" s="112"/>
      <c r="M27" s="71"/>
    </row>
    <row r="28" spans="1:13" ht="15.75" thickTop="1">
      <c r="B28" s="108"/>
      <c r="C28" s="107"/>
      <c r="J28" s="99"/>
      <c r="K28" s="96"/>
      <c r="L28" s="112"/>
      <c r="M28" s="71"/>
    </row>
    <row r="29" spans="1:13">
      <c r="B29" s="108"/>
      <c r="C29" s="107"/>
      <c r="J29" s="86"/>
      <c r="K29" s="86"/>
      <c r="L29" s="112"/>
      <c r="M29" s="71"/>
    </row>
    <row r="30" spans="1:13">
      <c r="B30" s="88"/>
      <c r="C30" s="107"/>
      <c r="J30" s="92"/>
      <c r="K30" s="92"/>
      <c r="L30" s="112"/>
      <c r="M30" s="71"/>
    </row>
    <row r="31" spans="1:13">
      <c r="B31" s="48"/>
      <c r="C31" s="107"/>
      <c r="J31" s="86"/>
      <c r="K31" s="86"/>
      <c r="L31" s="112"/>
      <c r="M31" s="71"/>
    </row>
    <row r="32" spans="1:13">
      <c r="J32" s="86"/>
      <c r="K32" s="86"/>
      <c r="L32" s="112"/>
      <c r="M32" s="71"/>
    </row>
    <row r="33" spans="2:20">
      <c r="B33" s="76"/>
      <c r="J33" s="86"/>
      <c r="K33" s="86"/>
      <c r="L33" s="112"/>
      <c r="M33" s="71"/>
    </row>
    <row r="34" spans="2:20">
      <c r="B34" s="71"/>
      <c r="C34" s="71"/>
      <c r="J34" s="86"/>
      <c r="K34" s="86"/>
      <c r="L34" s="112"/>
      <c r="M34" s="71"/>
    </row>
    <row r="35" spans="2:20">
      <c r="B35" s="76"/>
      <c r="J35" s="86"/>
      <c r="K35" s="86"/>
      <c r="L35" s="112"/>
      <c r="M35" s="71"/>
    </row>
    <row r="36" spans="2:20">
      <c r="J36" s="86"/>
      <c r="K36" s="86"/>
      <c r="L36" s="112"/>
      <c r="M36" s="71"/>
      <c r="N36" s="48"/>
    </row>
    <row r="37" spans="2:20">
      <c r="B37" s="76"/>
      <c r="J37" s="86"/>
      <c r="K37" s="86"/>
      <c r="L37" s="115"/>
      <c r="M37" s="59"/>
      <c r="N37" s="48"/>
      <c r="Q37" s="66"/>
      <c r="R37" s="66"/>
    </row>
    <row r="38" spans="2:20">
      <c r="J38" s="86"/>
      <c r="K38" s="86"/>
      <c r="L38" s="115"/>
      <c r="M38" s="59"/>
      <c r="N38" s="108"/>
      <c r="Q38" s="66"/>
      <c r="R38" s="66"/>
    </row>
    <row r="39" spans="2:20" ht="12.6" customHeight="1">
      <c r="J39" s="86"/>
      <c r="K39" s="86"/>
      <c r="L39" s="115"/>
      <c r="M39" s="59"/>
      <c r="Q39" s="66"/>
      <c r="R39" s="66"/>
    </row>
    <row r="40" spans="2:20">
      <c r="J40" s="86"/>
      <c r="K40" s="86"/>
      <c r="M40" s="62"/>
      <c r="N40" s="108"/>
      <c r="Q40" s="66"/>
      <c r="R40" s="66"/>
    </row>
    <row r="41" spans="2:20">
      <c r="J41" s="86"/>
      <c r="K41" s="86"/>
      <c r="M41" s="86"/>
      <c r="N41" s="108"/>
      <c r="Q41" s="66"/>
      <c r="R41" s="62"/>
      <c r="T41" s="48"/>
    </row>
    <row r="42" spans="2:20">
      <c r="J42" s="86"/>
      <c r="K42" s="86"/>
      <c r="M42" s="86"/>
      <c r="N42" s="108"/>
      <c r="Q42" s="66"/>
      <c r="R42" s="62"/>
      <c r="T42" s="48"/>
    </row>
    <row r="43" spans="2:20">
      <c r="J43" s="86"/>
      <c r="K43" s="86"/>
      <c r="M43" s="86"/>
      <c r="Q43" s="66"/>
      <c r="R43" s="62"/>
      <c r="T43" s="48"/>
    </row>
    <row r="44" spans="2:20">
      <c r="J44" s="86"/>
      <c r="K44" s="86"/>
      <c r="M44" s="86"/>
      <c r="N44" s="48"/>
      <c r="Q44" s="66"/>
      <c r="R44" s="62"/>
      <c r="T44" s="48"/>
    </row>
    <row r="45" spans="2:20">
      <c r="J45" s="86"/>
      <c r="K45" s="86"/>
      <c r="M45" s="86"/>
      <c r="N45" s="100"/>
      <c r="P45" s="66"/>
      <c r="Q45" s="66"/>
      <c r="R45" s="62"/>
      <c r="T45" s="48"/>
    </row>
    <row r="46" spans="2:20">
      <c r="J46" s="86"/>
      <c r="K46" s="86"/>
      <c r="M46" s="86"/>
      <c r="N46" s="85"/>
      <c r="O46" s="66"/>
      <c r="P46" s="66"/>
      <c r="Q46" s="66"/>
      <c r="R46" s="62"/>
      <c r="T46" s="48"/>
    </row>
    <row r="47" spans="2:20">
      <c r="J47" s="90"/>
      <c r="K47" s="90"/>
      <c r="M47" s="86"/>
      <c r="N47" s="66"/>
      <c r="O47" s="66"/>
      <c r="P47" s="66"/>
      <c r="Q47" s="66"/>
      <c r="R47" s="62"/>
      <c r="T47" s="62"/>
    </row>
    <row r="48" spans="2:20">
      <c r="J48" s="71"/>
      <c r="K48" s="71"/>
      <c r="M48" s="86"/>
      <c r="N48" s="66"/>
      <c r="O48" s="66"/>
      <c r="P48" s="66"/>
      <c r="Q48" s="66"/>
      <c r="R48" s="62"/>
      <c r="T48" s="62"/>
    </row>
    <row r="49" spans="10:18">
      <c r="J49" s="71"/>
      <c r="K49" s="71"/>
      <c r="M49" s="66"/>
      <c r="N49" s="66"/>
      <c r="O49" s="66"/>
      <c r="P49" s="66"/>
      <c r="Q49" s="66"/>
      <c r="R49" s="66"/>
    </row>
    <row r="50" spans="10:18">
      <c r="J50" s="71"/>
      <c r="K50" s="71"/>
      <c r="M50" s="85"/>
      <c r="N50" s="87"/>
      <c r="O50" s="86"/>
      <c r="P50" s="86"/>
      <c r="Q50" s="66"/>
      <c r="R50" s="66"/>
    </row>
    <row r="51" spans="10:18">
      <c r="J51" s="47"/>
      <c r="M51" s="88"/>
      <c r="N51" s="87"/>
      <c r="O51" s="86"/>
      <c r="P51" s="85"/>
      <c r="Q51" s="66"/>
      <c r="R51" s="66"/>
    </row>
    <row r="52" spans="10:18">
      <c r="M52" s="62"/>
      <c r="N52" s="87"/>
      <c r="O52" s="86"/>
      <c r="P52" s="66"/>
      <c r="Q52" s="66"/>
      <c r="R52" s="66"/>
    </row>
    <row r="53" spans="10:18">
      <c r="M53" s="86"/>
      <c r="N53" s="87"/>
      <c r="O53" s="86"/>
      <c r="P53" s="66"/>
      <c r="Q53" s="66"/>
      <c r="R53" s="66"/>
    </row>
    <row r="54" spans="10:18">
      <c r="K54" s="48"/>
      <c r="M54" s="86"/>
      <c r="N54" s="87"/>
      <c r="O54" s="86"/>
      <c r="P54" s="62"/>
      <c r="Q54" s="66"/>
      <c r="R54" s="66"/>
    </row>
    <row r="55" spans="10:18">
      <c r="M55" s="86"/>
      <c r="N55" s="87"/>
      <c r="O55" s="86"/>
      <c r="P55" s="66"/>
      <c r="Q55" s="66"/>
      <c r="R55" s="66"/>
    </row>
    <row r="56" spans="10:18">
      <c r="M56" s="62"/>
      <c r="N56" s="87"/>
      <c r="O56" s="86"/>
      <c r="P56" s="66"/>
      <c r="Q56" s="66"/>
      <c r="R56" s="66"/>
    </row>
    <row r="57" spans="10:18">
      <c r="M57" s="86"/>
      <c r="N57" s="86"/>
      <c r="O57" s="66"/>
      <c r="P57" s="66"/>
      <c r="Q57" s="66"/>
      <c r="R57" s="66"/>
    </row>
    <row r="58" spans="10:18">
      <c r="M58" s="86"/>
      <c r="N58" s="85"/>
      <c r="O58" s="66"/>
      <c r="P58" s="66"/>
      <c r="Q58" s="66"/>
      <c r="R58" s="66"/>
    </row>
    <row r="59" spans="10:18">
      <c r="M59" s="86"/>
      <c r="N59" s="86"/>
      <c r="O59" s="66"/>
      <c r="P59" s="66"/>
      <c r="Q59" s="66"/>
      <c r="R59" s="66"/>
    </row>
    <row r="60" spans="10:18">
      <c r="N60" s="66"/>
      <c r="O60" s="66"/>
      <c r="P60" s="66"/>
    </row>
    <row r="61" spans="10:18">
      <c r="N61" s="62"/>
      <c r="O61" s="66"/>
      <c r="P61" s="66"/>
    </row>
    <row r="62" spans="10:18">
      <c r="M62" s="76"/>
      <c r="N62" s="86"/>
      <c r="O62" s="66"/>
      <c r="P62" s="66"/>
    </row>
    <row r="63" spans="10:18">
      <c r="M63" s="76"/>
      <c r="N63" s="62"/>
      <c r="O63" s="66"/>
      <c r="P63" s="66"/>
    </row>
    <row r="64" spans="10:18">
      <c r="K64" s="72"/>
      <c r="N64" s="66"/>
      <c r="O64" s="66"/>
      <c r="P64" s="66"/>
    </row>
    <row r="65" spans="10:16">
      <c r="K65" s="72"/>
      <c r="N65" s="86"/>
      <c r="O65" s="66"/>
      <c r="P65" s="66"/>
    </row>
    <row r="66" spans="10:16">
      <c r="K66" s="70"/>
      <c r="N66" s="87"/>
      <c r="O66" s="86"/>
      <c r="P66" s="66"/>
    </row>
    <row r="67" spans="10:16">
      <c r="K67" s="72"/>
      <c r="N67" s="66"/>
      <c r="O67" s="66"/>
      <c r="P67" s="66"/>
    </row>
    <row r="68" spans="10:16">
      <c r="N68" s="66"/>
      <c r="O68" s="66"/>
    </row>
    <row r="69" spans="10:16">
      <c r="J69" s="66"/>
      <c r="K69" s="66"/>
    </row>
    <row r="70" spans="10:16">
      <c r="J70" s="66"/>
      <c r="K70" s="66"/>
    </row>
    <row r="71" spans="10:16">
      <c r="J71" s="66"/>
      <c r="K71" s="59"/>
    </row>
    <row r="72" spans="10:16">
      <c r="J72" s="66"/>
      <c r="K72" s="66"/>
    </row>
    <row r="73" spans="10:16">
      <c r="J73" s="66"/>
      <c r="K73" s="70"/>
    </row>
    <row r="74" spans="10:16">
      <c r="J74" s="66"/>
      <c r="K74" s="70"/>
    </row>
    <row r="75" spans="10:16">
      <c r="J75" s="66"/>
      <c r="K75" s="70"/>
    </row>
    <row r="76" spans="10:16">
      <c r="J76" s="66"/>
      <c r="K76" s="66"/>
    </row>
  </sheetData>
  <mergeCells count="5">
    <mergeCell ref="B3:D3"/>
    <mergeCell ref="F3:H3"/>
    <mergeCell ref="J3:K3"/>
    <mergeCell ref="J2:K2"/>
    <mergeCell ref="A16:D16"/>
  </mergeCells>
  <pageMargins left="0.7" right="0.7" top="0.75" bottom="0.75" header="0.3" footer="0.3"/>
  <pageSetup scale="49" firstPageNumber="2" orientation="landscape" useFirstPageNumber="1" r:id="rId1"/>
  <headerFooter>
    <oddHeader>&amp;RUpdated KIUC_1_17_Attachment71_Retirement_Cost_Calculation
Page  &amp;P of 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21"/>
  <sheetViews>
    <sheetView zoomScale="70" zoomScaleNormal="70" workbookViewId="0">
      <pane ySplit="6" topLeftCell="A43" activePane="bottomLeft" state="frozen"/>
      <selection pane="bottomLeft" activeCell="B311" sqref="B311"/>
    </sheetView>
  </sheetViews>
  <sheetFormatPr defaultColWidth="8.85546875" defaultRowHeight="15"/>
  <cols>
    <col min="1" max="1" width="8.85546875" style="64"/>
    <col min="2" max="2" width="37.5703125" style="64" bestFit="1" customWidth="1"/>
    <col min="3" max="3" width="25" style="64" customWidth="1"/>
    <col min="4" max="4" width="19.28515625" style="64" customWidth="1"/>
    <col min="5" max="5" width="22" style="64" customWidth="1"/>
    <col min="6" max="6" width="21.140625" style="64" bestFit="1" customWidth="1"/>
    <col min="7" max="7" width="16.85546875" style="64" customWidth="1"/>
    <col min="8" max="8" width="19.85546875" style="64" customWidth="1"/>
    <col min="9" max="9" width="22.7109375" style="64" customWidth="1"/>
    <col min="10" max="10" width="18.140625" style="64" bestFit="1" customWidth="1"/>
    <col min="11" max="11" width="20.28515625" style="64" customWidth="1"/>
    <col min="12" max="12" width="20.7109375" style="64" bestFit="1" customWidth="1"/>
    <col min="13" max="13" width="1.28515625" style="64" customWidth="1"/>
    <col min="14" max="14" width="13.28515625" style="64" bestFit="1" customWidth="1"/>
    <col min="15" max="16384" width="8.85546875" style="64"/>
  </cols>
  <sheetData>
    <row r="1" spans="1:15" ht="81.75" customHeight="1">
      <c r="A1" s="40" t="s">
        <v>1</v>
      </c>
      <c r="B1" s="40" t="s">
        <v>63</v>
      </c>
      <c r="C1" s="101" t="s">
        <v>106</v>
      </c>
      <c r="D1" s="101" t="s">
        <v>107</v>
      </c>
      <c r="E1" s="101" t="s">
        <v>108</v>
      </c>
      <c r="F1" s="101" t="s">
        <v>109</v>
      </c>
      <c r="G1" s="101" t="s">
        <v>110</v>
      </c>
      <c r="H1" s="101" t="s">
        <v>3</v>
      </c>
      <c r="I1" s="101" t="s">
        <v>3</v>
      </c>
      <c r="K1" s="101" t="s">
        <v>104</v>
      </c>
      <c r="L1" s="101" t="s">
        <v>101</v>
      </c>
    </row>
    <row r="2" spans="1:15">
      <c r="A2" s="40"/>
      <c r="B2" s="40"/>
      <c r="C2" s="40">
        <v>1823379</v>
      </c>
      <c r="D2" s="40">
        <v>1823376</v>
      </c>
      <c r="E2" s="40">
        <v>1823378</v>
      </c>
      <c r="F2" s="40">
        <v>1823380</v>
      </c>
      <c r="G2" s="40">
        <v>1823518</v>
      </c>
      <c r="H2" s="40" t="s">
        <v>77</v>
      </c>
      <c r="I2" s="40" t="s">
        <v>78</v>
      </c>
      <c r="J2" s="64" t="s">
        <v>4</v>
      </c>
      <c r="L2" s="64" t="s">
        <v>85</v>
      </c>
    </row>
    <row r="3" spans="1:15">
      <c r="A3" s="40"/>
      <c r="B3" s="40"/>
      <c r="C3" s="40" t="s">
        <v>89</v>
      </c>
      <c r="D3" s="40"/>
      <c r="E3" s="40"/>
      <c r="F3" s="40"/>
      <c r="G3" s="40" t="s">
        <v>90</v>
      </c>
      <c r="H3" s="40" t="s">
        <v>91</v>
      </c>
      <c r="I3" s="40" t="s">
        <v>94</v>
      </c>
      <c r="L3" s="64">
        <v>0.98599999999999999</v>
      </c>
    </row>
    <row r="4" spans="1:15">
      <c r="A4" s="40"/>
      <c r="B4" s="40"/>
      <c r="C4" s="40"/>
      <c r="D4" s="40"/>
      <c r="E4" s="40"/>
      <c r="F4" s="40"/>
      <c r="G4" s="40"/>
      <c r="H4" s="40" t="s">
        <v>92</v>
      </c>
      <c r="I4" s="40" t="s">
        <v>95</v>
      </c>
    </row>
    <row r="5" spans="1:15">
      <c r="A5" s="40"/>
      <c r="B5" s="40"/>
      <c r="C5" s="40"/>
      <c r="D5" s="40"/>
      <c r="E5" s="40"/>
      <c r="F5" s="40"/>
      <c r="G5" s="40"/>
      <c r="H5" s="40" t="s">
        <v>93</v>
      </c>
      <c r="I5" s="40" t="s">
        <v>96</v>
      </c>
    </row>
    <row r="6" spans="1:15">
      <c r="A6" s="40"/>
      <c r="B6" s="40"/>
      <c r="C6" s="40"/>
      <c r="D6" s="40"/>
      <c r="E6" s="40"/>
      <c r="F6" s="40"/>
      <c r="G6" s="40"/>
      <c r="H6" s="40"/>
      <c r="I6" s="40"/>
    </row>
    <row r="7" spans="1:15">
      <c r="B7" s="102">
        <v>42185</v>
      </c>
      <c r="C7" s="41">
        <f>251384137.3+1854094.4</f>
        <v>253238231.70000002</v>
      </c>
      <c r="D7" s="41">
        <v>-66333380.799999997</v>
      </c>
      <c r="E7" s="41">
        <v>4101526.44</v>
      </c>
      <c r="F7" s="41">
        <f>3333431.55-1573483.18</f>
        <v>1759948.3699999999</v>
      </c>
      <c r="G7" s="41">
        <v>0</v>
      </c>
      <c r="H7" s="41">
        <v>2671359.25</v>
      </c>
      <c r="I7" s="41">
        <v>514215</v>
      </c>
      <c r="J7" s="41">
        <f>SUM(C7:I7)</f>
        <v>195951899.96000004</v>
      </c>
      <c r="K7" s="41">
        <f t="shared" ref="K7:K21" si="0">C7+D7+F7+G7</f>
        <v>188664799.27000004</v>
      </c>
      <c r="L7" s="41">
        <f t="shared" ref="L7:L71" si="1">ROUND(K7*L$3,0)</f>
        <v>186023492</v>
      </c>
      <c r="M7" s="41"/>
      <c r="N7" s="41"/>
      <c r="O7" s="41"/>
    </row>
    <row r="8" spans="1:15">
      <c r="A8" s="64">
        <v>1</v>
      </c>
      <c r="B8" s="102">
        <v>42186</v>
      </c>
      <c r="C8" s="41">
        <v>0</v>
      </c>
      <c r="D8" s="41">
        <v>840287.23</v>
      </c>
      <c r="E8" s="41">
        <v>-4187.43</v>
      </c>
      <c r="F8" s="41">
        <f>290708.16-1024.09</f>
        <v>289684.06999999995</v>
      </c>
      <c r="G8" s="41">
        <v>115952.93</v>
      </c>
      <c r="H8" s="41">
        <v>1104019.23</v>
      </c>
      <c r="I8" s="41">
        <v>-11891.62</v>
      </c>
      <c r="J8" s="41">
        <f>SUM(C8:I8)</f>
        <v>2333864.4099999997</v>
      </c>
      <c r="K8" s="41">
        <f t="shared" si="0"/>
        <v>1245924.2299999997</v>
      </c>
      <c r="L8" s="41">
        <f>ROUND(K8*L$3,0)</f>
        <v>1228481</v>
      </c>
      <c r="M8" s="41"/>
      <c r="N8" s="41"/>
      <c r="O8" s="41"/>
    </row>
    <row r="9" spans="1:15">
      <c r="A9" s="64">
        <v>2</v>
      </c>
      <c r="B9" s="102">
        <v>42217</v>
      </c>
      <c r="C9" s="41">
        <v>0</v>
      </c>
      <c r="D9" s="41">
        <v>343381.42</v>
      </c>
      <c r="E9" s="41">
        <v>0</v>
      </c>
      <c r="F9" s="41">
        <f>417656.42-19048.87</f>
        <v>398607.55</v>
      </c>
      <c r="G9" s="41">
        <v>104922.68</v>
      </c>
      <c r="H9" s="41">
        <v>-12551.59</v>
      </c>
      <c r="I9" s="41">
        <v>-6094.13</v>
      </c>
      <c r="J9" s="41">
        <f t="shared" ref="J9:J73" si="2">SUM(C9:I9)</f>
        <v>828265.92999999993</v>
      </c>
      <c r="K9" s="41">
        <f t="shared" si="0"/>
        <v>846911.64999999991</v>
      </c>
      <c r="L9" s="41">
        <f t="shared" si="1"/>
        <v>835055</v>
      </c>
      <c r="M9" s="41"/>
      <c r="N9" s="41"/>
      <c r="O9" s="41"/>
    </row>
    <row r="10" spans="1:15">
      <c r="A10" s="64">
        <v>3</v>
      </c>
      <c r="B10" s="102">
        <v>42248</v>
      </c>
      <c r="C10" s="41">
        <v>0</v>
      </c>
      <c r="D10" s="41">
        <v>312465.07</v>
      </c>
      <c r="E10" s="41">
        <v>-75294.100000000006</v>
      </c>
      <c r="F10" s="41">
        <f>547092-24718.75</f>
        <v>522373.25</v>
      </c>
      <c r="G10" s="41">
        <f>114590.19</f>
        <v>114590.19</v>
      </c>
      <c r="H10" s="41">
        <v>119767.28</v>
      </c>
      <c r="I10" s="41">
        <v>8331.7900000000009</v>
      </c>
      <c r="J10" s="41">
        <f t="shared" si="2"/>
        <v>1002233.48</v>
      </c>
      <c r="K10" s="41">
        <f t="shared" si="0"/>
        <v>949428.51</v>
      </c>
      <c r="L10" s="41">
        <f t="shared" si="1"/>
        <v>936137</v>
      </c>
      <c r="M10" s="41"/>
      <c r="N10" s="41"/>
      <c r="O10" s="41"/>
    </row>
    <row r="11" spans="1:15">
      <c r="A11" s="64">
        <v>4</v>
      </c>
      <c r="B11" s="102">
        <v>42278</v>
      </c>
      <c r="C11" s="41">
        <v>0</v>
      </c>
      <c r="D11" s="41">
        <v>300515.27</v>
      </c>
      <c r="E11" s="41">
        <v>-6966.07</v>
      </c>
      <c r="F11" s="41">
        <f>635813.61-76143.26</f>
        <v>559670.35</v>
      </c>
      <c r="G11" s="41">
        <v>116350.79000000001</v>
      </c>
      <c r="H11" s="41">
        <v>-19420.669999999998</v>
      </c>
      <c r="I11" s="41">
        <f>499420.03-504561.04</f>
        <v>-5141.0099999999511</v>
      </c>
      <c r="J11" s="41">
        <f>SUM(C11:I11)</f>
        <v>945008.66000000015</v>
      </c>
      <c r="K11" s="41">
        <f t="shared" si="0"/>
        <v>976536.41</v>
      </c>
      <c r="L11" s="41">
        <f t="shared" si="1"/>
        <v>962865</v>
      </c>
      <c r="M11" s="41"/>
      <c r="N11" s="41"/>
      <c r="O11" s="41"/>
    </row>
    <row r="12" spans="1:15">
      <c r="A12" s="64">
        <v>5</v>
      </c>
      <c r="B12" s="102">
        <v>42309</v>
      </c>
      <c r="C12" s="41">
        <v>0</v>
      </c>
      <c r="D12" s="41">
        <v>964785.46</v>
      </c>
      <c r="E12" s="41">
        <f>488957.12-499420.03</f>
        <v>-10462.910000000033</v>
      </c>
      <c r="F12" s="41">
        <f>1065555.58-348199.31</f>
        <v>717356.27</v>
      </c>
      <c r="G12" s="41">
        <v>189475.55</v>
      </c>
      <c r="H12" s="41">
        <f>-3863173.5+3957711.96</f>
        <v>94538.459999999963</v>
      </c>
      <c r="I12" s="41">
        <v>0</v>
      </c>
      <c r="J12" s="41">
        <f>SUM(C12:I12)</f>
        <v>1955692.8299999998</v>
      </c>
      <c r="K12" s="41">
        <f t="shared" si="0"/>
        <v>1871617.28</v>
      </c>
      <c r="L12" s="41">
        <f t="shared" si="1"/>
        <v>1845415</v>
      </c>
      <c r="M12" s="41"/>
      <c r="N12" s="41"/>
      <c r="O12" s="41"/>
    </row>
    <row r="13" spans="1:15">
      <c r="A13" s="64">
        <v>6</v>
      </c>
      <c r="B13" s="19" t="s">
        <v>118</v>
      </c>
      <c r="C13" s="41">
        <v>3957711.96</v>
      </c>
      <c r="D13" s="41">
        <v>0</v>
      </c>
      <c r="E13" s="41">
        <v>499420.03</v>
      </c>
      <c r="F13" s="41"/>
      <c r="G13" s="41"/>
      <c r="H13" s="41">
        <v>-3957711.96</v>
      </c>
      <c r="I13" s="41">
        <v>-499420.03</v>
      </c>
      <c r="J13" s="41">
        <f>SUM(C13:I13)</f>
        <v>0</v>
      </c>
      <c r="K13" s="41">
        <f>C13+D13+F13+G13</f>
        <v>3957711.96</v>
      </c>
      <c r="L13" s="41">
        <f>ROUND(K13*L$3,0)</f>
        <v>3902304</v>
      </c>
      <c r="M13" s="41"/>
      <c r="N13" s="41"/>
      <c r="O13" s="41"/>
    </row>
    <row r="14" spans="1:15">
      <c r="A14" s="64">
        <v>7</v>
      </c>
      <c r="B14" s="102">
        <v>42339</v>
      </c>
      <c r="C14" s="41">
        <v>0</v>
      </c>
      <c r="D14" s="41">
        <v>1419647.09</v>
      </c>
      <c r="E14" s="41">
        <v>-19049.3</v>
      </c>
      <c r="F14" s="41">
        <f>1349754.85-571453.74</f>
        <v>778301.1100000001</v>
      </c>
      <c r="G14" s="41">
        <v>103167.71</v>
      </c>
      <c r="H14" s="41">
        <v>0</v>
      </c>
      <c r="I14" s="41">
        <v>0</v>
      </c>
      <c r="J14" s="41">
        <f t="shared" si="2"/>
        <v>2282066.6100000003</v>
      </c>
      <c r="K14" s="41">
        <f t="shared" si="0"/>
        <v>2301115.91</v>
      </c>
      <c r="L14" s="41">
        <f>ROUND(K14*L$3,0)</f>
        <v>2268900</v>
      </c>
      <c r="M14" s="41"/>
      <c r="N14" s="41"/>
      <c r="O14" s="41"/>
    </row>
    <row r="15" spans="1:15">
      <c r="A15" s="64">
        <v>8</v>
      </c>
      <c r="B15" s="102">
        <v>42370</v>
      </c>
      <c r="C15" s="41">
        <v>0</v>
      </c>
      <c r="D15" s="41">
        <v>1695447.26</v>
      </c>
      <c r="E15" s="41">
        <v>-105006.32</v>
      </c>
      <c r="F15" s="41">
        <f>414514.39-0</f>
        <v>414514.39</v>
      </c>
      <c r="G15" s="41">
        <v>35152.19</v>
      </c>
      <c r="H15" s="41">
        <v>0</v>
      </c>
      <c r="I15" s="41">
        <v>0</v>
      </c>
      <c r="J15" s="41">
        <f t="shared" si="2"/>
        <v>2040107.52</v>
      </c>
      <c r="K15" s="41">
        <f t="shared" si="0"/>
        <v>2145113.84</v>
      </c>
      <c r="L15" s="41">
        <f>ROUND(K15*L$3,0)</f>
        <v>2115082</v>
      </c>
      <c r="M15" s="41"/>
      <c r="N15" s="41"/>
      <c r="O15" s="41"/>
    </row>
    <row r="16" spans="1:15">
      <c r="A16" s="64">
        <v>9</v>
      </c>
      <c r="B16" s="102">
        <v>42401</v>
      </c>
      <c r="C16" s="41">
        <v>0</v>
      </c>
      <c r="D16" s="41">
        <v>1637034.82</v>
      </c>
      <c r="E16" s="41">
        <v>-816.31</v>
      </c>
      <c r="F16" s="41">
        <f>726971.8-293826.27</f>
        <v>433145.53</v>
      </c>
      <c r="G16" s="41">
        <v>-939.06999999999994</v>
      </c>
      <c r="H16" s="41">
        <v>0</v>
      </c>
      <c r="I16" s="41">
        <v>0</v>
      </c>
      <c r="J16" s="41">
        <f t="shared" si="2"/>
        <v>2068424.97</v>
      </c>
      <c r="K16" s="41">
        <f t="shared" si="0"/>
        <v>2069241.28</v>
      </c>
      <c r="L16" s="41">
        <f t="shared" si="1"/>
        <v>2040272</v>
      </c>
      <c r="M16" s="41"/>
      <c r="N16" s="41"/>
      <c r="O16" s="41"/>
    </row>
    <row r="17" spans="1:15">
      <c r="A17" s="64">
        <v>10</v>
      </c>
      <c r="B17" s="102">
        <v>42430</v>
      </c>
      <c r="C17" s="41">
        <v>0</v>
      </c>
      <c r="D17" s="41">
        <v>2794090.93</v>
      </c>
      <c r="E17" s="41">
        <v>-36284.83</v>
      </c>
      <c r="F17" s="41">
        <v>347167.77</v>
      </c>
      <c r="G17" s="41">
        <v>47351.46</v>
      </c>
      <c r="H17" s="41">
        <v>0</v>
      </c>
      <c r="I17" s="41">
        <v>0</v>
      </c>
      <c r="J17" s="41">
        <f t="shared" si="2"/>
        <v>3152325.33</v>
      </c>
      <c r="K17" s="41">
        <f>C17+D17+F17+G17</f>
        <v>3188610.16</v>
      </c>
      <c r="L17" s="41">
        <f>ROUND(K17*L$3,0)</f>
        <v>3143970</v>
      </c>
      <c r="M17" s="41"/>
      <c r="N17" s="41"/>
      <c r="O17" s="41"/>
    </row>
    <row r="18" spans="1:15">
      <c r="A18" s="64">
        <v>11</v>
      </c>
      <c r="B18" s="102">
        <v>42461</v>
      </c>
      <c r="C18" s="41">
        <v>0</v>
      </c>
      <c r="D18" s="41">
        <v>1834502.55</v>
      </c>
      <c r="E18" s="41">
        <v>-123904.34</v>
      </c>
      <c r="F18" s="41">
        <v>558244.76</v>
      </c>
      <c r="G18" s="41">
        <v>1180.1099999999999</v>
      </c>
      <c r="H18" s="41">
        <v>0</v>
      </c>
      <c r="I18" s="41">
        <v>0</v>
      </c>
      <c r="J18" s="41">
        <f t="shared" si="2"/>
        <v>2270023.0799999996</v>
      </c>
      <c r="K18" s="41">
        <f t="shared" si="0"/>
        <v>2393927.42</v>
      </c>
      <c r="L18" s="41">
        <f t="shared" si="1"/>
        <v>2360412</v>
      </c>
      <c r="M18" s="41"/>
      <c r="N18" s="41"/>
      <c r="O18" s="41"/>
    </row>
    <row r="19" spans="1:15">
      <c r="A19" s="64">
        <v>12</v>
      </c>
      <c r="B19" s="102">
        <v>42491</v>
      </c>
      <c r="C19" s="41">
        <v>0</v>
      </c>
      <c r="D19" s="41">
        <v>2068364.38</v>
      </c>
      <c r="E19" s="41">
        <v>-55835.95</v>
      </c>
      <c r="F19" s="41">
        <v>368938.67</v>
      </c>
      <c r="G19" s="41">
        <v>3087.47</v>
      </c>
      <c r="H19" s="41">
        <v>0</v>
      </c>
      <c r="I19" s="41">
        <v>0</v>
      </c>
      <c r="J19" s="41">
        <f t="shared" si="2"/>
        <v>2384554.5700000003</v>
      </c>
      <c r="K19" s="41">
        <f t="shared" si="0"/>
        <v>2440390.52</v>
      </c>
      <c r="L19" s="41">
        <f t="shared" si="1"/>
        <v>2406225</v>
      </c>
      <c r="M19" s="41"/>
      <c r="N19" s="41"/>
      <c r="O19" s="41"/>
    </row>
    <row r="20" spans="1:15">
      <c r="A20" s="64">
        <v>13</v>
      </c>
      <c r="B20" s="102">
        <v>42522</v>
      </c>
      <c r="C20" s="41">
        <v>0</v>
      </c>
      <c r="D20" s="41">
        <v>668830.92000000004</v>
      </c>
      <c r="E20" s="41">
        <v>-77242.42</v>
      </c>
      <c r="F20" s="41">
        <v>336185.51</v>
      </c>
      <c r="G20" s="41">
        <v>6369.09</v>
      </c>
      <c r="H20" s="41">
        <v>0</v>
      </c>
      <c r="I20" s="41"/>
      <c r="J20" s="41">
        <f t="shared" si="2"/>
        <v>934143.1</v>
      </c>
      <c r="K20" s="41">
        <f t="shared" si="0"/>
        <v>1011385.52</v>
      </c>
      <c r="L20" s="41">
        <f t="shared" si="1"/>
        <v>997226</v>
      </c>
      <c r="M20" s="41"/>
      <c r="N20" s="41"/>
      <c r="O20" s="41"/>
    </row>
    <row r="21" spans="1:15">
      <c r="A21" s="64">
        <v>14</v>
      </c>
      <c r="B21" s="102">
        <v>42552</v>
      </c>
      <c r="C21" s="41">
        <v>0</v>
      </c>
      <c r="D21" s="41">
        <v>1234700.31</v>
      </c>
      <c r="E21" s="41">
        <v>-44807.34</v>
      </c>
      <c r="F21" s="41">
        <v>310127.65999999997</v>
      </c>
      <c r="G21" s="41">
        <v>2340.17</v>
      </c>
      <c r="H21" s="41">
        <v>0</v>
      </c>
      <c r="I21" s="41">
        <v>0</v>
      </c>
      <c r="J21" s="41">
        <f t="shared" si="2"/>
        <v>1502360.7999999998</v>
      </c>
      <c r="K21" s="41">
        <f t="shared" si="0"/>
        <v>1547168.14</v>
      </c>
      <c r="L21" s="41">
        <f>ROUND(K21*L$3,0)</f>
        <v>1525508</v>
      </c>
      <c r="M21" s="41"/>
      <c r="N21" s="41"/>
      <c r="O21" s="41"/>
    </row>
    <row r="22" spans="1:15">
      <c r="A22" s="64">
        <v>15</v>
      </c>
      <c r="B22" s="102">
        <v>42583</v>
      </c>
      <c r="C22" s="41">
        <v>0</v>
      </c>
      <c r="D22" s="41">
        <v>2524749.6</v>
      </c>
      <c r="E22" s="41">
        <v>-35699.89</v>
      </c>
      <c r="F22" s="41">
        <v>2067656.87</v>
      </c>
      <c r="G22" s="41">
        <v>738.54</v>
      </c>
      <c r="H22" s="41">
        <v>0</v>
      </c>
      <c r="I22" s="41">
        <v>0</v>
      </c>
      <c r="J22" s="41">
        <f t="shared" si="2"/>
        <v>4557445.1200000001</v>
      </c>
      <c r="K22" s="41">
        <f t="shared" ref="K22:K81" si="3">C22+D22+F22+G22</f>
        <v>4593145.0100000007</v>
      </c>
      <c r="L22" s="41">
        <f t="shared" si="1"/>
        <v>4528841</v>
      </c>
      <c r="M22" s="41"/>
      <c r="N22" s="41"/>
      <c r="O22" s="41"/>
    </row>
    <row r="23" spans="1:15">
      <c r="A23" s="64">
        <v>16</v>
      </c>
      <c r="B23" s="102">
        <v>42614</v>
      </c>
      <c r="C23" s="41">
        <v>0</v>
      </c>
      <c r="D23" s="41">
        <v>2207110.67</v>
      </c>
      <c r="E23" s="41">
        <v>-8662.65</v>
      </c>
      <c r="F23" s="41">
        <v>1232171.94</v>
      </c>
      <c r="G23" s="41">
        <v>6022.85</v>
      </c>
      <c r="H23" s="41">
        <v>0</v>
      </c>
      <c r="I23" s="41">
        <v>0</v>
      </c>
      <c r="J23" s="41">
        <f t="shared" si="2"/>
        <v>3436642.81</v>
      </c>
      <c r="K23" s="41">
        <f t="shared" si="3"/>
        <v>3445305.46</v>
      </c>
      <c r="L23" s="41">
        <f t="shared" si="1"/>
        <v>3397071</v>
      </c>
      <c r="M23" s="41"/>
      <c r="N23" s="41"/>
      <c r="O23" s="41"/>
    </row>
    <row r="24" spans="1:15">
      <c r="A24" s="64">
        <v>17</v>
      </c>
      <c r="B24" s="102">
        <v>42644</v>
      </c>
      <c r="C24" s="41">
        <v>0</v>
      </c>
      <c r="D24" s="41">
        <v>2463907.35</v>
      </c>
      <c r="E24" s="41">
        <v>-56336.6</v>
      </c>
      <c r="F24" s="41">
        <v>4450113.54</v>
      </c>
      <c r="G24" s="41">
        <v>-10151.1</v>
      </c>
      <c r="H24" s="41">
        <v>0</v>
      </c>
      <c r="I24" s="41">
        <v>0</v>
      </c>
      <c r="J24" s="41">
        <f t="shared" si="2"/>
        <v>6847533.1900000004</v>
      </c>
      <c r="K24" s="41">
        <f t="shared" si="3"/>
        <v>6903869.790000001</v>
      </c>
      <c r="L24" s="41">
        <f t="shared" si="1"/>
        <v>6807216</v>
      </c>
      <c r="M24" s="41"/>
      <c r="N24" s="41"/>
      <c r="O24" s="41"/>
    </row>
    <row r="25" spans="1:15">
      <c r="A25" s="64">
        <v>18</v>
      </c>
      <c r="B25" s="102">
        <v>42675</v>
      </c>
      <c r="C25" s="41">
        <v>0</v>
      </c>
      <c r="D25" s="41">
        <v>747204.6</v>
      </c>
      <c r="E25" s="41">
        <v>-24789.84</v>
      </c>
      <c r="F25" s="41">
        <v>1186265.5900000001</v>
      </c>
      <c r="G25" s="41">
        <v>1339.61</v>
      </c>
      <c r="H25" s="41">
        <v>0</v>
      </c>
      <c r="I25" s="41">
        <v>0</v>
      </c>
      <c r="J25" s="41">
        <f t="shared" si="2"/>
        <v>1910019.9600000002</v>
      </c>
      <c r="K25" s="41">
        <f t="shared" si="3"/>
        <v>1934809.8</v>
      </c>
      <c r="L25" s="41">
        <f t="shared" si="1"/>
        <v>1907722</v>
      </c>
      <c r="M25" s="41"/>
      <c r="N25" s="41"/>
      <c r="O25" s="41"/>
    </row>
    <row r="26" spans="1:15">
      <c r="A26" s="64">
        <v>19</v>
      </c>
      <c r="B26" s="102">
        <v>42705</v>
      </c>
      <c r="C26" s="41">
        <v>0</v>
      </c>
      <c r="D26" s="41">
        <v>544351.32999999996</v>
      </c>
      <c r="E26" s="41">
        <v>-12306.62</v>
      </c>
      <c r="F26" s="41">
        <v>1613520.77</v>
      </c>
      <c r="G26" s="41">
        <v>3964.88</v>
      </c>
      <c r="H26" s="41">
        <v>0</v>
      </c>
      <c r="I26" s="41">
        <v>0</v>
      </c>
      <c r="J26" s="41">
        <f t="shared" si="2"/>
        <v>2149530.36</v>
      </c>
      <c r="K26" s="41">
        <f t="shared" si="3"/>
        <v>2161836.98</v>
      </c>
      <c r="L26" s="41">
        <f t="shared" si="1"/>
        <v>2131571</v>
      </c>
      <c r="M26" s="41"/>
      <c r="N26" s="41"/>
      <c r="O26" s="41"/>
    </row>
    <row r="27" spans="1:15">
      <c r="A27" s="64">
        <v>20</v>
      </c>
      <c r="B27" s="102">
        <v>42736</v>
      </c>
      <c r="C27" s="41">
        <v>0</v>
      </c>
      <c r="D27" s="41">
        <v>389656.8</v>
      </c>
      <c r="E27" s="41">
        <v>-139081.98000000001</v>
      </c>
      <c r="F27" s="41">
        <v>425944.87</v>
      </c>
      <c r="G27" s="41">
        <v>17037.37</v>
      </c>
      <c r="H27" s="41">
        <v>0</v>
      </c>
      <c r="I27" s="41">
        <v>0</v>
      </c>
      <c r="J27" s="41">
        <f t="shared" si="2"/>
        <v>693557.05999999994</v>
      </c>
      <c r="K27" s="41">
        <f t="shared" si="3"/>
        <v>832639.03999999992</v>
      </c>
      <c r="L27" s="41">
        <f t="shared" si="1"/>
        <v>820982</v>
      </c>
      <c r="M27" s="41"/>
      <c r="N27" s="41"/>
      <c r="O27" s="41"/>
    </row>
    <row r="28" spans="1:15">
      <c r="A28" s="64">
        <v>20</v>
      </c>
      <c r="B28" s="102">
        <v>42767</v>
      </c>
      <c r="C28" s="41">
        <v>0</v>
      </c>
      <c r="D28" s="41">
        <v>184500.84</v>
      </c>
      <c r="E28" s="41">
        <v>-8969.81</v>
      </c>
      <c r="F28" s="41">
        <v>557995.5</v>
      </c>
      <c r="G28" s="41">
        <v>8041.96</v>
      </c>
      <c r="H28" s="41">
        <v>0</v>
      </c>
      <c r="I28" s="41">
        <v>0</v>
      </c>
      <c r="J28" s="41">
        <f t="shared" si="2"/>
        <v>741568.49</v>
      </c>
      <c r="K28" s="41">
        <f t="shared" si="3"/>
        <v>750538.29999999993</v>
      </c>
      <c r="L28" s="41">
        <f t="shared" si="1"/>
        <v>740031</v>
      </c>
      <c r="M28" s="41"/>
      <c r="N28" s="41"/>
      <c r="O28" s="41"/>
    </row>
    <row r="29" spans="1:15">
      <c r="A29" s="64">
        <v>21</v>
      </c>
      <c r="B29" s="102">
        <v>42795</v>
      </c>
      <c r="C29" s="41">
        <v>0</v>
      </c>
      <c r="D29" s="41">
        <v>238426.61</v>
      </c>
      <c r="E29" s="41">
        <v>-3680.12</v>
      </c>
      <c r="F29" s="41">
        <v>1035427.53</v>
      </c>
      <c r="G29" s="41">
        <v>3847.6</v>
      </c>
      <c r="H29" s="41">
        <v>0</v>
      </c>
      <c r="I29" s="41">
        <v>0</v>
      </c>
      <c r="J29" s="41">
        <f>SUM(C29:I29)</f>
        <v>1274021.6200000001</v>
      </c>
      <c r="K29" s="41">
        <f t="shared" si="3"/>
        <v>1277701.7400000002</v>
      </c>
      <c r="L29" s="41">
        <f t="shared" si="1"/>
        <v>1259814</v>
      </c>
      <c r="M29" s="41"/>
      <c r="N29" s="41"/>
      <c r="O29" s="41"/>
    </row>
    <row r="30" spans="1:15">
      <c r="A30" s="64">
        <v>22</v>
      </c>
      <c r="B30" s="102">
        <v>42826</v>
      </c>
      <c r="C30" s="41">
        <v>0</v>
      </c>
      <c r="D30" s="41">
        <v>311671.76</v>
      </c>
      <c r="E30" s="41">
        <v>-2873.88</v>
      </c>
      <c r="F30" s="41">
        <v>894131.94</v>
      </c>
      <c r="G30" s="41">
        <v>11298.29</v>
      </c>
      <c r="H30" s="41">
        <v>0</v>
      </c>
      <c r="I30" s="41">
        <v>0</v>
      </c>
      <c r="J30" s="41">
        <f t="shared" si="2"/>
        <v>1214228.1099999999</v>
      </c>
      <c r="K30" s="41">
        <f t="shared" si="3"/>
        <v>1217101.99</v>
      </c>
      <c r="L30" s="41">
        <f t="shared" si="1"/>
        <v>1200063</v>
      </c>
      <c r="M30" s="41"/>
      <c r="N30" s="41"/>
      <c r="O30" s="41"/>
    </row>
    <row r="31" spans="1:15">
      <c r="A31" s="64">
        <v>23</v>
      </c>
      <c r="B31" s="102">
        <v>42856</v>
      </c>
      <c r="C31" s="41">
        <v>0</v>
      </c>
      <c r="D31" s="41">
        <v>829727.28</v>
      </c>
      <c r="E31" s="41">
        <v>-7404.24</v>
      </c>
      <c r="F31" s="41">
        <v>1112697.69</v>
      </c>
      <c r="G31" s="41">
        <v>624.36</v>
      </c>
      <c r="H31" s="41">
        <v>0</v>
      </c>
      <c r="I31" s="41">
        <v>0</v>
      </c>
      <c r="J31" s="41">
        <f t="shared" si="2"/>
        <v>1935645.09</v>
      </c>
      <c r="K31" s="41">
        <f t="shared" si="3"/>
        <v>1943049.33</v>
      </c>
      <c r="L31" s="41">
        <f t="shared" si="1"/>
        <v>1915847</v>
      </c>
      <c r="M31" s="41"/>
      <c r="N31" s="41"/>
      <c r="O31" s="41"/>
    </row>
    <row r="32" spans="1:15">
      <c r="A32" s="64">
        <v>24</v>
      </c>
      <c r="B32" s="102">
        <v>42887</v>
      </c>
      <c r="C32" s="41">
        <v>0</v>
      </c>
      <c r="D32" s="41">
        <v>253893.81</v>
      </c>
      <c r="E32" s="41">
        <v>-13618.32</v>
      </c>
      <c r="F32" s="41">
        <v>1529637.09</v>
      </c>
      <c r="G32" s="41">
        <v>835.39</v>
      </c>
      <c r="H32" s="41">
        <v>0</v>
      </c>
      <c r="I32" s="41">
        <v>0</v>
      </c>
      <c r="J32" s="41">
        <f t="shared" si="2"/>
        <v>1770747.97</v>
      </c>
      <c r="K32" s="41">
        <f t="shared" si="3"/>
        <v>1784366.29</v>
      </c>
      <c r="L32" s="41">
        <f t="shared" si="1"/>
        <v>1759385</v>
      </c>
      <c r="M32" s="41"/>
      <c r="N32" s="41"/>
      <c r="O32" s="41"/>
    </row>
    <row r="33" spans="1:15">
      <c r="A33" s="64">
        <v>25</v>
      </c>
      <c r="B33" s="102">
        <v>42917</v>
      </c>
      <c r="C33" s="41">
        <v>0</v>
      </c>
      <c r="D33" s="41">
        <v>28410.15</v>
      </c>
      <c r="E33" s="41">
        <v>-14291.77</v>
      </c>
      <c r="F33" s="41">
        <v>1425121.79</v>
      </c>
      <c r="G33" s="41">
        <v>10906.769999999999</v>
      </c>
      <c r="H33" s="41">
        <v>0</v>
      </c>
      <c r="I33" s="41">
        <v>0</v>
      </c>
      <c r="J33" s="41">
        <f t="shared" si="2"/>
        <v>1450146.94</v>
      </c>
      <c r="K33" s="41">
        <f t="shared" si="3"/>
        <v>1464438.71</v>
      </c>
      <c r="L33" s="41">
        <f t="shared" si="1"/>
        <v>1443937</v>
      </c>
      <c r="M33" s="41"/>
      <c r="N33" s="41"/>
      <c r="O33" s="41"/>
    </row>
    <row r="34" spans="1:15">
      <c r="A34" s="64">
        <v>26</v>
      </c>
      <c r="B34" s="102">
        <v>42948</v>
      </c>
      <c r="C34" s="41">
        <v>0</v>
      </c>
      <c r="D34" s="41">
        <v>202967.02</v>
      </c>
      <c r="E34" s="41">
        <v>-12382.27</v>
      </c>
      <c r="F34" s="41">
        <v>1267453.43</v>
      </c>
      <c r="G34" s="41">
        <v>719681.44</v>
      </c>
      <c r="H34" s="41">
        <v>0</v>
      </c>
      <c r="I34" s="41">
        <v>0</v>
      </c>
      <c r="J34" s="41">
        <f t="shared" si="2"/>
        <v>2177719.62</v>
      </c>
      <c r="K34" s="41">
        <f t="shared" si="3"/>
        <v>2190101.8899999997</v>
      </c>
      <c r="L34" s="41">
        <f>ROUND(K34*L$3,0)</f>
        <v>2159440</v>
      </c>
      <c r="M34" s="41"/>
      <c r="N34" s="41"/>
      <c r="O34" s="41"/>
    </row>
    <row r="35" spans="1:15">
      <c r="A35" s="64">
        <v>27</v>
      </c>
      <c r="B35" s="102">
        <v>42979</v>
      </c>
      <c r="C35" s="41">
        <v>0</v>
      </c>
      <c r="D35" s="41">
        <v>96473.03</v>
      </c>
      <c r="E35" s="41">
        <v>-1606.86</v>
      </c>
      <c r="F35" s="41">
        <v>1861333.42</v>
      </c>
      <c r="G35" s="41">
        <v>-770231.12</v>
      </c>
      <c r="H35" s="41">
        <v>0</v>
      </c>
      <c r="I35" s="41">
        <v>0</v>
      </c>
      <c r="J35" s="41">
        <f t="shared" si="2"/>
        <v>1185968.4699999997</v>
      </c>
      <c r="K35" s="41">
        <f t="shared" si="3"/>
        <v>1187575.33</v>
      </c>
      <c r="L35" s="41">
        <f t="shared" si="1"/>
        <v>1170949</v>
      </c>
      <c r="M35" s="41"/>
      <c r="N35" s="41"/>
      <c r="O35" s="41"/>
    </row>
    <row r="36" spans="1:15">
      <c r="A36" s="64">
        <v>28</v>
      </c>
      <c r="B36" s="102">
        <v>43009</v>
      </c>
      <c r="C36" s="41">
        <v>0</v>
      </c>
      <c r="D36" s="41">
        <v>158467.03</v>
      </c>
      <c r="E36" s="41">
        <v>-9137.89</v>
      </c>
      <c r="F36" s="41">
        <v>1914261.43</v>
      </c>
      <c r="G36" s="41">
        <v>83.49</v>
      </c>
      <c r="H36" s="41">
        <v>0</v>
      </c>
      <c r="I36" s="41">
        <v>0</v>
      </c>
      <c r="J36" s="41">
        <f t="shared" si="2"/>
        <v>2063674.0599999998</v>
      </c>
      <c r="K36" s="41">
        <f t="shared" si="3"/>
        <v>2072811.95</v>
      </c>
      <c r="L36" s="41">
        <f t="shared" si="1"/>
        <v>2043793</v>
      </c>
      <c r="M36" s="41"/>
      <c r="N36" s="41"/>
      <c r="O36" s="41"/>
    </row>
    <row r="37" spans="1:15">
      <c r="A37" s="64">
        <v>29</v>
      </c>
      <c r="B37" s="102">
        <v>43040</v>
      </c>
      <c r="C37" s="41">
        <v>0</v>
      </c>
      <c r="D37" s="41">
        <v>60992.94</v>
      </c>
      <c r="E37" s="41">
        <v>-29399.07</v>
      </c>
      <c r="F37" s="41">
        <v>2372607.75</v>
      </c>
      <c r="G37" s="41">
        <v>9552.2000000000007</v>
      </c>
      <c r="H37" s="41">
        <v>0</v>
      </c>
      <c r="I37" s="41">
        <v>0</v>
      </c>
      <c r="J37" s="41">
        <f t="shared" si="2"/>
        <v>2413753.8200000003</v>
      </c>
      <c r="K37" s="41">
        <f t="shared" si="3"/>
        <v>2443152.89</v>
      </c>
      <c r="L37" s="41">
        <f t="shared" si="1"/>
        <v>2408949</v>
      </c>
      <c r="M37" s="41"/>
      <c r="N37" s="41"/>
      <c r="O37" s="41"/>
    </row>
    <row r="38" spans="1:15">
      <c r="A38" s="64">
        <v>30</v>
      </c>
      <c r="B38" s="102">
        <v>43070</v>
      </c>
      <c r="C38" s="41">
        <v>0</v>
      </c>
      <c r="D38" s="41">
        <v>168482.38</v>
      </c>
      <c r="E38" s="41">
        <v>-106241.14</v>
      </c>
      <c r="F38" s="41">
        <v>1593368.01</v>
      </c>
      <c r="G38" s="41">
        <v>214.66</v>
      </c>
      <c r="H38" s="41">
        <v>0</v>
      </c>
      <c r="I38" s="41">
        <v>0</v>
      </c>
      <c r="J38" s="41">
        <f>SUM(C38:I38)</f>
        <v>1655823.91</v>
      </c>
      <c r="K38" s="41">
        <f t="shared" si="3"/>
        <v>1762065.05</v>
      </c>
      <c r="L38" s="41">
        <f t="shared" si="1"/>
        <v>1737396</v>
      </c>
      <c r="M38" s="41"/>
      <c r="N38" s="41"/>
      <c r="O38" s="41"/>
    </row>
    <row r="39" spans="1:15">
      <c r="A39" s="64">
        <v>31</v>
      </c>
      <c r="B39" s="102">
        <v>43101</v>
      </c>
      <c r="C39" s="41">
        <v>0</v>
      </c>
      <c r="D39" s="41">
        <v>83935.54</v>
      </c>
      <c r="E39" s="41">
        <v>-246001.57</v>
      </c>
      <c r="F39" s="41">
        <v>5691030.6699999999</v>
      </c>
      <c r="G39" s="41">
        <v>7221.59</v>
      </c>
      <c r="H39" s="41">
        <v>0</v>
      </c>
      <c r="I39" s="41">
        <v>0</v>
      </c>
      <c r="J39" s="41">
        <f>SUM(C39:I39)</f>
        <v>5536186.2299999995</v>
      </c>
      <c r="K39" s="41">
        <f>C39+D39+F39+G39</f>
        <v>5782187.7999999998</v>
      </c>
      <c r="L39" s="41">
        <f>((K39*0.986)*18/31)+((K39*0.985)*13/31)</f>
        <v>5698812.3823677413</v>
      </c>
      <c r="M39" s="57"/>
      <c r="N39" s="57">
        <v>0.98499999999999999</v>
      </c>
      <c r="O39" s="41"/>
    </row>
    <row r="40" spans="1:15">
      <c r="A40" s="64">
        <v>32</v>
      </c>
      <c r="B40" s="102">
        <v>43132</v>
      </c>
      <c r="C40" s="41">
        <v>0</v>
      </c>
      <c r="D40" s="41">
        <v>69763.009999999995</v>
      </c>
      <c r="E40" s="41"/>
      <c r="F40" s="41">
        <v>2040835.53</v>
      </c>
      <c r="G40" s="41">
        <v>1252.69</v>
      </c>
      <c r="H40" s="41">
        <v>0</v>
      </c>
      <c r="I40" s="41">
        <v>0</v>
      </c>
      <c r="J40" s="41">
        <f t="shared" si="2"/>
        <v>2111851.23</v>
      </c>
      <c r="K40" s="41">
        <f t="shared" si="3"/>
        <v>2111851.23</v>
      </c>
      <c r="L40" s="41">
        <f t="shared" ref="L40:L46" si="4">ROUND(K40*$N$39,0)</f>
        <v>2080173</v>
      </c>
      <c r="M40" s="41"/>
      <c r="N40" s="41"/>
      <c r="O40" s="41"/>
    </row>
    <row r="41" spans="1:15">
      <c r="A41" s="64">
        <v>33</v>
      </c>
      <c r="B41" s="102">
        <v>43160</v>
      </c>
      <c r="C41" s="41">
        <v>0</v>
      </c>
      <c r="D41" s="41">
        <v>202776.11</v>
      </c>
      <c r="E41" s="41">
        <v>-15751.77</v>
      </c>
      <c r="F41" s="41">
        <v>1987232.18</v>
      </c>
      <c r="G41" s="41">
        <v>-2.2599999999999998</v>
      </c>
      <c r="H41" s="41">
        <v>0</v>
      </c>
      <c r="I41" s="41">
        <v>0</v>
      </c>
      <c r="J41" s="41">
        <f t="shared" si="2"/>
        <v>2174254.2600000002</v>
      </c>
      <c r="K41" s="41">
        <f t="shared" si="3"/>
        <v>2190006.0300000003</v>
      </c>
      <c r="L41" s="41">
        <f t="shared" si="4"/>
        <v>2157156</v>
      </c>
      <c r="M41" s="41"/>
      <c r="N41" s="41"/>
      <c r="O41" s="41"/>
    </row>
    <row r="42" spans="1:15">
      <c r="A42" s="64">
        <v>34</v>
      </c>
      <c r="B42" s="102">
        <v>43191</v>
      </c>
      <c r="C42" s="41">
        <v>0</v>
      </c>
      <c r="D42" s="41">
        <v>173483.41</v>
      </c>
      <c r="E42" s="41">
        <v>-4315.7299999999996</v>
      </c>
      <c r="F42" s="41">
        <v>1478853.29</v>
      </c>
      <c r="G42" s="41">
        <v>169.6</v>
      </c>
      <c r="H42" s="41">
        <v>0</v>
      </c>
      <c r="I42" s="41">
        <v>0</v>
      </c>
      <c r="J42" s="41">
        <f t="shared" si="2"/>
        <v>1648190.57</v>
      </c>
      <c r="K42" s="41">
        <f t="shared" si="3"/>
        <v>1652506.3</v>
      </c>
      <c r="L42" s="41">
        <f t="shared" si="4"/>
        <v>1627719</v>
      </c>
      <c r="M42" s="41"/>
      <c r="N42" s="41"/>
      <c r="O42" s="41"/>
    </row>
    <row r="43" spans="1:15">
      <c r="A43" s="64">
        <v>35</v>
      </c>
      <c r="B43" s="102">
        <v>43221</v>
      </c>
      <c r="C43" s="41">
        <v>0</v>
      </c>
      <c r="D43" s="41">
        <v>712963.43</v>
      </c>
      <c r="E43" s="41">
        <v>-201224.56</v>
      </c>
      <c r="F43" s="41">
        <v>2594596.0699999998</v>
      </c>
      <c r="G43" s="41">
        <v>34.65</v>
      </c>
      <c r="H43" s="41">
        <v>0</v>
      </c>
      <c r="I43" s="41">
        <v>0</v>
      </c>
      <c r="J43" s="41">
        <f t="shared" si="2"/>
        <v>3106369.59</v>
      </c>
      <c r="K43" s="41">
        <f t="shared" si="3"/>
        <v>3307594.15</v>
      </c>
      <c r="L43" s="41">
        <f t="shared" si="4"/>
        <v>3257980</v>
      </c>
      <c r="M43" s="41"/>
      <c r="N43" s="41"/>
      <c r="O43" s="41"/>
    </row>
    <row r="44" spans="1:15">
      <c r="A44" s="64">
        <v>36</v>
      </c>
      <c r="B44" s="102">
        <v>43252</v>
      </c>
      <c r="C44" s="41">
        <v>0</v>
      </c>
      <c r="D44" s="41">
        <v>374581.52</v>
      </c>
      <c r="E44" s="41">
        <v>884.1</v>
      </c>
      <c r="F44" s="41">
        <v>3906991.02</v>
      </c>
      <c r="G44" s="41">
        <v>0</v>
      </c>
      <c r="H44" s="41">
        <v>0</v>
      </c>
      <c r="I44" s="41">
        <v>0</v>
      </c>
      <c r="J44" s="41">
        <f>SUM(C44:I44)</f>
        <v>4282456.6399999997</v>
      </c>
      <c r="K44" s="41">
        <f t="shared" si="3"/>
        <v>4281572.54</v>
      </c>
      <c r="L44" s="41">
        <f t="shared" si="4"/>
        <v>4217349</v>
      </c>
      <c r="M44" s="41"/>
      <c r="N44" s="41"/>
      <c r="O44" s="41"/>
    </row>
    <row r="45" spans="1:15">
      <c r="A45" s="64">
        <v>37</v>
      </c>
      <c r="B45" s="102">
        <v>43282</v>
      </c>
      <c r="C45" s="41">
        <v>0</v>
      </c>
      <c r="D45" s="41">
        <v>377841.48</v>
      </c>
      <c r="E45" s="41">
        <v>-1094.02</v>
      </c>
      <c r="F45" s="41">
        <v>2341549.5499999998</v>
      </c>
      <c r="G45" s="41">
        <v>169.6</v>
      </c>
      <c r="H45" s="41">
        <v>0</v>
      </c>
      <c r="I45" s="41">
        <v>0</v>
      </c>
      <c r="J45" s="41">
        <f t="shared" si="2"/>
        <v>2718466.61</v>
      </c>
      <c r="K45" s="41">
        <f t="shared" si="3"/>
        <v>2719560.63</v>
      </c>
      <c r="L45" s="41">
        <f t="shared" si="4"/>
        <v>2678767</v>
      </c>
      <c r="M45" s="41"/>
      <c r="N45" s="41"/>
      <c r="O45" s="41"/>
    </row>
    <row r="46" spans="1:15">
      <c r="A46" s="64">
        <v>38</v>
      </c>
      <c r="B46" s="102">
        <v>43313</v>
      </c>
      <c r="C46" s="41">
        <v>0</v>
      </c>
      <c r="D46" s="41">
        <v>359987.6</v>
      </c>
      <c r="E46" s="41">
        <v>253.45</v>
      </c>
      <c r="F46" s="41">
        <v>2560375.5499999998</v>
      </c>
      <c r="G46" s="41">
        <v>0</v>
      </c>
      <c r="H46" s="41">
        <v>0</v>
      </c>
      <c r="I46" s="41">
        <v>0</v>
      </c>
      <c r="J46" s="41">
        <f t="shared" si="2"/>
        <v>2920616.5999999996</v>
      </c>
      <c r="K46" s="41">
        <f t="shared" si="3"/>
        <v>2920363.15</v>
      </c>
      <c r="L46" s="41">
        <f t="shared" si="4"/>
        <v>2876558</v>
      </c>
      <c r="M46" s="41"/>
      <c r="N46" s="41"/>
      <c r="O46" s="41"/>
    </row>
    <row r="47" spans="1:15">
      <c r="A47" s="64">
        <v>39</v>
      </c>
      <c r="B47" s="102">
        <v>43344</v>
      </c>
      <c r="C47" s="41">
        <v>0</v>
      </c>
      <c r="D47" s="41">
        <v>539246.29</v>
      </c>
      <c r="E47" s="41">
        <v>-3071.02</v>
      </c>
      <c r="F47" s="41">
        <v>687581.72</v>
      </c>
      <c r="G47" s="41">
        <v>0</v>
      </c>
      <c r="H47" s="41">
        <v>0</v>
      </c>
      <c r="I47" s="41">
        <v>0</v>
      </c>
      <c r="J47" s="41">
        <f t="shared" si="2"/>
        <v>1223756.99</v>
      </c>
      <c r="K47" s="41">
        <f t="shared" si="3"/>
        <v>1226828.01</v>
      </c>
      <c r="L47" s="41">
        <f t="shared" ref="L47:L56" si="5">ROUND(K47*$N$39,0)</f>
        <v>1208426</v>
      </c>
      <c r="M47" s="41"/>
      <c r="N47" s="41"/>
      <c r="O47" s="41"/>
    </row>
    <row r="48" spans="1:15">
      <c r="A48" s="64">
        <v>40</v>
      </c>
      <c r="B48" s="102">
        <v>43374</v>
      </c>
      <c r="C48" s="41">
        <v>0</v>
      </c>
      <c r="D48" s="41">
        <v>1218591.97</v>
      </c>
      <c r="E48" s="41">
        <v>918.36</v>
      </c>
      <c r="F48" s="41">
        <v>3093410.84</v>
      </c>
      <c r="G48" s="41">
        <v>169.6</v>
      </c>
      <c r="H48" s="41">
        <v>0</v>
      </c>
      <c r="I48" s="41">
        <v>0</v>
      </c>
      <c r="J48" s="41">
        <f t="shared" si="2"/>
        <v>4313090.7699999996</v>
      </c>
      <c r="K48" s="41">
        <f t="shared" si="3"/>
        <v>4312172.4099999992</v>
      </c>
      <c r="L48" s="41">
        <f t="shared" si="5"/>
        <v>4247490</v>
      </c>
      <c r="M48" s="41"/>
      <c r="N48" s="41"/>
      <c r="O48" s="41"/>
    </row>
    <row r="49" spans="1:15">
      <c r="A49" s="64">
        <v>41</v>
      </c>
      <c r="B49" s="102">
        <v>43405</v>
      </c>
      <c r="C49" s="41">
        <v>0</v>
      </c>
      <c r="D49" s="41">
        <v>1490196.96</v>
      </c>
      <c r="E49" s="41">
        <v>2050.94</v>
      </c>
      <c r="F49" s="41">
        <v>2070141.22</v>
      </c>
      <c r="G49" s="41">
        <v>38628.230000000003</v>
      </c>
      <c r="H49" s="41">
        <v>0</v>
      </c>
      <c r="I49" s="41">
        <v>0</v>
      </c>
      <c r="J49" s="41">
        <f t="shared" si="2"/>
        <v>3601017.35</v>
      </c>
      <c r="K49" s="41">
        <f t="shared" si="3"/>
        <v>3598966.4099999997</v>
      </c>
      <c r="L49" s="41">
        <f>ROUND(K49*$N$39,0)</f>
        <v>3544982</v>
      </c>
      <c r="M49" s="41"/>
      <c r="N49" s="41"/>
      <c r="O49" s="41"/>
    </row>
    <row r="50" spans="1:15">
      <c r="A50" s="64">
        <v>42</v>
      </c>
      <c r="B50" s="102">
        <v>43435</v>
      </c>
      <c r="C50" s="41">
        <v>-649655.75</v>
      </c>
      <c r="D50" s="41">
        <v>537936.81999999995</v>
      </c>
      <c r="E50" s="41">
        <v>-71468.960000000006</v>
      </c>
      <c r="F50" s="41">
        <v>1545285.89</v>
      </c>
      <c r="G50" s="41">
        <v>17038.62</v>
      </c>
      <c r="H50" s="41">
        <v>0</v>
      </c>
      <c r="I50" s="41">
        <v>0</v>
      </c>
      <c r="J50" s="41">
        <f t="shared" si="2"/>
        <v>1379136.6199999999</v>
      </c>
      <c r="K50" s="41">
        <f t="shared" si="3"/>
        <v>1450605.58</v>
      </c>
      <c r="L50" s="41">
        <f>ROUND(K50*$N$39,0)</f>
        <v>1428846</v>
      </c>
      <c r="M50" s="41"/>
      <c r="N50" s="41"/>
      <c r="O50" s="41"/>
    </row>
    <row r="51" spans="1:15">
      <c r="A51" s="64">
        <v>43</v>
      </c>
      <c r="B51" s="102">
        <v>43466</v>
      </c>
      <c r="C51" s="41">
        <v>0</v>
      </c>
      <c r="D51" s="41">
        <v>872201.72</v>
      </c>
      <c r="E51" s="41">
        <v>0</v>
      </c>
      <c r="F51" s="41">
        <v>1420908.27</v>
      </c>
      <c r="G51" s="41">
        <v>0</v>
      </c>
      <c r="H51" s="41">
        <v>0</v>
      </c>
      <c r="I51" s="41">
        <v>0</v>
      </c>
      <c r="J51" s="41">
        <f t="shared" si="2"/>
        <v>2293109.9900000002</v>
      </c>
      <c r="K51" s="41">
        <f>C51+D51+F51+G51</f>
        <v>2293109.9900000002</v>
      </c>
      <c r="L51" s="41">
        <f>ROUND(K51*$N$39,0)</f>
        <v>2258713</v>
      </c>
      <c r="M51" s="41"/>
      <c r="N51" s="41"/>
      <c r="O51" s="41"/>
    </row>
    <row r="52" spans="1:15">
      <c r="A52" s="64">
        <v>44</v>
      </c>
      <c r="B52" s="102">
        <v>43497</v>
      </c>
      <c r="C52" s="41">
        <v>0</v>
      </c>
      <c r="D52" s="41">
        <v>32376.43</v>
      </c>
      <c r="E52" s="41">
        <v>0</v>
      </c>
      <c r="F52" s="41">
        <v>1270081.71</v>
      </c>
      <c r="G52" s="41">
        <v>169.71</v>
      </c>
      <c r="H52" s="41">
        <v>0</v>
      </c>
      <c r="I52" s="41">
        <v>0</v>
      </c>
      <c r="J52" s="41">
        <f t="shared" si="2"/>
        <v>1302627.8499999999</v>
      </c>
      <c r="K52" s="41">
        <f t="shared" si="3"/>
        <v>1302627.8499999999</v>
      </c>
      <c r="L52" s="41">
        <f>ROUND(K52*$N$39,0)</f>
        <v>1283088</v>
      </c>
      <c r="M52" s="41"/>
      <c r="N52" s="41"/>
      <c r="O52" s="41"/>
    </row>
    <row r="53" spans="1:15">
      <c r="A53" s="64">
        <v>45</v>
      </c>
      <c r="B53" s="102">
        <v>43525</v>
      </c>
      <c r="C53" s="41">
        <v>0</v>
      </c>
      <c r="D53" s="41">
        <v>904388.41</v>
      </c>
      <c r="E53" s="41">
        <v>0</v>
      </c>
      <c r="F53" s="41">
        <v>1378850.18</v>
      </c>
      <c r="G53" s="41">
        <v>-11802.43</v>
      </c>
      <c r="H53" s="41">
        <v>0</v>
      </c>
      <c r="I53" s="41">
        <v>0</v>
      </c>
      <c r="J53" s="41">
        <f t="shared" si="2"/>
        <v>2271436.1599999997</v>
      </c>
      <c r="K53" s="41">
        <f t="shared" si="3"/>
        <v>2271436.1599999997</v>
      </c>
      <c r="L53" s="41">
        <f t="shared" si="5"/>
        <v>2237365</v>
      </c>
      <c r="M53" s="41"/>
      <c r="N53" s="41"/>
      <c r="O53" s="41"/>
    </row>
    <row r="54" spans="1:15">
      <c r="A54" s="64">
        <v>46</v>
      </c>
      <c r="B54" s="102">
        <v>43556</v>
      </c>
      <c r="C54" s="41">
        <v>0</v>
      </c>
      <c r="D54" s="41">
        <v>732592.23</v>
      </c>
      <c r="E54" s="41">
        <v>0</v>
      </c>
      <c r="F54" s="41">
        <v>1933521.66</v>
      </c>
      <c r="G54" s="41">
        <v>159.24</v>
      </c>
      <c r="H54" s="41">
        <v>0</v>
      </c>
      <c r="I54" s="41">
        <v>0</v>
      </c>
      <c r="J54" s="41">
        <f t="shared" si="2"/>
        <v>2666273.13</v>
      </c>
      <c r="K54" s="41">
        <f t="shared" si="3"/>
        <v>2666273.13</v>
      </c>
      <c r="L54" s="41">
        <f>ROUND(K54*$N$39,0)</f>
        <v>2626279</v>
      </c>
      <c r="M54" s="41"/>
      <c r="N54" s="41"/>
      <c r="O54" s="41"/>
    </row>
    <row r="55" spans="1:15">
      <c r="A55" s="64">
        <v>47</v>
      </c>
      <c r="B55" s="102">
        <v>43586</v>
      </c>
      <c r="C55" s="41">
        <v>-37223</v>
      </c>
      <c r="D55" s="41">
        <v>-90297.73</v>
      </c>
      <c r="E55" s="41">
        <v>0</v>
      </c>
      <c r="F55" s="41">
        <v>3195681.3</v>
      </c>
      <c r="G55" s="41">
        <v>515.04999999999995</v>
      </c>
      <c r="H55" s="41">
        <v>0</v>
      </c>
      <c r="I55" s="41">
        <v>0</v>
      </c>
      <c r="J55" s="41">
        <f t="shared" si="2"/>
        <v>3068675.6199999996</v>
      </c>
      <c r="K55" s="41">
        <f t="shared" si="3"/>
        <v>3068675.6199999996</v>
      </c>
      <c r="L55" s="41">
        <f t="shared" si="5"/>
        <v>3022645</v>
      </c>
      <c r="M55" s="41"/>
      <c r="N55" s="41"/>
      <c r="O55" s="41"/>
    </row>
    <row r="56" spans="1:15">
      <c r="A56" s="64">
        <v>48</v>
      </c>
      <c r="B56" s="102">
        <v>43617</v>
      </c>
      <c r="C56" s="41">
        <v>0</v>
      </c>
      <c r="D56" s="41">
        <v>41296.35</v>
      </c>
      <c r="E56" s="41">
        <v>0</v>
      </c>
      <c r="F56" s="41">
        <v>3045212.7</v>
      </c>
      <c r="G56" s="41">
        <v>0</v>
      </c>
      <c r="H56" s="41">
        <v>0</v>
      </c>
      <c r="I56" s="41">
        <v>0</v>
      </c>
      <c r="J56" s="41">
        <f t="shared" si="2"/>
        <v>3086509.0500000003</v>
      </c>
      <c r="K56" s="41">
        <f t="shared" si="3"/>
        <v>3086509.0500000003</v>
      </c>
      <c r="L56" s="41">
        <f t="shared" si="5"/>
        <v>3040211</v>
      </c>
      <c r="M56" s="41"/>
      <c r="N56" s="41"/>
      <c r="O56" s="41"/>
    </row>
    <row r="57" spans="1:15" hidden="1">
      <c r="A57" s="64">
        <v>49</v>
      </c>
      <c r="B57" s="102">
        <v>43647</v>
      </c>
      <c r="C57" s="41"/>
      <c r="D57" s="41"/>
      <c r="E57" s="41"/>
      <c r="F57" s="41"/>
      <c r="G57" s="41"/>
      <c r="H57" s="41"/>
      <c r="I57" s="41"/>
      <c r="J57" s="41">
        <f t="shared" si="2"/>
        <v>0</v>
      </c>
      <c r="K57" s="41">
        <f t="shared" si="3"/>
        <v>0</v>
      </c>
      <c r="L57" s="41">
        <f t="shared" si="1"/>
        <v>0</v>
      </c>
      <c r="M57" s="41"/>
      <c r="N57" s="41"/>
      <c r="O57" s="41"/>
    </row>
    <row r="58" spans="1:15" hidden="1">
      <c r="A58" s="64">
        <v>50</v>
      </c>
      <c r="B58" s="102">
        <v>43678</v>
      </c>
      <c r="C58" s="41"/>
      <c r="D58" s="41"/>
      <c r="E58" s="41"/>
      <c r="F58" s="41"/>
      <c r="G58" s="41"/>
      <c r="H58" s="41"/>
      <c r="I58" s="41"/>
      <c r="J58" s="41">
        <f t="shared" si="2"/>
        <v>0</v>
      </c>
      <c r="K58" s="41">
        <f t="shared" si="3"/>
        <v>0</v>
      </c>
      <c r="L58" s="41">
        <f t="shared" si="1"/>
        <v>0</v>
      </c>
      <c r="M58" s="41"/>
      <c r="N58" s="41"/>
      <c r="O58" s="41"/>
    </row>
    <row r="59" spans="1:15" hidden="1">
      <c r="A59" s="64">
        <v>51</v>
      </c>
      <c r="B59" s="102">
        <v>43709</v>
      </c>
      <c r="C59" s="41"/>
      <c r="D59" s="41"/>
      <c r="E59" s="41"/>
      <c r="F59" s="41"/>
      <c r="G59" s="41"/>
      <c r="H59" s="41"/>
      <c r="I59" s="41"/>
      <c r="J59" s="41">
        <f t="shared" si="2"/>
        <v>0</v>
      </c>
      <c r="K59" s="41">
        <f t="shared" si="3"/>
        <v>0</v>
      </c>
      <c r="L59" s="41">
        <f t="shared" si="1"/>
        <v>0</v>
      </c>
      <c r="M59" s="41"/>
      <c r="N59" s="41"/>
      <c r="O59" s="41"/>
    </row>
    <row r="60" spans="1:15" hidden="1">
      <c r="A60" s="64">
        <v>52</v>
      </c>
      <c r="B60" s="102">
        <v>43739</v>
      </c>
      <c r="C60" s="41"/>
      <c r="D60" s="41"/>
      <c r="E60" s="41"/>
      <c r="F60" s="41"/>
      <c r="G60" s="41"/>
      <c r="H60" s="41"/>
      <c r="I60" s="41"/>
      <c r="J60" s="41">
        <f t="shared" si="2"/>
        <v>0</v>
      </c>
      <c r="K60" s="41">
        <f t="shared" si="3"/>
        <v>0</v>
      </c>
      <c r="L60" s="41">
        <f t="shared" si="1"/>
        <v>0</v>
      </c>
      <c r="M60" s="41"/>
      <c r="N60" s="41"/>
      <c r="O60" s="41"/>
    </row>
    <row r="61" spans="1:15" hidden="1">
      <c r="A61" s="64">
        <v>53</v>
      </c>
      <c r="B61" s="102">
        <v>43770</v>
      </c>
      <c r="C61" s="41"/>
      <c r="D61" s="41"/>
      <c r="E61" s="41"/>
      <c r="F61" s="41"/>
      <c r="G61" s="41"/>
      <c r="H61" s="41"/>
      <c r="I61" s="41"/>
      <c r="J61" s="41">
        <f t="shared" si="2"/>
        <v>0</v>
      </c>
      <c r="K61" s="41">
        <f t="shared" si="3"/>
        <v>0</v>
      </c>
      <c r="L61" s="41">
        <f t="shared" si="1"/>
        <v>0</v>
      </c>
      <c r="M61" s="41"/>
      <c r="N61" s="41"/>
      <c r="O61" s="41"/>
    </row>
    <row r="62" spans="1:15" hidden="1">
      <c r="A62" s="64">
        <v>54</v>
      </c>
      <c r="B62" s="102">
        <v>43800</v>
      </c>
      <c r="C62" s="41"/>
      <c r="D62" s="41"/>
      <c r="E62" s="41"/>
      <c r="F62" s="41"/>
      <c r="G62" s="41"/>
      <c r="H62" s="41"/>
      <c r="I62" s="41"/>
      <c r="J62" s="41">
        <f t="shared" si="2"/>
        <v>0</v>
      </c>
      <c r="K62" s="41">
        <f t="shared" si="3"/>
        <v>0</v>
      </c>
      <c r="L62" s="41">
        <f t="shared" si="1"/>
        <v>0</v>
      </c>
      <c r="M62" s="41"/>
      <c r="N62" s="41"/>
      <c r="O62" s="41"/>
    </row>
    <row r="63" spans="1:15" hidden="1">
      <c r="A63" s="64">
        <v>55</v>
      </c>
      <c r="B63" s="102">
        <v>43831</v>
      </c>
      <c r="C63" s="41"/>
      <c r="D63" s="41"/>
      <c r="E63" s="41"/>
      <c r="F63" s="41"/>
      <c r="G63" s="41"/>
      <c r="H63" s="41"/>
      <c r="I63" s="41"/>
      <c r="J63" s="41">
        <f t="shared" si="2"/>
        <v>0</v>
      </c>
      <c r="K63" s="41">
        <f t="shared" si="3"/>
        <v>0</v>
      </c>
      <c r="L63" s="41">
        <f t="shared" si="1"/>
        <v>0</v>
      </c>
      <c r="M63" s="41"/>
      <c r="N63" s="41"/>
      <c r="O63" s="41"/>
    </row>
    <row r="64" spans="1:15" hidden="1">
      <c r="A64" s="64">
        <v>56</v>
      </c>
      <c r="B64" s="102">
        <v>43862</v>
      </c>
      <c r="C64" s="41"/>
      <c r="D64" s="41"/>
      <c r="E64" s="41"/>
      <c r="F64" s="41"/>
      <c r="G64" s="41"/>
      <c r="H64" s="41"/>
      <c r="I64" s="41"/>
      <c r="J64" s="41">
        <f t="shared" si="2"/>
        <v>0</v>
      </c>
      <c r="K64" s="41">
        <f t="shared" si="3"/>
        <v>0</v>
      </c>
      <c r="L64" s="41">
        <f t="shared" si="1"/>
        <v>0</v>
      </c>
      <c r="M64" s="41"/>
      <c r="N64" s="41"/>
      <c r="O64" s="41"/>
    </row>
    <row r="65" spans="1:15" hidden="1">
      <c r="A65" s="64">
        <v>57</v>
      </c>
      <c r="B65" s="102">
        <v>43891</v>
      </c>
      <c r="C65" s="41"/>
      <c r="D65" s="41"/>
      <c r="E65" s="41"/>
      <c r="F65" s="41"/>
      <c r="G65" s="41"/>
      <c r="H65" s="41"/>
      <c r="I65" s="41"/>
      <c r="J65" s="41">
        <f t="shared" si="2"/>
        <v>0</v>
      </c>
      <c r="K65" s="41">
        <f t="shared" si="3"/>
        <v>0</v>
      </c>
      <c r="L65" s="41">
        <f t="shared" si="1"/>
        <v>0</v>
      </c>
      <c r="M65" s="41"/>
      <c r="N65" s="41"/>
      <c r="O65" s="41"/>
    </row>
    <row r="66" spans="1:15" hidden="1">
      <c r="A66" s="64">
        <v>58</v>
      </c>
      <c r="B66" s="102">
        <v>43922</v>
      </c>
      <c r="C66" s="41"/>
      <c r="D66" s="41"/>
      <c r="E66" s="41"/>
      <c r="F66" s="41"/>
      <c r="G66" s="41"/>
      <c r="H66" s="41"/>
      <c r="I66" s="41"/>
      <c r="J66" s="41">
        <f t="shared" si="2"/>
        <v>0</v>
      </c>
      <c r="K66" s="41">
        <f t="shared" si="3"/>
        <v>0</v>
      </c>
      <c r="L66" s="41">
        <f t="shared" si="1"/>
        <v>0</v>
      </c>
      <c r="M66" s="41"/>
      <c r="N66" s="41"/>
      <c r="O66" s="41"/>
    </row>
    <row r="67" spans="1:15" hidden="1">
      <c r="A67" s="64">
        <v>59</v>
      </c>
      <c r="B67" s="102">
        <v>43952</v>
      </c>
      <c r="C67" s="41"/>
      <c r="D67" s="41"/>
      <c r="E67" s="41"/>
      <c r="F67" s="41"/>
      <c r="G67" s="41"/>
      <c r="H67" s="41"/>
      <c r="I67" s="41"/>
      <c r="J67" s="41">
        <f t="shared" si="2"/>
        <v>0</v>
      </c>
      <c r="K67" s="41">
        <f t="shared" si="3"/>
        <v>0</v>
      </c>
      <c r="L67" s="41">
        <f t="shared" si="1"/>
        <v>0</v>
      </c>
      <c r="M67" s="41"/>
      <c r="N67" s="41"/>
      <c r="O67" s="41"/>
    </row>
    <row r="68" spans="1:15" hidden="1">
      <c r="A68" s="64">
        <v>60</v>
      </c>
      <c r="B68" s="102">
        <v>43983</v>
      </c>
      <c r="C68" s="41"/>
      <c r="D68" s="41"/>
      <c r="E68" s="41"/>
      <c r="F68" s="41"/>
      <c r="G68" s="41"/>
      <c r="H68" s="41"/>
      <c r="I68" s="41"/>
      <c r="J68" s="41">
        <f t="shared" si="2"/>
        <v>0</v>
      </c>
      <c r="K68" s="41">
        <f t="shared" si="3"/>
        <v>0</v>
      </c>
      <c r="L68" s="41">
        <f t="shared" si="1"/>
        <v>0</v>
      </c>
      <c r="M68" s="41"/>
      <c r="N68" s="41"/>
      <c r="O68" s="41"/>
    </row>
    <row r="69" spans="1:15" hidden="1">
      <c r="A69" s="64">
        <v>61</v>
      </c>
      <c r="B69" s="102">
        <v>44013</v>
      </c>
      <c r="C69" s="41"/>
      <c r="D69" s="41"/>
      <c r="E69" s="41"/>
      <c r="F69" s="41"/>
      <c r="G69" s="41"/>
      <c r="H69" s="41"/>
      <c r="I69" s="41"/>
      <c r="J69" s="41">
        <f t="shared" si="2"/>
        <v>0</v>
      </c>
      <c r="K69" s="41">
        <f t="shared" si="3"/>
        <v>0</v>
      </c>
      <c r="L69" s="41">
        <f t="shared" si="1"/>
        <v>0</v>
      </c>
      <c r="M69" s="41"/>
      <c r="N69" s="41"/>
      <c r="O69" s="41"/>
    </row>
    <row r="70" spans="1:15" hidden="1">
      <c r="A70" s="64">
        <v>62</v>
      </c>
      <c r="B70" s="102">
        <v>44044</v>
      </c>
      <c r="C70" s="41"/>
      <c r="D70" s="41"/>
      <c r="E70" s="41"/>
      <c r="F70" s="41"/>
      <c r="G70" s="41"/>
      <c r="H70" s="41"/>
      <c r="I70" s="41"/>
      <c r="J70" s="41">
        <f t="shared" si="2"/>
        <v>0</v>
      </c>
      <c r="K70" s="41">
        <f t="shared" si="3"/>
        <v>0</v>
      </c>
      <c r="L70" s="41">
        <f t="shared" si="1"/>
        <v>0</v>
      </c>
      <c r="M70" s="41"/>
      <c r="N70" s="41"/>
      <c r="O70" s="41"/>
    </row>
    <row r="71" spans="1:15" hidden="1">
      <c r="A71" s="64">
        <v>63</v>
      </c>
      <c r="B71" s="102">
        <v>44075</v>
      </c>
      <c r="C71" s="41"/>
      <c r="D71" s="41"/>
      <c r="E71" s="41"/>
      <c r="F71" s="41"/>
      <c r="G71" s="41"/>
      <c r="H71" s="41"/>
      <c r="I71" s="41"/>
      <c r="J71" s="41">
        <f t="shared" si="2"/>
        <v>0</v>
      </c>
      <c r="K71" s="41">
        <f t="shared" si="3"/>
        <v>0</v>
      </c>
      <c r="L71" s="41">
        <f t="shared" si="1"/>
        <v>0</v>
      </c>
      <c r="M71" s="41"/>
      <c r="N71" s="41"/>
      <c r="O71" s="41"/>
    </row>
    <row r="72" spans="1:15" hidden="1">
      <c r="A72" s="64">
        <v>64</v>
      </c>
      <c r="B72" s="102">
        <v>44105</v>
      </c>
      <c r="C72" s="41"/>
      <c r="D72" s="41"/>
      <c r="E72" s="41"/>
      <c r="F72" s="41"/>
      <c r="G72" s="41"/>
      <c r="H72" s="41"/>
      <c r="I72" s="41"/>
      <c r="J72" s="41">
        <f t="shared" si="2"/>
        <v>0</v>
      </c>
      <c r="K72" s="41">
        <f t="shared" si="3"/>
        <v>0</v>
      </c>
      <c r="L72" s="41">
        <f t="shared" ref="L72:L135" si="6">ROUND(K72*L$3,0)</f>
        <v>0</v>
      </c>
      <c r="M72" s="41"/>
      <c r="N72" s="41"/>
      <c r="O72" s="41"/>
    </row>
    <row r="73" spans="1:15" hidden="1">
      <c r="A73" s="64">
        <v>65</v>
      </c>
      <c r="B73" s="102">
        <v>44136</v>
      </c>
      <c r="C73" s="41"/>
      <c r="D73" s="41"/>
      <c r="E73" s="41"/>
      <c r="F73" s="41"/>
      <c r="G73" s="41"/>
      <c r="H73" s="41"/>
      <c r="I73" s="41"/>
      <c r="J73" s="41">
        <f t="shared" si="2"/>
        <v>0</v>
      </c>
      <c r="K73" s="41">
        <f t="shared" si="3"/>
        <v>0</v>
      </c>
      <c r="L73" s="41">
        <f t="shared" si="6"/>
        <v>0</v>
      </c>
      <c r="M73" s="41"/>
      <c r="N73" s="41"/>
      <c r="O73" s="41"/>
    </row>
    <row r="74" spans="1:15" hidden="1">
      <c r="A74" s="64">
        <v>66</v>
      </c>
      <c r="B74" s="102">
        <v>44166</v>
      </c>
      <c r="C74" s="41"/>
      <c r="D74" s="41"/>
      <c r="E74" s="41"/>
      <c r="F74" s="41"/>
      <c r="G74" s="41"/>
      <c r="H74" s="41"/>
      <c r="I74" s="41"/>
      <c r="J74" s="41">
        <f t="shared" ref="J74:J137" si="7">SUM(C74:I74)</f>
        <v>0</v>
      </c>
      <c r="K74" s="41">
        <f t="shared" si="3"/>
        <v>0</v>
      </c>
      <c r="L74" s="41">
        <f t="shared" si="6"/>
        <v>0</v>
      </c>
      <c r="M74" s="41"/>
      <c r="N74" s="41"/>
      <c r="O74" s="41"/>
    </row>
    <row r="75" spans="1:15" hidden="1">
      <c r="A75" s="64">
        <v>67</v>
      </c>
      <c r="B75" s="102">
        <v>44197</v>
      </c>
      <c r="C75" s="41"/>
      <c r="D75" s="41"/>
      <c r="E75" s="41"/>
      <c r="F75" s="41"/>
      <c r="G75" s="41"/>
      <c r="H75" s="41"/>
      <c r="I75" s="41"/>
      <c r="J75" s="41">
        <f t="shared" si="7"/>
        <v>0</v>
      </c>
      <c r="K75" s="41">
        <f t="shared" si="3"/>
        <v>0</v>
      </c>
      <c r="L75" s="41">
        <f t="shared" si="6"/>
        <v>0</v>
      </c>
      <c r="M75" s="41"/>
      <c r="N75" s="41"/>
      <c r="O75" s="41"/>
    </row>
    <row r="76" spans="1:15" hidden="1">
      <c r="A76" s="64">
        <v>68</v>
      </c>
      <c r="B76" s="102">
        <v>44228</v>
      </c>
      <c r="C76" s="41"/>
      <c r="D76" s="41"/>
      <c r="E76" s="41"/>
      <c r="F76" s="41"/>
      <c r="G76" s="41"/>
      <c r="H76" s="41"/>
      <c r="I76" s="41"/>
      <c r="J76" s="41">
        <f t="shared" si="7"/>
        <v>0</v>
      </c>
      <c r="K76" s="41">
        <f t="shared" si="3"/>
        <v>0</v>
      </c>
      <c r="L76" s="41">
        <f t="shared" si="6"/>
        <v>0</v>
      </c>
      <c r="M76" s="41"/>
      <c r="N76" s="41"/>
      <c r="O76" s="41"/>
    </row>
    <row r="77" spans="1:15" hidden="1">
      <c r="A77" s="64">
        <v>69</v>
      </c>
      <c r="B77" s="102">
        <v>44256</v>
      </c>
      <c r="C77" s="41"/>
      <c r="D77" s="41"/>
      <c r="E77" s="41"/>
      <c r="F77" s="41"/>
      <c r="G77" s="41"/>
      <c r="H77" s="41"/>
      <c r="I77" s="41"/>
      <c r="J77" s="41">
        <f t="shared" si="7"/>
        <v>0</v>
      </c>
      <c r="K77" s="41">
        <f t="shared" si="3"/>
        <v>0</v>
      </c>
      <c r="L77" s="41">
        <f t="shared" si="6"/>
        <v>0</v>
      </c>
      <c r="M77" s="41"/>
      <c r="N77" s="41"/>
      <c r="O77" s="41"/>
    </row>
    <row r="78" spans="1:15" hidden="1">
      <c r="A78" s="64">
        <v>70</v>
      </c>
      <c r="B78" s="102">
        <v>44287</v>
      </c>
      <c r="C78" s="41"/>
      <c r="D78" s="41"/>
      <c r="E78" s="41"/>
      <c r="F78" s="41"/>
      <c r="G78" s="41"/>
      <c r="H78" s="41"/>
      <c r="I78" s="41"/>
      <c r="J78" s="41">
        <f t="shared" si="7"/>
        <v>0</v>
      </c>
      <c r="K78" s="41">
        <f t="shared" si="3"/>
        <v>0</v>
      </c>
      <c r="L78" s="41">
        <f t="shared" si="6"/>
        <v>0</v>
      </c>
      <c r="M78" s="41"/>
      <c r="N78" s="41"/>
      <c r="O78" s="41"/>
    </row>
    <row r="79" spans="1:15" hidden="1">
      <c r="A79" s="64">
        <v>71</v>
      </c>
      <c r="B79" s="102">
        <v>44317</v>
      </c>
      <c r="C79" s="41"/>
      <c r="D79" s="41"/>
      <c r="E79" s="41"/>
      <c r="F79" s="41"/>
      <c r="G79" s="41"/>
      <c r="H79" s="41"/>
      <c r="I79" s="41"/>
      <c r="J79" s="41">
        <f t="shared" si="7"/>
        <v>0</v>
      </c>
      <c r="K79" s="41">
        <f t="shared" si="3"/>
        <v>0</v>
      </c>
      <c r="L79" s="41">
        <f t="shared" si="6"/>
        <v>0</v>
      </c>
      <c r="M79" s="41"/>
      <c r="N79" s="41"/>
      <c r="O79" s="41"/>
    </row>
    <row r="80" spans="1:15" hidden="1">
      <c r="A80" s="64">
        <v>72</v>
      </c>
      <c r="B80" s="102">
        <v>44348</v>
      </c>
      <c r="C80" s="41"/>
      <c r="D80" s="41"/>
      <c r="E80" s="41"/>
      <c r="F80" s="41"/>
      <c r="G80" s="41"/>
      <c r="H80" s="41"/>
      <c r="I80" s="41"/>
      <c r="J80" s="41">
        <f t="shared" si="7"/>
        <v>0</v>
      </c>
      <c r="K80" s="41">
        <f t="shared" si="3"/>
        <v>0</v>
      </c>
      <c r="L80" s="41">
        <f t="shared" si="6"/>
        <v>0</v>
      </c>
      <c r="M80" s="41"/>
      <c r="N80" s="41"/>
      <c r="O80" s="41"/>
    </row>
    <row r="81" spans="1:15" hidden="1">
      <c r="A81" s="64">
        <v>73</v>
      </c>
      <c r="B81" s="102">
        <v>44378</v>
      </c>
      <c r="C81" s="41"/>
      <c r="D81" s="41"/>
      <c r="E81" s="41"/>
      <c r="F81" s="41"/>
      <c r="G81" s="41"/>
      <c r="H81" s="41"/>
      <c r="I81" s="41"/>
      <c r="J81" s="41">
        <f t="shared" si="7"/>
        <v>0</v>
      </c>
      <c r="K81" s="41">
        <f t="shared" si="3"/>
        <v>0</v>
      </c>
      <c r="L81" s="41">
        <f t="shared" si="6"/>
        <v>0</v>
      </c>
      <c r="M81" s="41"/>
      <c r="N81" s="41"/>
      <c r="O81" s="41"/>
    </row>
    <row r="82" spans="1:15" hidden="1">
      <c r="A82" s="64">
        <v>74</v>
      </c>
      <c r="B82" s="102">
        <v>44409</v>
      </c>
      <c r="C82" s="41"/>
      <c r="D82" s="41"/>
      <c r="E82" s="41"/>
      <c r="F82" s="41"/>
      <c r="G82" s="41"/>
      <c r="H82" s="41"/>
      <c r="I82" s="41"/>
      <c r="J82" s="41">
        <f t="shared" si="7"/>
        <v>0</v>
      </c>
      <c r="K82" s="41">
        <f t="shared" ref="K82:K145" si="8">C82+D82+F82+G82</f>
        <v>0</v>
      </c>
      <c r="L82" s="41">
        <f t="shared" si="6"/>
        <v>0</v>
      </c>
      <c r="M82" s="41"/>
      <c r="N82" s="41"/>
      <c r="O82" s="41"/>
    </row>
    <row r="83" spans="1:15" hidden="1">
      <c r="A83" s="64">
        <v>75</v>
      </c>
      <c r="B83" s="102">
        <v>44440</v>
      </c>
      <c r="C83" s="41"/>
      <c r="D83" s="41"/>
      <c r="E83" s="41"/>
      <c r="F83" s="41"/>
      <c r="G83" s="41"/>
      <c r="H83" s="41"/>
      <c r="I83" s="41"/>
      <c r="J83" s="41">
        <f t="shared" si="7"/>
        <v>0</v>
      </c>
      <c r="K83" s="41">
        <f t="shared" si="8"/>
        <v>0</v>
      </c>
      <c r="L83" s="41">
        <f t="shared" si="6"/>
        <v>0</v>
      </c>
      <c r="M83" s="41"/>
      <c r="N83" s="41"/>
      <c r="O83" s="41"/>
    </row>
    <row r="84" spans="1:15" hidden="1">
      <c r="A84" s="64">
        <v>76</v>
      </c>
      <c r="B84" s="102">
        <v>44470</v>
      </c>
      <c r="C84" s="41"/>
      <c r="D84" s="41"/>
      <c r="E84" s="41"/>
      <c r="F84" s="41"/>
      <c r="G84" s="41"/>
      <c r="H84" s="41"/>
      <c r="I84" s="41"/>
      <c r="J84" s="41">
        <f t="shared" si="7"/>
        <v>0</v>
      </c>
      <c r="K84" s="41">
        <f t="shared" si="8"/>
        <v>0</v>
      </c>
      <c r="L84" s="41">
        <f t="shared" si="6"/>
        <v>0</v>
      </c>
      <c r="M84" s="41"/>
      <c r="N84" s="41"/>
      <c r="O84" s="41"/>
    </row>
    <row r="85" spans="1:15" hidden="1">
      <c r="A85" s="64">
        <v>77</v>
      </c>
      <c r="B85" s="102">
        <v>44501</v>
      </c>
      <c r="C85" s="41"/>
      <c r="D85" s="41"/>
      <c r="E85" s="41"/>
      <c r="F85" s="41"/>
      <c r="G85" s="41"/>
      <c r="H85" s="41"/>
      <c r="I85" s="41"/>
      <c r="J85" s="41">
        <f t="shared" si="7"/>
        <v>0</v>
      </c>
      <c r="K85" s="41">
        <f t="shared" si="8"/>
        <v>0</v>
      </c>
      <c r="L85" s="41">
        <f t="shared" si="6"/>
        <v>0</v>
      </c>
      <c r="M85" s="41"/>
      <c r="N85" s="41"/>
      <c r="O85" s="41"/>
    </row>
    <row r="86" spans="1:15" hidden="1">
      <c r="A86" s="64">
        <v>78</v>
      </c>
      <c r="B86" s="102">
        <v>44531</v>
      </c>
      <c r="C86" s="41"/>
      <c r="D86" s="41"/>
      <c r="E86" s="41"/>
      <c r="F86" s="41"/>
      <c r="G86" s="41"/>
      <c r="H86" s="41"/>
      <c r="I86" s="41"/>
      <c r="J86" s="41">
        <f t="shared" si="7"/>
        <v>0</v>
      </c>
      <c r="K86" s="41">
        <f t="shared" si="8"/>
        <v>0</v>
      </c>
      <c r="L86" s="41">
        <f t="shared" si="6"/>
        <v>0</v>
      </c>
      <c r="M86" s="41"/>
      <c r="N86" s="41"/>
      <c r="O86" s="41"/>
    </row>
    <row r="87" spans="1:15" hidden="1">
      <c r="A87" s="64">
        <v>79</v>
      </c>
      <c r="B87" s="102">
        <v>44562</v>
      </c>
      <c r="C87" s="41"/>
      <c r="D87" s="41"/>
      <c r="E87" s="41"/>
      <c r="F87" s="41"/>
      <c r="G87" s="41"/>
      <c r="H87" s="41"/>
      <c r="I87" s="41"/>
      <c r="J87" s="41">
        <f t="shared" si="7"/>
        <v>0</v>
      </c>
      <c r="K87" s="41">
        <f t="shared" si="8"/>
        <v>0</v>
      </c>
      <c r="L87" s="41">
        <f t="shared" si="6"/>
        <v>0</v>
      </c>
      <c r="M87" s="41"/>
      <c r="N87" s="41"/>
      <c r="O87" s="41"/>
    </row>
    <row r="88" spans="1:15" hidden="1">
      <c r="A88" s="64">
        <v>80</v>
      </c>
      <c r="B88" s="102">
        <v>44593</v>
      </c>
      <c r="C88" s="41"/>
      <c r="D88" s="41"/>
      <c r="E88" s="41"/>
      <c r="F88" s="41"/>
      <c r="G88" s="41"/>
      <c r="H88" s="41"/>
      <c r="I88" s="41"/>
      <c r="J88" s="41">
        <f t="shared" si="7"/>
        <v>0</v>
      </c>
      <c r="K88" s="41">
        <f t="shared" si="8"/>
        <v>0</v>
      </c>
      <c r="L88" s="41">
        <f t="shared" si="6"/>
        <v>0</v>
      </c>
      <c r="M88" s="41"/>
      <c r="N88" s="41"/>
      <c r="O88" s="41"/>
    </row>
    <row r="89" spans="1:15" hidden="1">
      <c r="A89" s="64">
        <v>81</v>
      </c>
      <c r="B89" s="102">
        <v>44621</v>
      </c>
      <c r="C89" s="41"/>
      <c r="D89" s="41"/>
      <c r="E89" s="41"/>
      <c r="F89" s="41"/>
      <c r="G89" s="41"/>
      <c r="H89" s="41"/>
      <c r="I89" s="41"/>
      <c r="J89" s="41">
        <f t="shared" si="7"/>
        <v>0</v>
      </c>
      <c r="K89" s="41">
        <f t="shared" si="8"/>
        <v>0</v>
      </c>
      <c r="L89" s="41">
        <f t="shared" si="6"/>
        <v>0</v>
      </c>
      <c r="M89" s="41"/>
      <c r="N89" s="41"/>
      <c r="O89" s="41"/>
    </row>
    <row r="90" spans="1:15" hidden="1">
      <c r="A90" s="64">
        <v>82</v>
      </c>
      <c r="B90" s="102">
        <v>44652</v>
      </c>
      <c r="C90" s="41"/>
      <c r="D90" s="41"/>
      <c r="E90" s="41"/>
      <c r="F90" s="41"/>
      <c r="G90" s="41"/>
      <c r="H90" s="41"/>
      <c r="I90" s="41"/>
      <c r="J90" s="41">
        <f t="shared" si="7"/>
        <v>0</v>
      </c>
      <c r="K90" s="41">
        <f t="shared" si="8"/>
        <v>0</v>
      </c>
      <c r="L90" s="41">
        <f t="shared" si="6"/>
        <v>0</v>
      </c>
      <c r="M90" s="41"/>
      <c r="N90" s="41"/>
      <c r="O90" s="41"/>
    </row>
    <row r="91" spans="1:15" hidden="1">
      <c r="A91" s="64">
        <v>83</v>
      </c>
      <c r="B91" s="102">
        <v>44682</v>
      </c>
      <c r="C91" s="41"/>
      <c r="D91" s="41"/>
      <c r="E91" s="41"/>
      <c r="F91" s="41"/>
      <c r="G91" s="41"/>
      <c r="H91" s="41"/>
      <c r="I91" s="41"/>
      <c r="J91" s="41">
        <f t="shared" si="7"/>
        <v>0</v>
      </c>
      <c r="K91" s="41">
        <f t="shared" si="8"/>
        <v>0</v>
      </c>
      <c r="L91" s="41">
        <f t="shared" si="6"/>
        <v>0</v>
      </c>
      <c r="M91" s="41"/>
      <c r="N91" s="41"/>
      <c r="O91" s="41"/>
    </row>
    <row r="92" spans="1:15" hidden="1">
      <c r="A92" s="64">
        <v>84</v>
      </c>
      <c r="B92" s="102">
        <v>44713</v>
      </c>
      <c r="C92" s="41"/>
      <c r="D92" s="41"/>
      <c r="E92" s="41"/>
      <c r="F92" s="41"/>
      <c r="G92" s="41"/>
      <c r="H92" s="41"/>
      <c r="I92" s="41"/>
      <c r="J92" s="41">
        <f t="shared" si="7"/>
        <v>0</v>
      </c>
      <c r="K92" s="41">
        <f t="shared" si="8"/>
        <v>0</v>
      </c>
      <c r="L92" s="41">
        <f t="shared" si="6"/>
        <v>0</v>
      </c>
      <c r="M92" s="41"/>
      <c r="N92" s="41"/>
      <c r="O92" s="41"/>
    </row>
    <row r="93" spans="1:15" hidden="1">
      <c r="A93" s="64">
        <v>85</v>
      </c>
      <c r="B93" s="102">
        <v>44743</v>
      </c>
      <c r="C93" s="41"/>
      <c r="D93" s="41"/>
      <c r="E93" s="41"/>
      <c r="F93" s="41"/>
      <c r="G93" s="41"/>
      <c r="H93" s="41"/>
      <c r="I93" s="41"/>
      <c r="J93" s="41">
        <f t="shared" si="7"/>
        <v>0</v>
      </c>
      <c r="K93" s="41">
        <f t="shared" si="8"/>
        <v>0</v>
      </c>
      <c r="L93" s="41">
        <f t="shared" si="6"/>
        <v>0</v>
      </c>
      <c r="M93" s="41"/>
      <c r="N93" s="41"/>
      <c r="O93" s="41"/>
    </row>
    <row r="94" spans="1:15" hidden="1">
      <c r="A94" s="64">
        <v>86</v>
      </c>
      <c r="B94" s="102">
        <v>44774</v>
      </c>
      <c r="C94" s="41"/>
      <c r="D94" s="41"/>
      <c r="E94" s="41"/>
      <c r="F94" s="41"/>
      <c r="G94" s="41"/>
      <c r="H94" s="41"/>
      <c r="I94" s="41"/>
      <c r="J94" s="41">
        <f t="shared" si="7"/>
        <v>0</v>
      </c>
      <c r="K94" s="41">
        <f t="shared" si="8"/>
        <v>0</v>
      </c>
      <c r="L94" s="41">
        <f t="shared" si="6"/>
        <v>0</v>
      </c>
      <c r="M94" s="41"/>
      <c r="N94" s="41"/>
      <c r="O94" s="41"/>
    </row>
    <row r="95" spans="1:15" hidden="1">
      <c r="A95" s="64">
        <v>87</v>
      </c>
      <c r="B95" s="102">
        <v>44805</v>
      </c>
      <c r="C95" s="41"/>
      <c r="D95" s="41"/>
      <c r="E95" s="41"/>
      <c r="F95" s="41"/>
      <c r="G95" s="41"/>
      <c r="H95" s="41"/>
      <c r="I95" s="41"/>
      <c r="J95" s="41">
        <f t="shared" si="7"/>
        <v>0</v>
      </c>
      <c r="K95" s="41">
        <f t="shared" si="8"/>
        <v>0</v>
      </c>
      <c r="L95" s="41">
        <f t="shared" si="6"/>
        <v>0</v>
      </c>
      <c r="M95" s="41"/>
      <c r="N95" s="41"/>
      <c r="O95" s="41"/>
    </row>
    <row r="96" spans="1:15" hidden="1">
      <c r="A96" s="64">
        <v>88</v>
      </c>
      <c r="B96" s="102">
        <v>44835</v>
      </c>
      <c r="C96" s="41"/>
      <c r="D96" s="41"/>
      <c r="E96" s="41"/>
      <c r="F96" s="41"/>
      <c r="G96" s="41"/>
      <c r="H96" s="41"/>
      <c r="I96" s="41"/>
      <c r="J96" s="41">
        <f t="shared" si="7"/>
        <v>0</v>
      </c>
      <c r="K96" s="41">
        <f t="shared" si="8"/>
        <v>0</v>
      </c>
      <c r="L96" s="41">
        <f t="shared" si="6"/>
        <v>0</v>
      </c>
      <c r="M96" s="41"/>
      <c r="N96" s="41"/>
      <c r="O96" s="41"/>
    </row>
    <row r="97" spans="1:15" hidden="1">
      <c r="A97" s="64">
        <v>89</v>
      </c>
      <c r="B97" s="102">
        <v>44866</v>
      </c>
      <c r="C97" s="41"/>
      <c r="D97" s="41"/>
      <c r="E97" s="41"/>
      <c r="F97" s="41"/>
      <c r="G97" s="41"/>
      <c r="H97" s="41"/>
      <c r="I97" s="41"/>
      <c r="J97" s="41">
        <f t="shared" si="7"/>
        <v>0</v>
      </c>
      <c r="K97" s="41">
        <f t="shared" si="8"/>
        <v>0</v>
      </c>
      <c r="L97" s="41">
        <f t="shared" si="6"/>
        <v>0</v>
      </c>
      <c r="M97" s="41"/>
      <c r="N97" s="41"/>
      <c r="O97" s="41"/>
    </row>
    <row r="98" spans="1:15" hidden="1">
      <c r="A98" s="64">
        <v>90</v>
      </c>
      <c r="B98" s="102">
        <v>44896</v>
      </c>
      <c r="C98" s="41"/>
      <c r="D98" s="41"/>
      <c r="E98" s="41"/>
      <c r="F98" s="41"/>
      <c r="G98" s="41"/>
      <c r="H98" s="41"/>
      <c r="I98" s="41"/>
      <c r="J98" s="41">
        <f t="shared" si="7"/>
        <v>0</v>
      </c>
      <c r="K98" s="41">
        <f t="shared" si="8"/>
        <v>0</v>
      </c>
      <c r="L98" s="41">
        <f t="shared" si="6"/>
        <v>0</v>
      </c>
      <c r="M98" s="41"/>
      <c r="N98" s="41"/>
      <c r="O98" s="41"/>
    </row>
    <row r="99" spans="1:15" hidden="1">
      <c r="A99" s="64">
        <v>91</v>
      </c>
      <c r="B99" s="102">
        <v>44927</v>
      </c>
      <c r="C99" s="41"/>
      <c r="D99" s="41"/>
      <c r="E99" s="41"/>
      <c r="F99" s="41"/>
      <c r="G99" s="41"/>
      <c r="H99" s="41"/>
      <c r="I99" s="41"/>
      <c r="J99" s="41">
        <f t="shared" si="7"/>
        <v>0</v>
      </c>
      <c r="K99" s="41">
        <f t="shared" si="8"/>
        <v>0</v>
      </c>
      <c r="L99" s="41">
        <f t="shared" si="6"/>
        <v>0</v>
      </c>
      <c r="M99" s="41"/>
      <c r="N99" s="41"/>
      <c r="O99" s="41"/>
    </row>
    <row r="100" spans="1:15" hidden="1">
      <c r="A100" s="64">
        <v>92</v>
      </c>
      <c r="B100" s="102">
        <v>44958</v>
      </c>
      <c r="C100" s="41"/>
      <c r="D100" s="41"/>
      <c r="E100" s="41"/>
      <c r="F100" s="41"/>
      <c r="G100" s="41"/>
      <c r="H100" s="41"/>
      <c r="I100" s="41"/>
      <c r="J100" s="41">
        <f t="shared" si="7"/>
        <v>0</v>
      </c>
      <c r="K100" s="41">
        <f t="shared" si="8"/>
        <v>0</v>
      </c>
      <c r="L100" s="41">
        <f t="shared" si="6"/>
        <v>0</v>
      </c>
      <c r="M100" s="41"/>
      <c r="N100" s="41"/>
      <c r="O100" s="41"/>
    </row>
    <row r="101" spans="1:15" hidden="1">
      <c r="A101" s="64">
        <v>93</v>
      </c>
      <c r="B101" s="102">
        <v>44986</v>
      </c>
      <c r="C101" s="41"/>
      <c r="D101" s="41"/>
      <c r="E101" s="41"/>
      <c r="F101" s="41"/>
      <c r="G101" s="41"/>
      <c r="H101" s="41"/>
      <c r="I101" s="41"/>
      <c r="J101" s="41">
        <f t="shared" si="7"/>
        <v>0</v>
      </c>
      <c r="K101" s="41">
        <f t="shared" si="8"/>
        <v>0</v>
      </c>
      <c r="L101" s="41">
        <f t="shared" si="6"/>
        <v>0</v>
      </c>
      <c r="M101" s="41"/>
      <c r="N101" s="41"/>
      <c r="O101" s="41"/>
    </row>
    <row r="102" spans="1:15" hidden="1">
      <c r="A102" s="64">
        <v>94</v>
      </c>
      <c r="B102" s="102">
        <v>45017</v>
      </c>
      <c r="C102" s="41"/>
      <c r="D102" s="41"/>
      <c r="E102" s="41"/>
      <c r="F102" s="41"/>
      <c r="G102" s="41"/>
      <c r="H102" s="41"/>
      <c r="I102" s="41"/>
      <c r="J102" s="41">
        <f t="shared" si="7"/>
        <v>0</v>
      </c>
      <c r="K102" s="41">
        <f t="shared" si="8"/>
        <v>0</v>
      </c>
      <c r="L102" s="41">
        <f t="shared" si="6"/>
        <v>0</v>
      </c>
      <c r="M102" s="41"/>
      <c r="N102" s="41"/>
      <c r="O102" s="41"/>
    </row>
    <row r="103" spans="1:15" hidden="1">
      <c r="A103" s="64">
        <v>95</v>
      </c>
      <c r="B103" s="102">
        <v>45047</v>
      </c>
      <c r="C103" s="41"/>
      <c r="D103" s="41"/>
      <c r="E103" s="41"/>
      <c r="F103" s="41"/>
      <c r="G103" s="41"/>
      <c r="H103" s="41"/>
      <c r="I103" s="41"/>
      <c r="J103" s="41">
        <f t="shared" si="7"/>
        <v>0</v>
      </c>
      <c r="K103" s="41">
        <f t="shared" si="8"/>
        <v>0</v>
      </c>
      <c r="L103" s="41">
        <f t="shared" si="6"/>
        <v>0</v>
      </c>
      <c r="M103" s="41"/>
      <c r="N103" s="41"/>
      <c r="O103" s="41"/>
    </row>
    <row r="104" spans="1:15" hidden="1">
      <c r="A104" s="64">
        <v>96</v>
      </c>
      <c r="B104" s="102">
        <v>45078</v>
      </c>
      <c r="C104" s="41"/>
      <c r="D104" s="41"/>
      <c r="E104" s="41"/>
      <c r="F104" s="41"/>
      <c r="G104" s="41"/>
      <c r="H104" s="41"/>
      <c r="I104" s="41"/>
      <c r="J104" s="41">
        <f t="shared" si="7"/>
        <v>0</v>
      </c>
      <c r="K104" s="41">
        <f t="shared" si="8"/>
        <v>0</v>
      </c>
      <c r="L104" s="41">
        <f t="shared" si="6"/>
        <v>0</v>
      </c>
      <c r="M104" s="41"/>
      <c r="N104" s="41"/>
      <c r="O104" s="41"/>
    </row>
    <row r="105" spans="1:15" hidden="1">
      <c r="A105" s="64">
        <v>97</v>
      </c>
      <c r="B105" s="102">
        <v>45108</v>
      </c>
      <c r="C105" s="41"/>
      <c r="D105" s="41"/>
      <c r="E105" s="41"/>
      <c r="F105" s="41"/>
      <c r="G105" s="41"/>
      <c r="H105" s="41"/>
      <c r="I105" s="41"/>
      <c r="J105" s="41">
        <f t="shared" si="7"/>
        <v>0</v>
      </c>
      <c r="K105" s="41">
        <f t="shared" si="8"/>
        <v>0</v>
      </c>
      <c r="L105" s="41">
        <f t="shared" si="6"/>
        <v>0</v>
      </c>
      <c r="M105" s="41"/>
      <c r="N105" s="41"/>
      <c r="O105" s="41"/>
    </row>
    <row r="106" spans="1:15" hidden="1">
      <c r="A106" s="64">
        <v>98</v>
      </c>
      <c r="B106" s="102">
        <v>45139</v>
      </c>
      <c r="C106" s="41"/>
      <c r="D106" s="41"/>
      <c r="E106" s="41"/>
      <c r="F106" s="41"/>
      <c r="G106" s="41"/>
      <c r="H106" s="41"/>
      <c r="I106" s="41"/>
      <c r="J106" s="41">
        <f t="shared" si="7"/>
        <v>0</v>
      </c>
      <c r="K106" s="41">
        <f t="shared" si="8"/>
        <v>0</v>
      </c>
      <c r="L106" s="41">
        <f t="shared" si="6"/>
        <v>0</v>
      </c>
      <c r="M106" s="41"/>
      <c r="N106" s="41"/>
      <c r="O106" s="41"/>
    </row>
    <row r="107" spans="1:15" hidden="1">
      <c r="A107" s="64">
        <v>99</v>
      </c>
      <c r="B107" s="102">
        <v>45170</v>
      </c>
      <c r="C107" s="41"/>
      <c r="D107" s="41"/>
      <c r="E107" s="41"/>
      <c r="F107" s="41"/>
      <c r="G107" s="41"/>
      <c r="H107" s="41"/>
      <c r="I107" s="41"/>
      <c r="J107" s="41">
        <f t="shared" si="7"/>
        <v>0</v>
      </c>
      <c r="K107" s="41">
        <f t="shared" si="8"/>
        <v>0</v>
      </c>
      <c r="L107" s="41">
        <f t="shared" si="6"/>
        <v>0</v>
      </c>
      <c r="M107" s="41"/>
      <c r="N107" s="41"/>
      <c r="O107" s="41"/>
    </row>
    <row r="108" spans="1:15" hidden="1">
      <c r="A108" s="64">
        <v>100</v>
      </c>
      <c r="B108" s="102">
        <v>45200</v>
      </c>
      <c r="C108" s="41"/>
      <c r="D108" s="41"/>
      <c r="E108" s="41"/>
      <c r="F108" s="41"/>
      <c r="G108" s="41"/>
      <c r="H108" s="41"/>
      <c r="I108" s="41"/>
      <c r="J108" s="41">
        <f t="shared" si="7"/>
        <v>0</v>
      </c>
      <c r="K108" s="41">
        <f t="shared" si="8"/>
        <v>0</v>
      </c>
      <c r="L108" s="41">
        <f t="shared" si="6"/>
        <v>0</v>
      </c>
      <c r="M108" s="41"/>
      <c r="N108" s="41"/>
      <c r="O108" s="41"/>
    </row>
    <row r="109" spans="1:15" hidden="1">
      <c r="A109" s="64">
        <v>101</v>
      </c>
      <c r="B109" s="102">
        <v>45231</v>
      </c>
      <c r="C109" s="41"/>
      <c r="D109" s="41"/>
      <c r="E109" s="41"/>
      <c r="F109" s="41"/>
      <c r="G109" s="41"/>
      <c r="H109" s="41"/>
      <c r="I109" s="41"/>
      <c r="J109" s="41">
        <f t="shared" si="7"/>
        <v>0</v>
      </c>
      <c r="K109" s="41">
        <f t="shared" si="8"/>
        <v>0</v>
      </c>
      <c r="L109" s="41">
        <f t="shared" si="6"/>
        <v>0</v>
      </c>
      <c r="M109" s="41"/>
      <c r="N109" s="41"/>
      <c r="O109" s="41"/>
    </row>
    <row r="110" spans="1:15" hidden="1">
      <c r="A110" s="64">
        <v>102</v>
      </c>
      <c r="B110" s="102">
        <v>45261</v>
      </c>
      <c r="C110" s="41"/>
      <c r="D110" s="41"/>
      <c r="E110" s="41"/>
      <c r="F110" s="41"/>
      <c r="G110" s="41"/>
      <c r="H110" s="41"/>
      <c r="I110" s="41"/>
      <c r="J110" s="41">
        <f t="shared" si="7"/>
        <v>0</v>
      </c>
      <c r="K110" s="41">
        <f t="shared" si="8"/>
        <v>0</v>
      </c>
      <c r="L110" s="41">
        <f t="shared" si="6"/>
        <v>0</v>
      </c>
      <c r="M110" s="41"/>
      <c r="N110" s="41"/>
      <c r="O110" s="41"/>
    </row>
    <row r="111" spans="1:15" hidden="1">
      <c r="A111" s="64">
        <v>103</v>
      </c>
      <c r="B111" s="102">
        <v>45292</v>
      </c>
      <c r="C111" s="41"/>
      <c r="D111" s="41"/>
      <c r="E111" s="41"/>
      <c r="F111" s="41"/>
      <c r="G111" s="41"/>
      <c r="H111" s="41"/>
      <c r="I111" s="41"/>
      <c r="J111" s="41">
        <f t="shared" si="7"/>
        <v>0</v>
      </c>
      <c r="K111" s="41">
        <f t="shared" si="8"/>
        <v>0</v>
      </c>
      <c r="L111" s="41">
        <f t="shared" si="6"/>
        <v>0</v>
      </c>
      <c r="M111" s="41"/>
      <c r="N111" s="41"/>
      <c r="O111" s="41"/>
    </row>
    <row r="112" spans="1:15" hidden="1">
      <c r="A112" s="64">
        <v>104</v>
      </c>
      <c r="B112" s="102">
        <v>45323</v>
      </c>
      <c r="C112" s="41"/>
      <c r="D112" s="41"/>
      <c r="E112" s="41"/>
      <c r="F112" s="41"/>
      <c r="G112" s="41"/>
      <c r="H112" s="41"/>
      <c r="I112" s="41"/>
      <c r="J112" s="41">
        <f t="shared" si="7"/>
        <v>0</v>
      </c>
      <c r="K112" s="41">
        <f t="shared" si="8"/>
        <v>0</v>
      </c>
      <c r="L112" s="41">
        <f t="shared" si="6"/>
        <v>0</v>
      </c>
      <c r="M112" s="41"/>
      <c r="N112" s="41"/>
      <c r="O112" s="41"/>
    </row>
    <row r="113" spans="1:15" hidden="1">
      <c r="A113" s="64">
        <v>105</v>
      </c>
      <c r="B113" s="102">
        <v>45352</v>
      </c>
      <c r="C113" s="41"/>
      <c r="D113" s="41"/>
      <c r="E113" s="41"/>
      <c r="F113" s="41"/>
      <c r="G113" s="41"/>
      <c r="H113" s="41"/>
      <c r="I113" s="41"/>
      <c r="J113" s="41">
        <f t="shared" si="7"/>
        <v>0</v>
      </c>
      <c r="K113" s="41">
        <f t="shared" si="8"/>
        <v>0</v>
      </c>
      <c r="L113" s="41">
        <f t="shared" si="6"/>
        <v>0</v>
      </c>
      <c r="M113" s="41"/>
      <c r="N113" s="41"/>
      <c r="O113" s="41"/>
    </row>
    <row r="114" spans="1:15" hidden="1">
      <c r="A114" s="64">
        <v>106</v>
      </c>
      <c r="B114" s="102">
        <v>45383</v>
      </c>
      <c r="C114" s="41"/>
      <c r="D114" s="41"/>
      <c r="E114" s="41"/>
      <c r="F114" s="41"/>
      <c r="G114" s="41"/>
      <c r="H114" s="41"/>
      <c r="I114" s="41"/>
      <c r="J114" s="41">
        <f t="shared" si="7"/>
        <v>0</v>
      </c>
      <c r="K114" s="41">
        <f t="shared" si="8"/>
        <v>0</v>
      </c>
      <c r="L114" s="41">
        <f t="shared" si="6"/>
        <v>0</v>
      </c>
      <c r="M114" s="41"/>
      <c r="N114" s="41"/>
      <c r="O114" s="41"/>
    </row>
    <row r="115" spans="1:15" hidden="1">
      <c r="A115" s="64">
        <v>107</v>
      </c>
      <c r="B115" s="102">
        <v>45413</v>
      </c>
      <c r="C115" s="41"/>
      <c r="D115" s="41"/>
      <c r="E115" s="41"/>
      <c r="F115" s="41"/>
      <c r="G115" s="41"/>
      <c r="H115" s="41"/>
      <c r="I115" s="41"/>
      <c r="J115" s="41">
        <f t="shared" si="7"/>
        <v>0</v>
      </c>
      <c r="K115" s="41">
        <f t="shared" si="8"/>
        <v>0</v>
      </c>
      <c r="L115" s="41">
        <f t="shared" si="6"/>
        <v>0</v>
      </c>
      <c r="M115" s="41"/>
      <c r="N115" s="41"/>
      <c r="O115" s="41"/>
    </row>
    <row r="116" spans="1:15" hidden="1">
      <c r="A116" s="64">
        <v>108</v>
      </c>
      <c r="B116" s="102">
        <v>45444</v>
      </c>
      <c r="C116" s="41"/>
      <c r="D116" s="41"/>
      <c r="E116" s="41"/>
      <c r="F116" s="41"/>
      <c r="G116" s="41"/>
      <c r="H116" s="41"/>
      <c r="I116" s="41"/>
      <c r="J116" s="41">
        <f t="shared" si="7"/>
        <v>0</v>
      </c>
      <c r="K116" s="41">
        <f t="shared" si="8"/>
        <v>0</v>
      </c>
      <c r="L116" s="41">
        <f t="shared" si="6"/>
        <v>0</v>
      </c>
      <c r="M116" s="41"/>
      <c r="N116" s="41"/>
      <c r="O116" s="41"/>
    </row>
    <row r="117" spans="1:15" hidden="1">
      <c r="A117" s="64">
        <v>109</v>
      </c>
      <c r="B117" s="102">
        <v>45474</v>
      </c>
      <c r="C117" s="41"/>
      <c r="D117" s="41"/>
      <c r="E117" s="41"/>
      <c r="F117" s="41"/>
      <c r="G117" s="41"/>
      <c r="H117" s="41"/>
      <c r="I117" s="41"/>
      <c r="J117" s="41">
        <f t="shared" si="7"/>
        <v>0</v>
      </c>
      <c r="K117" s="41">
        <f t="shared" si="8"/>
        <v>0</v>
      </c>
      <c r="L117" s="41">
        <f t="shared" si="6"/>
        <v>0</v>
      </c>
      <c r="M117" s="41"/>
      <c r="N117" s="41"/>
      <c r="O117" s="41"/>
    </row>
    <row r="118" spans="1:15" hidden="1">
      <c r="A118" s="64">
        <v>110</v>
      </c>
      <c r="B118" s="102">
        <v>45505</v>
      </c>
      <c r="C118" s="41"/>
      <c r="D118" s="41"/>
      <c r="E118" s="41"/>
      <c r="F118" s="41"/>
      <c r="G118" s="41"/>
      <c r="H118" s="41"/>
      <c r="I118" s="41"/>
      <c r="J118" s="41">
        <f t="shared" si="7"/>
        <v>0</v>
      </c>
      <c r="K118" s="41">
        <f t="shared" si="8"/>
        <v>0</v>
      </c>
      <c r="L118" s="41">
        <f t="shared" si="6"/>
        <v>0</v>
      </c>
      <c r="M118" s="41"/>
      <c r="N118" s="41"/>
      <c r="O118" s="41"/>
    </row>
    <row r="119" spans="1:15" hidden="1">
      <c r="A119" s="64">
        <v>111</v>
      </c>
      <c r="B119" s="102">
        <v>45536</v>
      </c>
      <c r="C119" s="41"/>
      <c r="D119" s="41"/>
      <c r="E119" s="41"/>
      <c r="F119" s="41"/>
      <c r="G119" s="41"/>
      <c r="H119" s="41"/>
      <c r="I119" s="41"/>
      <c r="J119" s="41">
        <f t="shared" si="7"/>
        <v>0</v>
      </c>
      <c r="K119" s="41">
        <f t="shared" si="8"/>
        <v>0</v>
      </c>
      <c r="L119" s="41">
        <f t="shared" si="6"/>
        <v>0</v>
      </c>
      <c r="M119" s="41"/>
      <c r="N119" s="41"/>
      <c r="O119" s="41"/>
    </row>
    <row r="120" spans="1:15" hidden="1">
      <c r="A120" s="64">
        <v>112</v>
      </c>
      <c r="B120" s="102">
        <v>45566</v>
      </c>
      <c r="C120" s="41"/>
      <c r="D120" s="41"/>
      <c r="E120" s="41"/>
      <c r="F120" s="41"/>
      <c r="G120" s="41"/>
      <c r="H120" s="41"/>
      <c r="I120" s="41"/>
      <c r="J120" s="41">
        <f t="shared" si="7"/>
        <v>0</v>
      </c>
      <c r="K120" s="41">
        <f t="shared" si="8"/>
        <v>0</v>
      </c>
      <c r="L120" s="41">
        <f t="shared" si="6"/>
        <v>0</v>
      </c>
      <c r="M120" s="41"/>
      <c r="N120" s="41"/>
      <c r="O120" s="41"/>
    </row>
    <row r="121" spans="1:15" hidden="1">
      <c r="A121" s="64">
        <v>113</v>
      </c>
      <c r="B121" s="102">
        <v>45597</v>
      </c>
      <c r="C121" s="41"/>
      <c r="D121" s="41"/>
      <c r="E121" s="41"/>
      <c r="F121" s="41"/>
      <c r="G121" s="41"/>
      <c r="H121" s="41"/>
      <c r="I121" s="41"/>
      <c r="J121" s="41">
        <f t="shared" si="7"/>
        <v>0</v>
      </c>
      <c r="K121" s="41">
        <f t="shared" si="8"/>
        <v>0</v>
      </c>
      <c r="L121" s="41">
        <f t="shared" si="6"/>
        <v>0</v>
      </c>
      <c r="M121" s="41"/>
      <c r="N121" s="41"/>
      <c r="O121" s="41"/>
    </row>
    <row r="122" spans="1:15" hidden="1">
      <c r="A122" s="64">
        <v>114</v>
      </c>
      <c r="B122" s="102">
        <v>45627</v>
      </c>
      <c r="C122" s="41"/>
      <c r="D122" s="41"/>
      <c r="E122" s="41"/>
      <c r="F122" s="41"/>
      <c r="G122" s="41"/>
      <c r="H122" s="41"/>
      <c r="I122" s="41"/>
      <c r="J122" s="41">
        <f t="shared" si="7"/>
        <v>0</v>
      </c>
      <c r="K122" s="41">
        <f t="shared" si="8"/>
        <v>0</v>
      </c>
      <c r="L122" s="41">
        <f t="shared" si="6"/>
        <v>0</v>
      </c>
      <c r="M122" s="41"/>
      <c r="N122" s="41"/>
      <c r="O122" s="41"/>
    </row>
    <row r="123" spans="1:15" hidden="1">
      <c r="A123" s="64">
        <v>115</v>
      </c>
      <c r="B123" s="102">
        <v>45658</v>
      </c>
      <c r="C123" s="41"/>
      <c r="D123" s="41"/>
      <c r="E123" s="41"/>
      <c r="F123" s="41"/>
      <c r="G123" s="41"/>
      <c r="H123" s="41"/>
      <c r="I123" s="41"/>
      <c r="J123" s="41">
        <f t="shared" si="7"/>
        <v>0</v>
      </c>
      <c r="K123" s="41">
        <f t="shared" si="8"/>
        <v>0</v>
      </c>
      <c r="L123" s="41">
        <f t="shared" si="6"/>
        <v>0</v>
      </c>
      <c r="M123" s="41"/>
      <c r="N123" s="41"/>
      <c r="O123" s="41"/>
    </row>
    <row r="124" spans="1:15" hidden="1">
      <c r="A124" s="64">
        <v>116</v>
      </c>
      <c r="B124" s="102">
        <v>45689</v>
      </c>
      <c r="C124" s="41"/>
      <c r="D124" s="41"/>
      <c r="E124" s="41"/>
      <c r="F124" s="41"/>
      <c r="G124" s="41"/>
      <c r="H124" s="41"/>
      <c r="I124" s="41"/>
      <c r="J124" s="41">
        <f t="shared" si="7"/>
        <v>0</v>
      </c>
      <c r="K124" s="41">
        <f t="shared" si="8"/>
        <v>0</v>
      </c>
      <c r="L124" s="41">
        <f t="shared" si="6"/>
        <v>0</v>
      </c>
      <c r="M124" s="41"/>
      <c r="N124" s="41"/>
      <c r="O124" s="41"/>
    </row>
    <row r="125" spans="1:15" hidden="1">
      <c r="A125" s="64">
        <v>117</v>
      </c>
      <c r="B125" s="102">
        <v>45717</v>
      </c>
      <c r="C125" s="41"/>
      <c r="D125" s="41"/>
      <c r="E125" s="41"/>
      <c r="F125" s="41"/>
      <c r="G125" s="41"/>
      <c r="H125" s="41"/>
      <c r="I125" s="41"/>
      <c r="J125" s="41">
        <f t="shared" si="7"/>
        <v>0</v>
      </c>
      <c r="K125" s="41">
        <f t="shared" si="8"/>
        <v>0</v>
      </c>
      <c r="L125" s="41">
        <f t="shared" si="6"/>
        <v>0</v>
      </c>
      <c r="M125" s="41"/>
      <c r="N125" s="41"/>
      <c r="O125" s="41"/>
    </row>
    <row r="126" spans="1:15" hidden="1">
      <c r="A126" s="64">
        <v>118</v>
      </c>
      <c r="B126" s="102">
        <v>45748</v>
      </c>
      <c r="C126" s="41"/>
      <c r="D126" s="41"/>
      <c r="E126" s="41"/>
      <c r="F126" s="41"/>
      <c r="G126" s="41"/>
      <c r="H126" s="41"/>
      <c r="I126" s="41"/>
      <c r="J126" s="41">
        <f t="shared" si="7"/>
        <v>0</v>
      </c>
      <c r="K126" s="41">
        <f t="shared" si="8"/>
        <v>0</v>
      </c>
      <c r="L126" s="41">
        <f t="shared" si="6"/>
        <v>0</v>
      </c>
      <c r="M126" s="41"/>
      <c r="N126" s="41"/>
      <c r="O126" s="41"/>
    </row>
    <row r="127" spans="1:15" hidden="1">
      <c r="A127" s="64">
        <v>119</v>
      </c>
      <c r="B127" s="102">
        <v>45778</v>
      </c>
      <c r="C127" s="41"/>
      <c r="D127" s="41"/>
      <c r="E127" s="41"/>
      <c r="F127" s="41"/>
      <c r="G127" s="41"/>
      <c r="H127" s="41"/>
      <c r="I127" s="41"/>
      <c r="J127" s="41">
        <f t="shared" si="7"/>
        <v>0</v>
      </c>
      <c r="K127" s="41">
        <f t="shared" si="8"/>
        <v>0</v>
      </c>
      <c r="L127" s="41">
        <f t="shared" si="6"/>
        <v>0</v>
      </c>
      <c r="M127" s="41"/>
      <c r="N127" s="41"/>
      <c r="O127" s="41"/>
    </row>
    <row r="128" spans="1:15" hidden="1">
      <c r="A128" s="64">
        <v>120</v>
      </c>
      <c r="B128" s="102">
        <v>45809</v>
      </c>
      <c r="C128" s="41"/>
      <c r="D128" s="41"/>
      <c r="E128" s="41"/>
      <c r="F128" s="41"/>
      <c r="G128" s="41"/>
      <c r="H128" s="41"/>
      <c r="I128" s="41"/>
      <c r="J128" s="41">
        <f t="shared" si="7"/>
        <v>0</v>
      </c>
      <c r="K128" s="41">
        <f t="shared" si="8"/>
        <v>0</v>
      </c>
      <c r="L128" s="41">
        <f t="shared" si="6"/>
        <v>0</v>
      </c>
      <c r="M128" s="41"/>
      <c r="N128" s="41"/>
      <c r="O128" s="41"/>
    </row>
    <row r="129" spans="1:15" hidden="1">
      <c r="A129" s="64">
        <v>121</v>
      </c>
      <c r="B129" s="102">
        <v>45839</v>
      </c>
      <c r="C129" s="41"/>
      <c r="D129" s="41"/>
      <c r="E129" s="41"/>
      <c r="F129" s="41"/>
      <c r="G129" s="41"/>
      <c r="H129" s="41"/>
      <c r="I129" s="41"/>
      <c r="J129" s="41">
        <f t="shared" si="7"/>
        <v>0</v>
      </c>
      <c r="K129" s="41">
        <f t="shared" si="8"/>
        <v>0</v>
      </c>
      <c r="L129" s="41">
        <f t="shared" si="6"/>
        <v>0</v>
      </c>
      <c r="M129" s="41"/>
      <c r="N129" s="41"/>
      <c r="O129" s="41"/>
    </row>
    <row r="130" spans="1:15" hidden="1">
      <c r="A130" s="64">
        <v>122</v>
      </c>
      <c r="B130" s="102">
        <v>45870</v>
      </c>
      <c r="C130" s="41"/>
      <c r="D130" s="41"/>
      <c r="E130" s="41"/>
      <c r="F130" s="41"/>
      <c r="G130" s="41"/>
      <c r="H130" s="41"/>
      <c r="I130" s="41"/>
      <c r="J130" s="41">
        <f t="shared" si="7"/>
        <v>0</v>
      </c>
      <c r="K130" s="41">
        <f t="shared" si="8"/>
        <v>0</v>
      </c>
      <c r="L130" s="41">
        <f t="shared" si="6"/>
        <v>0</v>
      </c>
      <c r="M130" s="41"/>
      <c r="N130" s="41"/>
      <c r="O130" s="41"/>
    </row>
    <row r="131" spans="1:15" hidden="1">
      <c r="A131" s="64">
        <v>123</v>
      </c>
      <c r="B131" s="102">
        <v>45901</v>
      </c>
      <c r="C131" s="41"/>
      <c r="D131" s="41"/>
      <c r="E131" s="41"/>
      <c r="F131" s="41"/>
      <c r="G131" s="41"/>
      <c r="H131" s="41"/>
      <c r="I131" s="41"/>
      <c r="J131" s="41">
        <f t="shared" si="7"/>
        <v>0</v>
      </c>
      <c r="K131" s="41">
        <f t="shared" si="8"/>
        <v>0</v>
      </c>
      <c r="L131" s="41">
        <f t="shared" si="6"/>
        <v>0</v>
      </c>
      <c r="M131" s="41"/>
      <c r="N131" s="41"/>
      <c r="O131" s="41"/>
    </row>
    <row r="132" spans="1:15" hidden="1">
      <c r="A132" s="64">
        <v>124</v>
      </c>
      <c r="B132" s="102">
        <v>45931</v>
      </c>
      <c r="C132" s="41"/>
      <c r="D132" s="41"/>
      <c r="E132" s="41"/>
      <c r="F132" s="41"/>
      <c r="G132" s="41"/>
      <c r="H132" s="41"/>
      <c r="I132" s="41"/>
      <c r="J132" s="41">
        <f t="shared" si="7"/>
        <v>0</v>
      </c>
      <c r="K132" s="41">
        <f t="shared" si="8"/>
        <v>0</v>
      </c>
      <c r="L132" s="41">
        <f t="shared" si="6"/>
        <v>0</v>
      </c>
      <c r="M132" s="41"/>
      <c r="N132" s="41"/>
      <c r="O132" s="41"/>
    </row>
    <row r="133" spans="1:15" hidden="1">
      <c r="A133" s="64">
        <v>125</v>
      </c>
      <c r="B133" s="102">
        <v>45962</v>
      </c>
      <c r="C133" s="41"/>
      <c r="D133" s="41"/>
      <c r="E133" s="41"/>
      <c r="F133" s="41"/>
      <c r="G133" s="41"/>
      <c r="H133" s="41"/>
      <c r="I133" s="41"/>
      <c r="J133" s="41">
        <f t="shared" si="7"/>
        <v>0</v>
      </c>
      <c r="K133" s="41">
        <f t="shared" si="8"/>
        <v>0</v>
      </c>
      <c r="L133" s="41">
        <f t="shared" si="6"/>
        <v>0</v>
      </c>
      <c r="M133" s="41"/>
      <c r="N133" s="41"/>
      <c r="O133" s="41"/>
    </row>
    <row r="134" spans="1:15" hidden="1">
      <c r="A134" s="64">
        <v>126</v>
      </c>
      <c r="B134" s="102">
        <v>45992</v>
      </c>
      <c r="C134" s="41"/>
      <c r="D134" s="41"/>
      <c r="E134" s="41"/>
      <c r="F134" s="41"/>
      <c r="G134" s="41"/>
      <c r="H134" s="41"/>
      <c r="I134" s="41"/>
      <c r="J134" s="41">
        <f t="shared" si="7"/>
        <v>0</v>
      </c>
      <c r="K134" s="41">
        <f t="shared" si="8"/>
        <v>0</v>
      </c>
      <c r="L134" s="41">
        <f t="shared" si="6"/>
        <v>0</v>
      </c>
      <c r="M134" s="41"/>
      <c r="N134" s="41"/>
      <c r="O134" s="41"/>
    </row>
    <row r="135" spans="1:15" hidden="1">
      <c r="A135" s="64">
        <v>127</v>
      </c>
      <c r="B135" s="102">
        <v>46023</v>
      </c>
      <c r="C135" s="41"/>
      <c r="D135" s="41"/>
      <c r="E135" s="41"/>
      <c r="F135" s="41"/>
      <c r="G135" s="41"/>
      <c r="H135" s="41"/>
      <c r="I135" s="41"/>
      <c r="J135" s="41">
        <f t="shared" si="7"/>
        <v>0</v>
      </c>
      <c r="K135" s="41">
        <f t="shared" si="8"/>
        <v>0</v>
      </c>
      <c r="L135" s="41">
        <f t="shared" si="6"/>
        <v>0</v>
      </c>
      <c r="M135" s="41"/>
      <c r="N135" s="41"/>
      <c r="O135" s="41"/>
    </row>
    <row r="136" spans="1:15" hidden="1">
      <c r="A136" s="64">
        <v>128</v>
      </c>
      <c r="B136" s="102">
        <v>46054</v>
      </c>
      <c r="C136" s="41"/>
      <c r="D136" s="41"/>
      <c r="E136" s="41"/>
      <c r="F136" s="41"/>
      <c r="G136" s="41"/>
      <c r="H136" s="41"/>
      <c r="I136" s="41"/>
      <c r="J136" s="41">
        <f t="shared" si="7"/>
        <v>0</v>
      </c>
      <c r="K136" s="41">
        <f t="shared" si="8"/>
        <v>0</v>
      </c>
      <c r="L136" s="41">
        <f t="shared" ref="L136:L199" si="9">ROUND(K136*L$3,0)</f>
        <v>0</v>
      </c>
      <c r="M136" s="41"/>
      <c r="N136" s="41"/>
      <c r="O136" s="41"/>
    </row>
    <row r="137" spans="1:15" hidden="1">
      <c r="A137" s="64">
        <v>129</v>
      </c>
      <c r="B137" s="102">
        <v>46082</v>
      </c>
      <c r="C137" s="41"/>
      <c r="D137" s="41"/>
      <c r="E137" s="41"/>
      <c r="F137" s="41"/>
      <c r="G137" s="41"/>
      <c r="H137" s="41"/>
      <c r="I137" s="41"/>
      <c r="J137" s="41">
        <f t="shared" si="7"/>
        <v>0</v>
      </c>
      <c r="K137" s="41">
        <f t="shared" si="8"/>
        <v>0</v>
      </c>
      <c r="L137" s="41">
        <f t="shared" si="9"/>
        <v>0</v>
      </c>
      <c r="M137" s="41"/>
      <c r="N137" s="41"/>
      <c r="O137" s="41"/>
    </row>
    <row r="138" spans="1:15" hidden="1">
      <c r="A138" s="64">
        <v>130</v>
      </c>
      <c r="B138" s="102">
        <v>46113</v>
      </c>
      <c r="C138" s="41"/>
      <c r="D138" s="41"/>
      <c r="E138" s="41"/>
      <c r="F138" s="41"/>
      <c r="G138" s="41"/>
      <c r="H138" s="41"/>
      <c r="I138" s="41"/>
      <c r="J138" s="41">
        <f t="shared" ref="J138:J201" si="10">SUM(C138:I138)</f>
        <v>0</v>
      </c>
      <c r="K138" s="41">
        <f t="shared" si="8"/>
        <v>0</v>
      </c>
      <c r="L138" s="41">
        <f t="shared" si="9"/>
        <v>0</v>
      </c>
      <c r="M138" s="41"/>
      <c r="N138" s="41"/>
      <c r="O138" s="41"/>
    </row>
    <row r="139" spans="1:15" hidden="1">
      <c r="A139" s="64">
        <v>131</v>
      </c>
      <c r="B139" s="102">
        <v>46143</v>
      </c>
      <c r="C139" s="41"/>
      <c r="D139" s="41"/>
      <c r="E139" s="41"/>
      <c r="F139" s="41"/>
      <c r="G139" s="41"/>
      <c r="H139" s="41"/>
      <c r="I139" s="41"/>
      <c r="J139" s="41">
        <f t="shared" si="10"/>
        <v>0</v>
      </c>
      <c r="K139" s="41">
        <f t="shared" si="8"/>
        <v>0</v>
      </c>
      <c r="L139" s="41">
        <f t="shared" si="9"/>
        <v>0</v>
      </c>
      <c r="M139" s="41"/>
      <c r="N139" s="41"/>
      <c r="O139" s="41"/>
    </row>
    <row r="140" spans="1:15" hidden="1">
      <c r="A140" s="64">
        <v>132</v>
      </c>
      <c r="B140" s="102">
        <v>46174</v>
      </c>
      <c r="C140" s="41"/>
      <c r="D140" s="41"/>
      <c r="E140" s="41"/>
      <c r="F140" s="41"/>
      <c r="G140" s="41"/>
      <c r="H140" s="41"/>
      <c r="I140" s="41"/>
      <c r="J140" s="41">
        <f t="shared" si="10"/>
        <v>0</v>
      </c>
      <c r="K140" s="41">
        <f t="shared" si="8"/>
        <v>0</v>
      </c>
      <c r="L140" s="41">
        <f t="shared" si="9"/>
        <v>0</v>
      </c>
      <c r="M140" s="41"/>
      <c r="N140" s="41"/>
      <c r="O140" s="41"/>
    </row>
    <row r="141" spans="1:15" hidden="1">
      <c r="A141" s="64">
        <v>133</v>
      </c>
      <c r="B141" s="102">
        <v>46204</v>
      </c>
      <c r="C141" s="41"/>
      <c r="D141" s="41"/>
      <c r="E141" s="41"/>
      <c r="F141" s="41"/>
      <c r="G141" s="41"/>
      <c r="H141" s="41"/>
      <c r="I141" s="41"/>
      <c r="J141" s="41">
        <f t="shared" si="10"/>
        <v>0</v>
      </c>
      <c r="K141" s="41">
        <f t="shared" si="8"/>
        <v>0</v>
      </c>
      <c r="L141" s="41">
        <f t="shared" si="9"/>
        <v>0</v>
      </c>
      <c r="M141" s="41"/>
      <c r="N141" s="41"/>
      <c r="O141" s="41"/>
    </row>
    <row r="142" spans="1:15" hidden="1">
      <c r="A142" s="64">
        <v>134</v>
      </c>
      <c r="B142" s="102">
        <v>46235</v>
      </c>
      <c r="C142" s="41"/>
      <c r="D142" s="41"/>
      <c r="E142" s="41"/>
      <c r="F142" s="41"/>
      <c r="G142" s="41"/>
      <c r="H142" s="41"/>
      <c r="I142" s="41"/>
      <c r="J142" s="41">
        <f t="shared" si="10"/>
        <v>0</v>
      </c>
      <c r="K142" s="41">
        <f t="shared" si="8"/>
        <v>0</v>
      </c>
      <c r="L142" s="41">
        <f t="shared" si="9"/>
        <v>0</v>
      </c>
      <c r="M142" s="41"/>
      <c r="N142" s="41"/>
      <c r="O142" s="41"/>
    </row>
    <row r="143" spans="1:15" hidden="1">
      <c r="A143" s="64">
        <v>135</v>
      </c>
      <c r="B143" s="102">
        <v>46266</v>
      </c>
      <c r="C143" s="41"/>
      <c r="D143" s="41"/>
      <c r="E143" s="41"/>
      <c r="F143" s="41"/>
      <c r="G143" s="41"/>
      <c r="H143" s="41"/>
      <c r="I143" s="41"/>
      <c r="J143" s="41">
        <f t="shared" si="10"/>
        <v>0</v>
      </c>
      <c r="K143" s="41">
        <f t="shared" si="8"/>
        <v>0</v>
      </c>
      <c r="L143" s="41">
        <f t="shared" si="9"/>
        <v>0</v>
      </c>
      <c r="M143" s="41"/>
      <c r="N143" s="41"/>
      <c r="O143" s="41"/>
    </row>
    <row r="144" spans="1:15" hidden="1">
      <c r="A144" s="64">
        <v>136</v>
      </c>
      <c r="B144" s="102">
        <v>46296</v>
      </c>
      <c r="C144" s="41"/>
      <c r="D144" s="41"/>
      <c r="E144" s="41"/>
      <c r="F144" s="41"/>
      <c r="G144" s="41"/>
      <c r="H144" s="41"/>
      <c r="I144" s="41"/>
      <c r="J144" s="41">
        <f t="shared" si="10"/>
        <v>0</v>
      </c>
      <c r="K144" s="41">
        <f t="shared" si="8"/>
        <v>0</v>
      </c>
      <c r="L144" s="41">
        <f t="shared" si="9"/>
        <v>0</v>
      </c>
      <c r="M144" s="41"/>
      <c r="N144" s="41"/>
      <c r="O144" s="41"/>
    </row>
    <row r="145" spans="1:15" hidden="1">
      <c r="A145" s="64">
        <v>137</v>
      </c>
      <c r="B145" s="102">
        <v>46327</v>
      </c>
      <c r="C145" s="41"/>
      <c r="D145" s="41"/>
      <c r="E145" s="41"/>
      <c r="F145" s="41"/>
      <c r="G145" s="41"/>
      <c r="H145" s="41"/>
      <c r="I145" s="41"/>
      <c r="J145" s="41">
        <f t="shared" si="10"/>
        <v>0</v>
      </c>
      <c r="K145" s="41">
        <f t="shared" si="8"/>
        <v>0</v>
      </c>
      <c r="L145" s="41">
        <f t="shared" si="9"/>
        <v>0</v>
      </c>
      <c r="M145" s="41"/>
      <c r="N145" s="41"/>
      <c r="O145" s="41"/>
    </row>
    <row r="146" spans="1:15" hidden="1">
      <c r="A146" s="64">
        <v>138</v>
      </c>
      <c r="B146" s="102">
        <v>46357</v>
      </c>
      <c r="C146" s="41"/>
      <c r="D146" s="41"/>
      <c r="E146" s="41"/>
      <c r="F146" s="41"/>
      <c r="G146" s="41"/>
      <c r="H146" s="41"/>
      <c r="I146" s="41"/>
      <c r="J146" s="41">
        <f t="shared" si="10"/>
        <v>0</v>
      </c>
      <c r="K146" s="41">
        <f t="shared" ref="K146:K209" si="11">C146+D146+F146+G146</f>
        <v>0</v>
      </c>
      <c r="L146" s="41">
        <f t="shared" si="9"/>
        <v>0</v>
      </c>
      <c r="M146" s="41"/>
      <c r="N146" s="41"/>
      <c r="O146" s="41"/>
    </row>
    <row r="147" spans="1:15" hidden="1">
      <c r="A147" s="64">
        <v>139</v>
      </c>
      <c r="B147" s="102">
        <v>46388</v>
      </c>
      <c r="C147" s="41"/>
      <c r="D147" s="41"/>
      <c r="E147" s="41"/>
      <c r="F147" s="41"/>
      <c r="G147" s="41"/>
      <c r="H147" s="41"/>
      <c r="I147" s="41"/>
      <c r="J147" s="41">
        <f t="shared" si="10"/>
        <v>0</v>
      </c>
      <c r="K147" s="41">
        <f t="shared" si="11"/>
        <v>0</v>
      </c>
      <c r="L147" s="41">
        <f t="shared" si="9"/>
        <v>0</v>
      </c>
      <c r="M147" s="41"/>
      <c r="N147" s="41"/>
      <c r="O147" s="41"/>
    </row>
    <row r="148" spans="1:15" hidden="1">
      <c r="A148" s="64">
        <v>140</v>
      </c>
      <c r="B148" s="102">
        <v>46419</v>
      </c>
      <c r="C148" s="41"/>
      <c r="D148" s="41"/>
      <c r="E148" s="41"/>
      <c r="F148" s="41"/>
      <c r="G148" s="41"/>
      <c r="H148" s="41"/>
      <c r="I148" s="41"/>
      <c r="J148" s="41">
        <f t="shared" si="10"/>
        <v>0</v>
      </c>
      <c r="K148" s="41">
        <f t="shared" si="11"/>
        <v>0</v>
      </c>
      <c r="L148" s="41">
        <f t="shared" si="9"/>
        <v>0</v>
      </c>
      <c r="M148" s="41"/>
      <c r="N148" s="41"/>
      <c r="O148" s="41"/>
    </row>
    <row r="149" spans="1:15" hidden="1">
      <c r="A149" s="64">
        <v>141</v>
      </c>
      <c r="B149" s="102">
        <v>46447</v>
      </c>
      <c r="C149" s="41"/>
      <c r="D149" s="41"/>
      <c r="E149" s="41"/>
      <c r="F149" s="41"/>
      <c r="G149" s="41"/>
      <c r="H149" s="41"/>
      <c r="I149" s="41"/>
      <c r="J149" s="41">
        <f t="shared" si="10"/>
        <v>0</v>
      </c>
      <c r="K149" s="41">
        <f t="shared" si="11"/>
        <v>0</v>
      </c>
      <c r="L149" s="41">
        <f t="shared" si="9"/>
        <v>0</v>
      </c>
      <c r="M149" s="41"/>
      <c r="N149" s="41"/>
      <c r="O149" s="41"/>
    </row>
    <row r="150" spans="1:15" hidden="1">
      <c r="A150" s="64">
        <v>142</v>
      </c>
      <c r="B150" s="102">
        <v>46478</v>
      </c>
      <c r="C150" s="41"/>
      <c r="D150" s="41"/>
      <c r="E150" s="41"/>
      <c r="F150" s="41"/>
      <c r="G150" s="41"/>
      <c r="H150" s="41"/>
      <c r="I150" s="41"/>
      <c r="J150" s="41">
        <f t="shared" si="10"/>
        <v>0</v>
      </c>
      <c r="K150" s="41">
        <f t="shared" si="11"/>
        <v>0</v>
      </c>
      <c r="L150" s="41">
        <f t="shared" si="9"/>
        <v>0</v>
      </c>
      <c r="M150" s="41"/>
      <c r="N150" s="41"/>
      <c r="O150" s="41"/>
    </row>
    <row r="151" spans="1:15" hidden="1">
      <c r="A151" s="64">
        <v>143</v>
      </c>
      <c r="B151" s="102">
        <v>46508</v>
      </c>
      <c r="C151" s="41"/>
      <c r="D151" s="41"/>
      <c r="E151" s="41"/>
      <c r="F151" s="41"/>
      <c r="G151" s="41"/>
      <c r="H151" s="41"/>
      <c r="I151" s="41"/>
      <c r="J151" s="41">
        <f t="shared" si="10"/>
        <v>0</v>
      </c>
      <c r="K151" s="41">
        <f t="shared" si="11"/>
        <v>0</v>
      </c>
      <c r="L151" s="41">
        <f t="shared" si="9"/>
        <v>0</v>
      </c>
      <c r="M151" s="41"/>
      <c r="N151" s="41"/>
      <c r="O151" s="41"/>
    </row>
    <row r="152" spans="1:15" hidden="1">
      <c r="A152" s="64">
        <v>144</v>
      </c>
      <c r="B152" s="102">
        <v>46539</v>
      </c>
      <c r="C152" s="41"/>
      <c r="D152" s="41"/>
      <c r="E152" s="41"/>
      <c r="F152" s="41"/>
      <c r="G152" s="41"/>
      <c r="H152" s="41"/>
      <c r="I152" s="41"/>
      <c r="J152" s="41">
        <f t="shared" si="10"/>
        <v>0</v>
      </c>
      <c r="K152" s="41">
        <f t="shared" si="11"/>
        <v>0</v>
      </c>
      <c r="L152" s="41">
        <f t="shared" si="9"/>
        <v>0</v>
      </c>
      <c r="M152" s="41"/>
      <c r="N152" s="41"/>
      <c r="O152" s="41"/>
    </row>
    <row r="153" spans="1:15" hidden="1">
      <c r="A153" s="64">
        <v>145</v>
      </c>
      <c r="B153" s="102">
        <v>46569</v>
      </c>
      <c r="C153" s="41"/>
      <c r="D153" s="41"/>
      <c r="E153" s="41"/>
      <c r="F153" s="41"/>
      <c r="G153" s="41"/>
      <c r="H153" s="41"/>
      <c r="I153" s="41"/>
      <c r="J153" s="41">
        <f t="shared" si="10"/>
        <v>0</v>
      </c>
      <c r="K153" s="41">
        <f t="shared" si="11"/>
        <v>0</v>
      </c>
      <c r="L153" s="41">
        <f t="shared" si="9"/>
        <v>0</v>
      </c>
      <c r="M153" s="41"/>
      <c r="N153" s="41"/>
      <c r="O153" s="41"/>
    </row>
    <row r="154" spans="1:15" hidden="1">
      <c r="A154" s="64">
        <v>146</v>
      </c>
      <c r="B154" s="102">
        <v>46600</v>
      </c>
      <c r="C154" s="41"/>
      <c r="D154" s="41"/>
      <c r="E154" s="41"/>
      <c r="F154" s="41"/>
      <c r="G154" s="41"/>
      <c r="H154" s="41"/>
      <c r="I154" s="41"/>
      <c r="J154" s="41">
        <f t="shared" si="10"/>
        <v>0</v>
      </c>
      <c r="K154" s="41">
        <f t="shared" si="11"/>
        <v>0</v>
      </c>
      <c r="L154" s="41">
        <f t="shared" si="9"/>
        <v>0</v>
      </c>
      <c r="M154" s="41"/>
      <c r="N154" s="41"/>
      <c r="O154" s="41"/>
    </row>
    <row r="155" spans="1:15" hidden="1">
      <c r="A155" s="64">
        <v>147</v>
      </c>
      <c r="B155" s="102">
        <v>46631</v>
      </c>
      <c r="C155" s="41"/>
      <c r="D155" s="41"/>
      <c r="E155" s="41"/>
      <c r="F155" s="41"/>
      <c r="G155" s="41"/>
      <c r="H155" s="41"/>
      <c r="I155" s="41"/>
      <c r="J155" s="41">
        <f t="shared" si="10"/>
        <v>0</v>
      </c>
      <c r="K155" s="41">
        <f t="shared" si="11"/>
        <v>0</v>
      </c>
      <c r="L155" s="41">
        <f t="shared" si="9"/>
        <v>0</v>
      </c>
      <c r="M155" s="41"/>
      <c r="N155" s="41"/>
      <c r="O155" s="41"/>
    </row>
    <row r="156" spans="1:15" hidden="1">
      <c r="A156" s="64">
        <v>148</v>
      </c>
      <c r="B156" s="102">
        <v>46661</v>
      </c>
      <c r="C156" s="41"/>
      <c r="D156" s="41"/>
      <c r="E156" s="41"/>
      <c r="F156" s="41"/>
      <c r="G156" s="41"/>
      <c r="H156" s="41"/>
      <c r="I156" s="41"/>
      <c r="J156" s="41">
        <f t="shared" si="10"/>
        <v>0</v>
      </c>
      <c r="K156" s="41">
        <f t="shared" si="11"/>
        <v>0</v>
      </c>
      <c r="L156" s="41">
        <f t="shared" si="9"/>
        <v>0</v>
      </c>
      <c r="M156" s="41"/>
      <c r="N156" s="41"/>
      <c r="O156" s="41"/>
    </row>
    <row r="157" spans="1:15" hidden="1">
      <c r="A157" s="64">
        <v>149</v>
      </c>
      <c r="B157" s="102">
        <v>46692</v>
      </c>
      <c r="C157" s="41"/>
      <c r="D157" s="41"/>
      <c r="E157" s="41"/>
      <c r="F157" s="41"/>
      <c r="G157" s="41"/>
      <c r="H157" s="41"/>
      <c r="I157" s="41"/>
      <c r="J157" s="41">
        <f t="shared" si="10"/>
        <v>0</v>
      </c>
      <c r="K157" s="41">
        <f t="shared" si="11"/>
        <v>0</v>
      </c>
      <c r="L157" s="41">
        <f t="shared" si="9"/>
        <v>0</v>
      </c>
      <c r="M157" s="41"/>
      <c r="N157" s="41"/>
      <c r="O157" s="41"/>
    </row>
    <row r="158" spans="1:15" hidden="1">
      <c r="A158" s="64">
        <v>150</v>
      </c>
      <c r="B158" s="102">
        <v>46722</v>
      </c>
      <c r="C158" s="41"/>
      <c r="D158" s="41"/>
      <c r="E158" s="41"/>
      <c r="F158" s="41"/>
      <c r="G158" s="41"/>
      <c r="H158" s="41"/>
      <c r="I158" s="41"/>
      <c r="J158" s="41">
        <f t="shared" si="10"/>
        <v>0</v>
      </c>
      <c r="K158" s="41">
        <f t="shared" si="11"/>
        <v>0</v>
      </c>
      <c r="L158" s="41">
        <f t="shared" si="9"/>
        <v>0</v>
      </c>
      <c r="M158" s="41"/>
      <c r="N158" s="41"/>
      <c r="O158" s="41"/>
    </row>
    <row r="159" spans="1:15" hidden="1">
      <c r="A159" s="64">
        <v>151</v>
      </c>
      <c r="B159" s="102">
        <v>46753</v>
      </c>
      <c r="C159" s="41"/>
      <c r="D159" s="41"/>
      <c r="E159" s="41"/>
      <c r="F159" s="41"/>
      <c r="G159" s="41"/>
      <c r="H159" s="41"/>
      <c r="I159" s="41"/>
      <c r="J159" s="41">
        <f t="shared" si="10"/>
        <v>0</v>
      </c>
      <c r="K159" s="41">
        <f t="shared" si="11"/>
        <v>0</v>
      </c>
      <c r="L159" s="41">
        <f t="shared" si="9"/>
        <v>0</v>
      </c>
      <c r="M159" s="41"/>
      <c r="N159" s="41"/>
      <c r="O159" s="41"/>
    </row>
    <row r="160" spans="1:15" hidden="1">
      <c r="A160" s="64">
        <v>152</v>
      </c>
      <c r="B160" s="102">
        <v>46784</v>
      </c>
      <c r="C160" s="41"/>
      <c r="D160" s="41"/>
      <c r="E160" s="41"/>
      <c r="F160" s="41"/>
      <c r="G160" s="41"/>
      <c r="H160" s="41"/>
      <c r="I160" s="41"/>
      <c r="J160" s="41">
        <f t="shared" si="10"/>
        <v>0</v>
      </c>
      <c r="K160" s="41">
        <f t="shared" si="11"/>
        <v>0</v>
      </c>
      <c r="L160" s="41">
        <f t="shared" si="9"/>
        <v>0</v>
      </c>
      <c r="M160" s="41"/>
      <c r="N160" s="41"/>
      <c r="O160" s="41"/>
    </row>
    <row r="161" spans="1:15" hidden="1">
      <c r="A161" s="64">
        <v>153</v>
      </c>
      <c r="B161" s="102">
        <v>46813</v>
      </c>
      <c r="C161" s="41"/>
      <c r="D161" s="41"/>
      <c r="E161" s="41"/>
      <c r="F161" s="41"/>
      <c r="G161" s="41"/>
      <c r="H161" s="41"/>
      <c r="I161" s="41"/>
      <c r="J161" s="41">
        <f t="shared" si="10"/>
        <v>0</v>
      </c>
      <c r="K161" s="41">
        <f t="shared" si="11"/>
        <v>0</v>
      </c>
      <c r="L161" s="41">
        <f t="shared" si="9"/>
        <v>0</v>
      </c>
      <c r="M161" s="41"/>
      <c r="N161" s="41"/>
      <c r="O161" s="41"/>
    </row>
    <row r="162" spans="1:15" hidden="1">
      <c r="A162" s="64">
        <v>154</v>
      </c>
      <c r="B162" s="102">
        <v>46844</v>
      </c>
      <c r="C162" s="41"/>
      <c r="D162" s="41"/>
      <c r="E162" s="41"/>
      <c r="F162" s="41"/>
      <c r="G162" s="41"/>
      <c r="H162" s="41"/>
      <c r="I162" s="41"/>
      <c r="J162" s="41">
        <f t="shared" si="10"/>
        <v>0</v>
      </c>
      <c r="K162" s="41">
        <f t="shared" si="11"/>
        <v>0</v>
      </c>
      <c r="L162" s="41">
        <f t="shared" si="9"/>
        <v>0</v>
      </c>
      <c r="M162" s="41"/>
      <c r="N162" s="41"/>
      <c r="O162" s="41"/>
    </row>
    <row r="163" spans="1:15" hidden="1">
      <c r="A163" s="64">
        <v>155</v>
      </c>
      <c r="B163" s="102">
        <v>46874</v>
      </c>
      <c r="C163" s="41"/>
      <c r="D163" s="41"/>
      <c r="E163" s="41"/>
      <c r="F163" s="41"/>
      <c r="G163" s="41"/>
      <c r="H163" s="41"/>
      <c r="I163" s="41"/>
      <c r="J163" s="41">
        <f t="shared" si="10"/>
        <v>0</v>
      </c>
      <c r="K163" s="41">
        <f t="shared" si="11"/>
        <v>0</v>
      </c>
      <c r="L163" s="41">
        <f t="shared" si="9"/>
        <v>0</v>
      </c>
      <c r="M163" s="41"/>
      <c r="N163" s="41"/>
      <c r="O163" s="41"/>
    </row>
    <row r="164" spans="1:15" hidden="1">
      <c r="A164" s="64">
        <v>156</v>
      </c>
      <c r="B164" s="102">
        <v>46905</v>
      </c>
      <c r="C164" s="41"/>
      <c r="D164" s="41"/>
      <c r="E164" s="41"/>
      <c r="F164" s="41"/>
      <c r="G164" s="41"/>
      <c r="H164" s="41"/>
      <c r="I164" s="41"/>
      <c r="J164" s="41">
        <f t="shared" si="10"/>
        <v>0</v>
      </c>
      <c r="K164" s="41">
        <f t="shared" si="11"/>
        <v>0</v>
      </c>
      <c r="L164" s="41">
        <f t="shared" si="9"/>
        <v>0</v>
      </c>
      <c r="M164" s="41"/>
      <c r="N164" s="41"/>
      <c r="O164" s="41"/>
    </row>
    <row r="165" spans="1:15" hidden="1">
      <c r="A165" s="64">
        <v>157</v>
      </c>
      <c r="B165" s="102">
        <v>46935</v>
      </c>
      <c r="C165" s="41"/>
      <c r="D165" s="41"/>
      <c r="E165" s="41"/>
      <c r="F165" s="41"/>
      <c r="G165" s="41"/>
      <c r="H165" s="41"/>
      <c r="I165" s="41"/>
      <c r="J165" s="41">
        <f t="shared" si="10"/>
        <v>0</v>
      </c>
      <c r="K165" s="41">
        <f t="shared" si="11"/>
        <v>0</v>
      </c>
      <c r="L165" s="41">
        <f t="shared" si="9"/>
        <v>0</v>
      </c>
      <c r="M165" s="41"/>
      <c r="N165" s="41"/>
      <c r="O165" s="41"/>
    </row>
    <row r="166" spans="1:15" hidden="1">
      <c r="A166" s="64">
        <v>158</v>
      </c>
      <c r="B166" s="102">
        <v>46966</v>
      </c>
      <c r="C166" s="41"/>
      <c r="D166" s="41"/>
      <c r="E166" s="41"/>
      <c r="F166" s="41"/>
      <c r="G166" s="41"/>
      <c r="H166" s="41"/>
      <c r="I166" s="41"/>
      <c r="J166" s="41">
        <f t="shared" si="10"/>
        <v>0</v>
      </c>
      <c r="K166" s="41">
        <f t="shared" si="11"/>
        <v>0</v>
      </c>
      <c r="L166" s="41">
        <f t="shared" si="9"/>
        <v>0</v>
      </c>
      <c r="M166" s="41"/>
      <c r="N166" s="41"/>
      <c r="O166" s="41"/>
    </row>
    <row r="167" spans="1:15" hidden="1">
      <c r="A167" s="64">
        <v>159</v>
      </c>
      <c r="B167" s="102">
        <v>46997</v>
      </c>
      <c r="C167" s="41"/>
      <c r="D167" s="41"/>
      <c r="E167" s="41"/>
      <c r="F167" s="41"/>
      <c r="G167" s="41"/>
      <c r="H167" s="41"/>
      <c r="I167" s="41"/>
      <c r="J167" s="41">
        <f t="shared" si="10"/>
        <v>0</v>
      </c>
      <c r="K167" s="41">
        <f t="shared" si="11"/>
        <v>0</v>
      </c>
      <c r="L167" s="41">
        <f t="shared" si="9"/>
        <v>0</v>
      </c>
      <c r="M167" s="41"/>
      <c r="N167" s="41"/>
      <c r="O167" s="41"/>
    </row>
    <row r="168" spans="1:15" hidden="1">
      <c r="A168" s="64">
        <v>160</v>
      </c>
      <c r="B168" s="102">
        <v>47027</v>
      </c>
      <c r="C168" s="41"/>
      <c r="D168" s="41"/>
      <c r="E168" s="41"/>
      <c r="F168" s="41"/>
      <c r="G168" s="41"/>
      <c r="H168" s="41"/>
      <c r="I168" s="41"/>
      <c r="J168" s="41">
        <f t="shared" si="10"/>
        <v>0</v>
      </c>
      <c r="K168" s="41">
        <f t="shared" si="11"/>
        <v>0</v>
      </c>
      <c r="L168" s="41">
        <f t="shared" si="9"/>
        <v>0</v>
      </c>
      <c r="M168" s="41"/>
      <c r="N168" s="41"/>
      <c r="O168" s="41"/>
    </row>
    <row r="169" spans="1:15" hidden="1">
      <c r="A169" s="64">
        <v>161</v>
      </c>
      <c r="B169" s="102">
        <v>47058</v>
      </c>
      <c r="C169" s="41"/>
      <c r="D169" s="41"/>
      <c r="E169" s="41"/>
      <c r="F169" s="41"/>
      <c r="G169" s="41"/>
      <c r="H169" s="41"/>
      <c r="I169" s="41"/>
      <c r="J169" s="41">
        <f t="shared" si="10"/>
        <v>0</v>
      </c>
      <c r="K169" s="41">
        <f t="shared" si="11"/>
        <v>0</v>
      </c>
      <c r="L169" s="41">
        <f t="shared" si="9"/>
        <v>0</v>
      </c>
      <c r="M169" s="41"/>
      <c r="N169" s="41"/>
      <c r="O169" s="41"/>
    </row>
    <row r="170" spans="1:15" hidden="1">
      <c r="A170" s="64">
        <v>162</v>
      </c>
      <c r="B170" s="102">
        <v>47088</v>
      </c>
      <c r="C170" s="41"/>
      <c r="D170" s="41"/>
      <c r="E170" s="41"/>
      <c r="F170" s="41"/>
      <c r="G170" s="41"/>
      <c r="H170" s="41"/>
      <c r="I170" s="41"/>
      <c r="J170" s="41">
        <f t="shared" si="10"/>
        <v>0</v>
      </c>
      <c r="K170" s="41">
        <f t="shared" si="11"/>
        <v>0</v>
      </c>
      <c r="L170" s="41">
        <f t="shared" si="9"/>
        <v>0</v>
      </c>
      <c r="M170" s="41"/>
      <c r="N170" s="41"/>
      <c r="O170" s="41"/>
    </row>
    <row r="171" spans="1:15" hidden="1">
      <c r="A171" s="64">
        <v>163</v>
      </c>
      <c r="B171" s="102">
        <v>47119</v>
      </c>
      <c r="C171" s="41"/>
      <c r="D171" s="41"/>
      <c r="E171" s="41"/>
      <c r="F171" s="41"/>
      <c r="G171" s="41"/>
      <c r="H171" s="41"/>
      <c r="I171" s="41"/>
      <c r="J171" s="41">
        <f t="shared" si="10"/>
        <v>0</v>
      </c>
      <c r="K171" s="41">
        <f t="shared" si="11"/>
        <v>0</v>
      </c>
      <c r="L171" s="41">
        <f t="shared" si="9"/>
        <v>0</v>
      </c>
      <c r="M171" s="41"/>
      <c r="N171" s="41"/>
      <c r="O171" s="41"/>
    </row>
    <row r="172" spans="1:15" hidden="1">
      <c r="A172" s="64">
        <v>164</v>
      </c>
      <c r="B172" s="102">
        <v>47150</v>
      </c>
      <c r="C172" s="41"/>
      <c r="D172" s="41"/>
      <c r="E172" s="41"/>
      <c r="F172" s="41"/>
      <c r="G172" s="41"/>
      <c r="H172" s="41"/>
      <c r="I172" s="41"/>
      <c r="J172" s="41">
        <f t="shared" si="10"/>
        <v>0</v>
      </c>
      <c r="K172" s="41">
        <f t="shared" si="11"/>
        <v>0</v>
      </c>
      <c r="L172" s="41">
        <f t="shared" si="9"/>
        <v>0</v>
      </c>
      <c r="M172" s="41"/>
      <c r="N172" s="41"/>
      <c r="O172" s="41"/>
    </row>
    <row r="173" spans="1:15" hidden="1">
      <c r="A173" s="64">
        <v>165</v>
      </c>
      <c r="B173" s="102">
        <v>47178</v>
      </c>
      <c r="C173" s="41"/>
      <c r="D173" s="41"/>
      <c r="E173" s="41"/>
      <c r="F173" s="41"/>
      <c r="G173" s="41"/>
      <c r="H173" s="41"/>
      <c r="I173" s="41"/>
      <c r="J173" s="41">
        <f t="shared" si="10"/>
        <v>0</v>
      </c>
      <c r="K173" s="41">
        <f t="shared" si="11"/>
        <v>0</v>
      </c>
      <c r="L173" s="41">
        <f t="shared" si="9"/>
        <v>0</v>
      </c>
      <c r="M173" s="41"/>
      <c r="N173" s="41"/>
      <c r="O173" s="41"/>
    </row>
    <row r="174" spans="1:15" hidden="1">
      <c r="A174" s="64">
        <v>166</v>
      </c>
      <c r="B174" s="102">
        <v>47209</v>
      </c>
      <c r="C174" s="41"/>
      <c r="D174" s="41"/>
      <c r="E174" s="41"/>
      <c r="F174" s="41"/>
      <c r="G174" s="41"/>
      <c r="H174" s="41"/>
      <c r="I174" s="41"/>
      <c r="J174" s="41">
        <f t="shared" si="10"/>
        <v>0</v>
      </c>
      <c r="K174" s="41">
        <f t="shared" si="11"/>
        <v>0</v>
      </c>
      <c r="L174" s="41">
        <f t="shared" si="9"/>
        <v>0</v>
      </c>
      <c r="M174" s="41"/>
      <c r="N174" s="41"/>
      <c r="O174" s="41"/>
    </row>
    <row r="175" spans="1:15" hidden="1">
      <c r="A175" s="64">
        <v>167</v>
      </c>
      <c r="B175" s="102">
        <v>47239</v>
      </c>
      <c r="C175" s="41"/>
      <c r="D175" s="41"/>
      <c r="E175" s="41"/>
      <c r="F175" s="41"/>
      <c r="G175" s="41"/>
      <c r="H175" s="41"/>
      <c r="I175" s="41"/>
      <c r="J175" s="41">
        <f t="shared" si="10"/>
        <v>0</v>
      </c>
      <c r="K175" s="41">
        <f t="shared" si="11"/>
        <v>0</v>
      </c>
      <c r="L175" s="41">
        <f t="shared" si="9"/>
        <v>0</v>
      </c>
      <c r="M175" s="41"/>
      <c r="N175" s="41"/>
      <c r="O175" s="41"/>
    </row>
    <row r="176" spans="1:15" hidden="1">
      <c r="A176" s="64">
        <v>168</v>
      </c>
      <c r="B176" s="102">
        <v>47270</v>
      </c>
      <c r="C176" s="41"/>
      <c r="D176" s="41"/>
      <c r="E176" s="41"/>
      <c r="F176" s="41"/>
      <c r="G176" s="41"/>
      <c r="H176" s="41"/>
      <c r="I176" s="41"/>
      <c r="J176" s="41">
        <f t="shared" si="10"/>
        <v>0</v>
      </c>
      <c r="K176" s="41">
        <f t="shared" si="11"/>
        <v>0</v>
      </c>
      <c r="L176" s="41">
        <f t="shared" si="9"/>
        <v>0</v>
      </c>
      <c r="M176" s="41"/>
      <c r="N176" s="41"/>
      <c r="O176" s="41"/>
    </row>
    <row r="177" spans="1:15" hidden="1">
      <c r="A177" s="64">
        <v>169</v>
      </c>
      <c r="B177" s="102">
        <v>47300</v>
      </c>
      <c r="C177" s="41"/>
      <c r="D177" s="41"/>
      <c r="E177" s="41"/>
      <c r="F177" s="41"/>
      <c r="G177" s="41"/>
      <c r="H177" s="41"/>
      <c r="I177" s="41"/>
      <c r="J177" s="41">
        <f t="shared" si="10"/>
        <v>0</v>
      </c>
      <c r="K177" s="41">
        <f t="shared" si="11"/>
        <v>0</v>
      </c>
      <c r="L177" s="41">
        <f t="shared" si="9"/>
        <v>0</v>
      </c>
      <c r="M177" s="41"/>
      <c r="N177" s="41"/>
      <c r="O177" s="41"/>
    </row>
    <row r="178" spans="1:15" hidden="1">
      <c r="A178" s="64">
        <v>170</v>
      </c>
      <c r="B178" s="102">
        <v>47331</v>
      </c>
      <c r="C178" s="41"/>
      <c r="D178" s="41"/>
      <c r="E178" s="41"/>
      <c r="F178" s="41"/>
      <c r="G178" s="41"/>
      <c r="H178" s="41"/>
      <c r="I178" s="41"/>
      <c r="J178" s="41">
        <f t="shared" si="10"/>
        <v>0</v>
      </c>
      <c r="K178" s="41">
        <f t="shared" si="11"/>
        <v>0</v>
      </c>
      <c r="L178" s="41">
        <f t="shared" si="9"/>
        <v>0</v>
      </c>
      <c r="M178" s="41"/>
      <c r="N178" s="41"/>
      <c r="O178" s="41"/>
    </row>
    <row r="179" spans="1:15" hidden="1">
      <c r="A179" s="64">
        <v>171</v>
      </c>
      <c r="B179" s="102">
        <v>47362</v>
      </c>
      <c r="C179" s="41"/>
      <c r="D179" s="41"/>
      <c r="E179" s="41"/>
      <c r="F179" s="41"/>
      <c r="G179" s="41"/>
      <c r="H179" s="41"/>
      <c r="I179" s="41"/>
      <c r="J179" s="41">
        <f t="shared" si="10"/>
        <v>0</v>
      </c>
      <c r="K179" s="41">
        <f t="shared" si="11"/>
        <v>0</v>
      </c>
      <c r="L179" s="41">
        <f t="shared" si="9"/>
        <v>0</v>
      </c>
      <c r="M179" s="41"/>
      <c r="N179" s="41"/>
      <c r="O179" s="41"/>
    </row>
    <row r="180" spans="1:15" hidden="1">
      <c r="A180" s="64">
        <v>172</v>
      </c>
      <c r="B180" s="102">
        <v>47392</v>
      </c>
      <c r="C180" s="41"/>
      <c r="D180" s="41"/>
      <c r="E180" s="41"/>
      <c r="F180" s="41"/>
      <c r="G180" s="41"/>
      <c r="H180" s="41"/>
      <c r="I180" s="41"/>
      <c r="J180" s="41">
        <f t="shared" si="10"/>
        <v>0</v>
      </c>
      <c r="K180" s="41">
        <f t="shared" si="11"/>
        <v>0</v>
      </c>
      <c r="L180" s="41">
        <f t="shared" si="9"/>
        <v>0</v>
      </c>
      <c r="M180" s="41"/>
      <c r="N180" s="41"/>
      <c r="O180" s="41"/>
    </row>
    <row r="181" spans="1:15" hidden="1">
      <c r="A181" s="64">
        <v>173</v>
      </c>
      <c r="B181" s="102">
        <v>47423</v>
      </c>
      <c r="C181" s="41"/>
      <c r="D181" s="41"/>
      <c r="E181" s="41"/>
      <c r="F181" s="41"/>
      <c r="G181" s="41"/>
      <c r="H181" s="41"/>
      <c r="I181" s="41"/>
      <c r="J181" s="41">
        <f t="shared" si="10"/>
        <v>0</v>
      </c>
      <c r="K181" s="41">
        <f t="shared" si="11"/>
        <v>0</v>
      </c>
      <c r="L181" s="41">
        <f t="shared" si="9"/>
        <v>0</v>
      </c>
      <c r="M181" s="41"/>
      <c r="N181" s="41"/>
      <c r="O181" s="41"/>
    </row>
    <row r="182" spans="1:15" hidden="1">
      <c r="A182" s="64">
        <v>174</v>
      </c>
      <c r="B182" s="102">
        <v>47453</v>
      </c>
      <c r="C182" s="41"/>
      <c r="D182" s="41"/>
      <c r="E182" s="41"/>
      <c r="F182" s="41"/>
      <c r="G182" s="41"/>
      <c r="H182" s="41"/>
      <c r="I182" s="41"/>
      <c r="J182" s="41">
        <f t="shared" si="10"/>
        <v>0</v>
      </c>
      <c r="K182" s="41">
        <f t="shared" si="11"/>
        <v>0</v>
      </c>
      <c r="L182" s="41">
        <f t="shared" si="9"/>
        <v>0</v>
      </c>
      <c r="M182" s="41"/>
      <c r="N182" s="41"/>
      <c r="O182" s="41"/>
    </row>
    <row r="183" spans="1:15" hidden="1">
      <c r="A183" s="64">
        <v>175</v>
      </c>
      <c r="B183" s="102">
        <v>47484</v>
      </c>
      <c r="C183" s="41"/>
      <c r="D183" s="41"/>
      <c r="E183" s="41"/>
      <c r="F183" s="41"/>
      <c r="G183" s="41"/>
      <c r="H183" s="41"/>
      <c r="I183" s="41"/>
      <c r="J183" s="41">
        <f t="shared" si="10"/>
        <v>0</v>
      </c>
      <c r="K183" s="41">
        <f t="shared" si="11"/>
        <v>0</v>
      </c>
      <c r="L183" s="41">
        <f t="shared" si="9"/>
        <v>0</v>
      </c>
      <c r="M183" s="41"/>
      <c r="N183" s="41"/>
      <c r="O183" s="41"/>
    </row>
    <row r="184" spans="1:15" hidden="1">
      <c r="A184" s="64">
        <v>176</v>
      </c>
      <c r="B184" s="102">
        <v>47515</v>
      </c>
      <c r="C184" s="41"/>
      <c r="D184" s="41"/>
      <c r="E184" s="41"/>
      <c r="F184" s="41"/>
      <c r="G184" s="41"/>
      <c r="H184" s="41"/>
      <c r="I184" s="41"/>
      <c r="J184" s="41">
        <f t="shared" si="10"/>
        <v>0</v>
      </c>
      <c r="K184" s="41">
        <f t="shared" si="11"/>
        <v>0</v>
      </c>
      <c r="L184" s="41">
        <f t="shared" si="9"/>
        <v>0</v>
      </c>
      <c r="M184" s="41"/>
      <c r="N184" s="41"/>
      <c r="O184" s="41"/>
    </row>
    <row r="185" spans="1:15" hidden="1">
      <c r="A185" s="64">
        <v>177</v>
      </c>
      <c r="B185" s="102">
        <v>47543</v>
      </c>
      <c r="C185" s="41"/>
      <c r="D185" s="41"/>
      <c r="E185" s="41"/>
      <c r="F185" s="41"/>
      <c r="G185" s="41"/>
      <c r="H185" s="41"/>
      <c r="I185" s="41"/>
      <c r="J185" s="41">
        <f t="shared" si="10"/>
        <v>0</v>
      </c>
      <c r="K185" s="41">
        <f t="shared" si="11"/>
        <v>0</v>
      </c>
      <c r="L185" s="41">
        <f t="shared" si="9"/>
        <v>0</v>
      </c>
      <c r="M185" s="41"/>
      <c r="N185" s="41"/>
      <c r="O185" s="41"/>
    </row>
    <row r="186" spans="1:15" hidden="1">
      <c r="A186" s="64">
        <v>178</v>
      </c>
      <c r="B186" s="102">
        <v>47574</v>
      </c>
      <c r="C186" s="41"/>
      <c r="D186" s="41"/>
      <c r="E186" s="41"/>
      <c r="F186" s="41"/>
      <c r="G186" s="41"/>
      <c r="H186" s="41"/>
      <c r="I186" s="41"/>
      <c r="J186" s="41">
        <f t="shared" si="10"/>
        <v>0</v>
      </c>
      <c r="K186" s="41">
        <f t="shared" si="11"/>
        <v>0</v>
      </c>
      <c r="L186" s="41">
        <f t="shared" si="9"/>
        <v>0</v>
      </c>
      <c r="M186" s="41"/>
      <c r="N186" s="41"/>
      <c r="O186" s="41"/>
    </row>
    <row r="187" spans="1:15" hidden="1">
      <c r="A187" s="64">
        <v>179</v>
      </c>
      <c r="B187" s="102">
        <v>47604</v>
      </c>
      <c r="C187" s="41"/>
      <c r="D187" s="41"/>
      <c r="E187" s="41"/>
      <c r="F187" s="41"/>
      <c r="G187" s="41"/>
      <c r="H187" s="41"/>
      <c r="I187" s="41"/>
      <c r="J187" s="41">
        <f t="shared" si="10"/>
        <v>0</v>
      </c>
      <c r="K187" s="41">
        <f t="shared" si="11"/>
        <v>0</v>
      </c>
      <c r="L187" s="41">
        <f t="shared" si="9"/>
        <v>0</v>
      </c>
      <c r="M187" s="41"/>
      <c r="N187" s="41"/>
      <c r="O187" s="41"/>
    </row>
    <row r="188" spans="1:15" hidden="1">
      <c r="A188" s="64">
        <v>180</v>
      </c>
      <c r="B188" s="102">
        <v>47635</v>
      </c>
      <c r="C188" s="41"/>
      <c r="D188" s="41"/>
      <c r="E188" s="41"/>
      <c r="F188" s="41"/>
      <c r="G188" s="41"/>
      <c r="H188" s="41"/>
      <c r="I188" s="41"/>
      <c r="J188" s="41">
        <f t="shared" si="10"/>
        <v>0</v>
      </c>
      <c r="K188" s="41">
        <f t="shared" si="11"/>
        <v>0</v>
      </c>
      <c r="L188" s="41">
        <f t="shared" si="9"/>
        <v>0</v>
      </c>
      <c r="M188" s="41"/>
      <c r="N188" s="41"/>
      <c r="O188" s="41"/>
    </row>
    <row r="189" spans="1:15" hidden="1">
      <c r="A189" s="64">
        <v>181</v>
      </c>
      <c r="B189" s="102">
        <v>47665</v>
      </c>
      <c r="C189" s="41"/>
      <c r="D189" s="41"/>
      <c r="E189" s="41"/>
      <c r="F189" s="41"/>
      <c r="G189" s="41"/>
      <c r="H189" s="41"/>
      <c r="I189" s="41"/>
      <c r="J189" s="41">
        <f t="shared" si="10"/>
        <v>0</v>
      </c>
      <c r="K189" s="41">
        <f t="shared" si="11"/>
        <v>0</v>
      </c>
      <c r="L189" s="41">
        <f t="shared" si="9"/>
        <v>0</v>
      </c>
      <c r="M189" s="41"/>
      <c r="N189" s="41"/>
      <c r="O189" s="41"/>
    </row>
    <row r="190" spans="1:15" hidden="1">
      <c r="A190" s="64">
        <v>182</v>
      </c>
      <c r="B190" s="102">
        <v>47696</v>
      </c>
      <c r="C190" s="41"/>
      <c r="D190" s="41"/>
      <c r="E190" s="41"/>
      <c r="F190" s="41"/>
      <c r="G190" s="41"/>
      <c r="H190" s="41"/>
      <c r="I190" s="41"/>
      <c r="J190" s="41">
        <f t="shared" si="10"/>
        <v>0</v>
      </c>
      <c r="K190" s="41">
        <f t="shared" si="11"/>
        <v>0</v>
      </c>
      <c r="L190" s="41">
        <f t="shared" si="9"/>
        <v>0</v>
      </c>
      <c r="M190" s="41"/>
      <c r="N190" s="41"/>
      <c r="O190" s="41"/>
    </row>
    <row r="191" spans="1:15" hidden="1">
      <c r="A191" s="64">
        <v>183</v>
      </c>
      <c r="B191" s="102">
        <v>47727</v>
      </c>
      <c r="C191" s="41"/>
      <c r="D191" s="41"/>
      <c r="E191" s="41"/>
      <c r="F191" s="41"/>
      <c r="G191" s="41"/>
      <c r="H191" s="41"/>
      <c r="I191" s="41"/>
      <c r="J191" s="41">
        <f t="shared" si="10"/>
        <v>0</v>
      </c>
      <c r="K191" s="41">
        <f t="shared" si="11"/>
        <v>0</v>
      </c>
      <c r="L191" s="41">
        <f t="shared" si="9"/>
        <v>0</v>
      </c>
      <c r="M191" s="41"/>
      <c r="N191" s="41"/>
      <c r="O191" s="41"/>
    </row>
    <row r="192" spans="1:15" hidden="1">
      <c r="A192" s="64">
        <v>184</v>
      </c>
      <c r="B192" s="102">
        <v>47757</v>
      </c>
      <c r="C192" s="41"/>
      <c r="D192" s="41"/>
      <c r="E192" s="41"/>
      <c r="F192" s="41"/>
      <c r="G192" s="41"/>
      <c r="H192" s="41"/>
      <c r="I192" s="41"/>
      <c r="J192" s="41">
        <f t="shared" si="10"/>
        <v>0</v>
      </c>
      <c r="K192" s="41">
        <f t="shared" si="11"/>
        <v>0</v>
      </c>
      <c r="L192" s="41">
        <f t="shared" si="9"/>
        <v>0</v>
      </c>
      <c r="M192" s="41"/>
      <c r="N192" s="41"/>
      <c r="O192" s="41"/>
    </row>
    <row r="193" spans="1:15" hidden="1">
      <c r="A193" s="64">
        <v>185</v>
      </c>
      <c r="B193" s="102">
        <v>47788</v>
      </c>
      <c r="C193" s="41"/>
      <c r="D193" s="41"/>
      <c r="E193" s="41"/>
      <c r="F193" s="41"/>
      <c r="G193" s="41"/>
      <c r="H193" s="41"/>
      <c r="I193" s="41"/>
      <c r="J193" s="41">
        <f t="shared" si="10"/>
        <v>0</v>
      </c>
      <c r="K193" s="41">
        <f t="shared" si="11"/>
        <v>0</v>
      </c>
      <c r="L193" s="41">
        <f t="shared" si="9"/>
        <v>0</v>
      </c>
      <c r="M193" s="41"/>
      <c r="N193" s="41"/>
      <c r="O193" s="41"/>
    </row>
    <row r="194" spans="1:15" hidden="1">
      <c r="A194" s="64">
        <v>186</v>
      </c>
      <c r="B194" s="102">
        <v>47818</v>
      </c>
      <c r="C194" s="41"/>
      <c r="D194" s="41"/>
      <c r="E194" s="41"/>
      <c r="F194" s="41"/>
      <c r="G194" s="41"/>
      <c r="H194" s="41"/>
      <c r="I194" s="41"/>
      <c r="J194" s="41">
        <f t="shared" si="10"/>
        <v>0</v>
      </c>
      <c r="K194" s="41">
        <f t="shared" si="11"/>
        <v>0</v>
      </c>
      <c r="L194" s="41">
        <f t="shared" si="9"/>
        <v>0</v>
      </c>
      <c r="M194" s="41"/>
      <c r="N194" s="41"/>
      <c r="O194" s="41"/>
    </row>
    <row r="195" spans="1:15" hidden="1">
      <c r="A195" s="64">
        <v>187</v>
      </c>
      <c r="B195" s="102">
        <v>47849</v>
      </c>
      <c r="C195" s="41"/>
      <c r="D195" s="41"/>
      <c r="E195" s="41"/>
      <c r="F195" s="41"/>
      <c r="G195" s="41"/>
      <c r="H195" s="41"/>
      <c r="I195" s="41"/>
      <c r="J195" s="41">
        <f t="shared" si="10"/>
        <v>0</v>
      </c>
      <c r="K195" s="41">
        <f t="shared" si="11"/>
        <v>0</v>
      </c>
      <c r="L195" s="41">
        <f t="shared" si="9"/>
        <v>0</v>
      </c>
      <c r="M195" s="41"/>
      <c r="N195" s="41"/>
      <c r="O195" s="41"/>
    </row>
    <row r="196" spans="1:15" hidden="1">
      <c r="A196" s="64">
        <v>188</v>
      </c>
      <c r="B196" s="102">
        <v>47880</v>
      </c>
      <c r="C196" s="41"/>
      <c r="D196" s="41"/>
      <c r="E196" s="41"/>
      <c r="F196" s="41"/>
      <c r="G196" s="41"/>
      <c r="H196" s="41"/>
      <c r="I196" s="41"/>
      <c r="J196" s="41">
        <f t="shared" si="10"/>
        <v>0</v>
      </c>
      <c r="K196" s="41">
        <f t="shared" si="11"/>
        <v>0</v>
      </c>
      <c r="L196" s="41">
        <f t="shared" si="9"/>
        <v>0</v>
      </c>
      <c r="M196" s="41"/>
      <c r="N196" s="41"/>
      <c r="O196" s="41"/>
    </row>
    <row r="197" spans="1:15" hidden="1">
      <c r="A197" s="64">
        <v>189</v>
      </c>
      <c r="B197" s="102">
        <v>47908</v>
      </c>
      <c r="C197" s="41"/>
      <c r="D197" s="41"/>
      <c r="E197" s="41"/>
      <c r="F197" s="41"/>
      <c r="G197" s="41"/>
      <c r="H197" s="41"/>
      <c r="I197" s="41"/>
      <c r="J197" s="41">
        <f t="shared" si="10"/>
        <v>0</v>
      </c>
      <c r="K197" s="41">
        <f t="shared" si="11"/>
        <v>0</v>
      </c>
      <c r="L197" s="41">
        <f t="shared" si="9"/>
        <v>0</v>
      </c>
      <c r="M197" s="41"/>
      <c r="N197" s="41"/>
      <c r="O197" s="41"/>
    </row>
    <row r="198" spans="1:15" hidden="1">
      <c r="A198" s="64">
        <v>190</v>
      </c>
      <c r="B198" s="102">
        <v>47939</v>
      </c>
      <c r="C198" s="41"/>
      <c r="D198" s="41"/>
      <c r="E198" s="41"/>
      <c r="F198" s="41"/>
      <c r="G198" s="41"/>
      <c r="H198" s="41"/>
      <c r="I198" s="41"/>
      <c r="J198" s="41">
        <f t="shared" si="10"/>
        <v>0</v>
      </c>
      <c r="K198" s="41">
        <f t="shared" si="11"/>
        <v>0</v>
      </c>
      <c r="L198" s="41">
        <f t="shared" si="9"/>
        <v>0</v>
      </c>
      <c r="M198" s="41"/>
      <c r="N198" s="41"/>
      <c r="O198" s="41"/>
    </row>
    <row r="199" spans="1:15" hidden="1">
      <c r="A199" s="64">
        <v>191</v>
      </c>
      <c r="B199" s="102">
        <v>47969</v>
      </c>
      <c r="C199" s="41"/>
      <c r="D199" s="41"/>
      <c r="E199" s="41"/>
      <c r="F199" s="41"/>
      <c r="G199" s="41"/>
      <c r="H199" s="41"/>
      <c r="I199" s="41"/>
      <c r="J199" s="41">
        <f t="shared" si="10"/>
        <v>0</v>
      </c>
      <c r="K199" s="41">
        <f t="shared" si="11"/>
        <v>0</v>
      </c>
      <c r="L199" s="41">
        <f t="shared" si="9"/>
        <v>0</v>
      </c>
      <c r="M199" s="41"/>
      <c r="N199" s="41"/>
      <c r="O199" s="41"/>
    </row>
    <row r="200" spans="1:15" hidden="1">
      <c r="A200" s="64">
        <v>192</v>
      </c>
      <c r="B200" s="102">
        <v>48000</v>
      </c>
      <c r="C200" s="41"/>
      <c r="D200" s="41"/>
      <c r="E200" s="41"/>
      <c r="F200" s="41"/>
      <c r="G200" s="41"/>
      <c r="H200" s="41"/>
      <c r="I200" s="41"/>
      <c r="J200" s="41">
        <f t="shared" si="10"/>
        <v>0</v>
      </c>
      <c r="K200" s="41">
        <f t="shared" si="11"/>
        <v>0</v>
      </c>
      <c r="L200" s="41">
        <f t="shared" ref="L200:L263" si="12">ROUND(K200*L$3,0)</f>
        <v>0</v>
      </c>
      <c r="M200" s="41"/>
      <c r="N200" s="41"/>
      <c r="O200" s="41"/>
    </row>
    <row r="201" spans="1:15" hidden="1">
      <c r="A201" s="64">
        <v>193</v>
      </c>
      <c r="B201" s="102">
        <v>48030</v>
      </c>
      <c r="C201" s="41"/>
      <c r="D201" s="41"/>
      <c r="E201" s="41"/>
      <c r="F201" s="41"/>
      <c r="G201" s="41"/>
      <c r="H201" s="41"/>
      <c r="I201" s="41"/>
      <c r="J201" s="41">
        <f t="shared" si="10"/>
        <v>0</v>
      </c>
      <c r="K201" s="41">
        <f t="shared" si="11"/>
        <v>0</v>
      </c>
      <c r="L201" s="41">
        <f t="shared" si="12"/>
        <v>0</v>
      </c>
      <c r="M201" s="41"/>
      <c r="N201" s="41"/>
      <c r="O201" s="41"/>
    </row>
    <row r="202" spans="1:15" hidden="1">
      <c r="A202" s="64">
        <v>194</v>
      </c>
      <c r="B202" s="102">
        <v>48061</v>
      </c>
      <c r="C202" s="41"/>
      <c r="D202" s="41"/>
      <c r="E202" s="41"/>
      <c r="F202" s="41"/>
      <c r="G202" s="41"/>
      <c r="H202" s="41"/>
      <c r="I202" s="41"/>
      <c r="J202" s="41">
        <f t="shared" ref="J202:J265" si="13">SUM(C202:I202)</f>
        <v>0</v>
      </c>
      <c r="K202" s="41">
        <f t="shared" si="11"/>
        <v>0</v>
      </c>
      <c r="L202" s="41">
        <f t="shared" si="12"/>
        <v>0</v>
      </c>
      <c r="M202" s="41"/>
      <c r="N202" s="41"/>
      <c r="O202" s="41"/>
    </row>
    <row r="203" spans="1:15" hidden="1">
      <c r="A203" s="64">
        <v>195</v>
      </c>
      <c r="B203" s="102">
        <v>48092</v>
      </c>
      <c r="C203" s="41"/>
      <c r="D203" s="41"/>
      <c r="E203" s="41"/>
      <c r="F203" s="41"/>
      <c r="G203" s="41"/>
      <c r="H203" s="41"/>
      <c r="I203" s="41"/>
      <c r="J203" s="41">
        <f t="shared" si="13"/>
        <v>0</v>
      </c>
      <c r="K203" s="41">
        <f t="shared" si="11"/>
        <v>0</v>
      </c>
      <c r="L203" s="41">
        <f t="shared" si="12"/>
        <v>0</v>
      </c>
      <c r="M203" s="41"/>
      <c r="N203" s="41"/>
      <c r="O203" s="41"/>
    </row>
    <row r="204" spans="1:15" hidden="1">
      <c r="A204" s="64">
        <v>196</v>
      </c>
      <c r="B204" s="102">
        <v>48122</v>
      </c>
      <c r="C204" s="41"/>
      <c r="D204" s="41"/>
      <c r="E204" s="41"/>
      <c r="F204" s="41"/>
      <c r="G204" s="41"/>
      <c r="H204" s="41"/>
      <c r="I204" s="41"/>
      <c r="J204" s="41">
        <f t="shared" si="13"/>
        <v>0</v>
      </c>
      <c r="K204" s="41">
        <f t="shared" si="11"/>
        <v>0</v>
      </c>
      <c r="L204" s="41">
        <f t="shared" si="12"/>
        <v>0</v>
      </c>
      <c r="M204" s="41"/>
      <c r="N204" s="41"/>
      <c r="O204" s="41"/>
    </row>
    <row r="205" spans="1:15" hidden="1">
      <c r="A205" s="64">
        <v>197</v>
      </c>
      <c r="B205" s="102">
        <v>48153</v>
      </c>
      <c r="C205" s="41"/>
      <c r="D205" s="41"/>
      <c r="E205" s="41"/>
      <c r="F205" s="41"/>
      <c r="G205" s="41"/>
      <c r="H205" s="41"/>
      <c r="I205" s="41"/>
      <c r="J205" s="41">
        <f t="shared" si="13"/>
        <v>0</v>
      </c>
      <c r="K205" s="41">
        <f t="shared" si="11"/>
        <v>0</v>
      </c>
      <c r="L205" s="41">
        <f t="shared" si="12"/>
        <v>0</v>
      </c>
      <c r="M205" s="41"/>
      <c r="N205" s="41"/>
      <c r="O205" s="41"/>
    </row>
    <row r="206" spans="1:15" hidden="1">
      <c r="A206" s="64">
        <v>198</v>
      </c>
      <c r="B206" s="102">
        <v>48183</v>
      </c>
      <c r="C206" s="41"/>
      <c r="D206" s="41"/>
      <c r="E206" s="41"/>
      <c r="F206" s="41"/>
      <c r="G206" s="41"/>
      <c r="H206" s="41"/>
      <c r="I206" s="41"/>
      <c r="J206" s="41">
        <f t="shared" si="13"/>
        <v>0</v>
      </c>
      <c r="K206" s="41">
        <f t="shared" si="11"/>
        <v>0</v>
      </c>
      <c r="L206" s="41">
        <f t="shared" si="12"/>
        <v>0</v>
      </c>
      <c r="M206" s="41"/>
      <c r="N206" s="41"/>
      <c r="O206" s="41"/>
    </row>
    <row r="207" spans="1:15" hidden="1">
      <c r="A207" s="64">
        <v>199</v>
      </c>
      <c r="B207" s="102">
        <v>48214</v>
      </c>
      <c r="C207" s="41"/>
      <c r="D207" s="41"/>
      <c r="E207" s="41"/>
      <c r="F207" s="41"/>
      <c r="G207" s="41"/>
      <c r="H207" s="41"/>
      <c r="I207" s="41"/>
      <c r="J207" s="41">
        <f t="shared" si="13"/>
        <v>0</v>
      </c>
      <c r="K207" s="41">
        <f t="shared" si="11"/>
        <v>0</v>
      </c>
      <c r="L207" s="41">
        <f t="shared" si="12"/>
        <v>0</v>
      </c>
      <c r="M207" s="41"/>
      <c r="N207" s="41"/>
      <c r="O207" s="41"/>
    </row>
    <row r="208" spans="1:15" hidden="1">
      <c r="A208" s="64">
        <v>200</v>
      </c>
      <c r="B208" s="102">
        <v>48245</v>
      </c>
      <c r="C208" s="41"/>
      <c r="D208" s="41"/>
      <c r="E208" s="41"/>
      <c r="F208" s="41"/>
      <c r="G208" s="41"/>
      <c r="H208" s="41"/>
      <c r="I208" s="41"/>
      <c r="J208" s="41">
        <f t="shared" si="13"/>
        <v>0</v>
      </c>
      <c r="K208" s="41">
        <f t="shared" si="11"/>
        <v>0</v>
      </c>
      <c r="L208" s="41">
        <f t="shared" si="12"/>
        <v>0</v>
      </c>
      <c r="M208" s="41"/>
      <c r="N208" s="41"/>
      <c r="O208" s="41"/>
    </row>
    <row r="209" spans="1:15" hidden="1">
      <c r="A209" s="64">
        <v>201</v>
      </c>
      <c r="B209" s="102">
        <v>48274</v>
      </c>
      <c r="C209" s="41"/>
      <c r="D209" s="41"/>
      <c r="E209" s="41"/>
      <c r="F209" s="41"/>
      <c r="G209" s="41"/>
      <c r="H209" s="41"/>
      <c r="I209" s="41"/>
      <c r="J209" s="41">
        <f t="shared" si="13"/>
        <v>0</v>
      </c>
      <c r="K209" s="41">
        <f t="shared" si="11"/>
        <v>0</v>
      </c>
      <c r="L209" s="41">
        <f t="shared" si="12"/>
        <v>0</v>
      </c>
      <c r="M209" s="41"/>
      <c r="N209" s="41"/>
      <c r="O209" s="41"/>
    </row>
    <row r="210" spans="1:15" hidden="1">
      <c r="A210" s="64">
        <v>202</v>
      </c>
      <c r="B210" s="102">
        <v>48305</v>
      </c>
      <c r="C210" s="41"/>
      <c r="D210" s="41"/>
      <c r="E210" s="41"/>
      <c r="F210" s="41"/>
      <c r="G210" s="41"/>
      <c r="H210" s="41"/>
      <c r="I210" s="41"/>
      <c r="J210" s="41">
        <f t="shared" si="13"/>
        <v>0</v>
      </c>
      <c r="K210" s="41">
        <f t="shared" ref="K210:K273" si="14">C210+D210+F210+G210</f>
        <v>0</v>
      </c>
      <c r="L210" s="41">
        <f t="shared" si="12"/>
        <v>0</v>
      </c>
      <c r="M210" s="41"/>
      <c r="N210" s="41"/>
      <c r="O210" s="41"/>
    </row>
    <row r="211" spans="1:15" hidden="1">
      <c r="A211" s="64">
        <v>203</v>
      </c>
      <c r="B211" s="102">
        <v>48335</v>
      </c>
      <c r="C211" s="41"/>
      <c r="D211" s="41"/>
      <c r="E211" s="41"/>
      <c r="F211" s="41"/>
      <c r="G211" s="41"/>
      <c r="H211" s="41"/>
      <c r="I211" s="41"/>
      <c r="J211" s="41">
        <f t="shared" si="13"/>
        <v>0</v>
      </c>
      <c r="K211" s="41">
        <f t="shared" si="14"/>
        <v>0</v>
      </c>
      <c r="L211" s="41">
        <f t="shared" si="12"/>
        <v>0</v>
      </c>
      <c r="M211" s="41"/>
      <c r="N211" s="41"/>
      <c r="O211" s="41"/>
    </row>
    <row r="212" spans="1:15" hidden="1">
      <c r="A212" s="64">
        <v>204</v>
      </c>
      <c r="B212" s="102">
        <v>48366</v>
      </c>
      <c r="C212" s="41"/>
      <c r="D212" s="41"/>
      <c r="E212" s="41"/>
      <c r="F212" s="41"/>
      <c r="G212" s="41"/>
      <c r="H212" s="41"/>
      <c r="I212" s="41"/>
      <c r="J212" s="41">
        <f t="shared" si="13"/>
        <v>0</v>
      </c>
      <c r="K212" s="41">
        <f t="shared" si="14"/>
        <v>0</v>
      </c>
      <c r="L212" s="41">
        <f t="shared" si="12"/>
        <v>0</v>
      </c>
      <c r="M212" s="41"/>
      <c r="N212" s="41"/>
      <c r="O212" s="41"/>
    </row>
    <row r="213" spans="1:15" hidden="1">
      <c r="A213" s="64">
        <v>205</v>
      </c>
      <c r="B213" s="102">
        <v>48396</v>
      </c>
      <c r="C213" s="41"/>
      <c r="D213" s="41"/>
      <c r="E213" s="41"/>
      <c r="F213" s="41"/>
      <c r="G213" s="41"/>
      <c r="H213" s="41"/>
      <c r="I213" s="41"/>
      <c r="J213" s="41">
        <f t="shared" si="13"/>
        <v>0</v>
      </c>
      <c r="K213" s="41">
        <f t="shared" si="14"/>
        <v>0</v>
      </c>
      <c r="L213" s="41">
        <f t="shared" si="12"/>
        <v>0</v>
      </c>
      <c r="M213" s="41"/>
      <c r="N213" s="41"/>
      <c r="O213" s="41"/>
    </row>
    <row r="214" spans="1:15" hidden="1">
      <c r="A214" s="64">
        <v>206</v>
      </c>
      <c r="B214" s="102">
        <v>48427</v>
      </c>
      <c r="C214" s="41"/>
      <c r="D214" s="41"/>
      <c r="E214" s="41"/>
      <c r="F214" s="41"/>
      <c r="G214" s="41"/>
      <c r="H214" s="41"/>
      <c r="I214" s="41"/>
      <c r="J214" s="41">
        <f t="shared" si="13"/>
        <v>0</v>
      </c>
      <c r="K214" s="41">
        <f t="shared" si="14"/>
        <v>0</v>
      </c>
      <c r="L214" s="41">
        <f t="shared" si="12"/>
        <v>0</v>
      </c>
      <c r="M214" s="41"/>
      <c r="N214" s="41"/>
      <c r="O214" s="41"/>
    </row>
    <row r="215" spans="1:15" hidden="1">
      <c r="A215" s="64">
        <v>207</v>
      </c>
      <c r="B215" s="102">
        <v>48458</v>
      </c>
      <c r="C215" s="41"/>
      <c r="D215" s="41"/>
      <c r="E215" s="41"/>
      <c r="F215" s="41"/>
      <c r="G215" s="41"/>
      <c r="H215" s="41"/>
      <c r="I215" s="41"/>
      <c r="J215" s="41">
        <f t="shared" si="13"/>
        <v>0</v>
      </c>
      <c r="K215" s="41">
        <f t="shared" si="14"/>
        <v>0</v>
      </c>
      <c r="L215" s="41">
        <f t="shared" si="12"/>
        <v>0</v>
      </c>
      <c r="M215" s="41"/>
      <c r="N215" s="41"/>
      <c r="O215" s="41"/>
    </row>
    <row r="216" spans="1:15" hidden="1">
      <c r="A216" s="64">
        <v>208</v>
      </c>
      <c r="B216" s="102">
        <v>48488</v>
      </c>
      <c r="C216" s="41"/>
      <c r="D216" s="41"/>
      <c r="E216" s="41"/>
      <c r="F216" s="41"/>
      <c r="G216" s="41"/>
      <c r="H216" s="41"/>
      <c r="I216" s="41"/>
      <c r="J216" s="41">
        <f t="shared" si="13"/>
        <v>0</v>
      </c>
      <c r="K216" s="41">
        <f t="shared" si="14"/>
        <v>0</v>
      </c>
      <c r="L216" s="41">
        <f t="shared" si="12"/>
        <v>0</v>
      </c>
      <c r="M216" s="41"/>
      <c r="N216" s="41"/>
      <c r="O216" s="41"/>
    </row>
    <row r="217" spans="1:15" hidden="1">
      <c r="A217" s="64">
        <v>209</v>
      </c>
      <c r="B217" s="102">
        <v>48519</v>
      </c>
      <c r="C217" s="41"/>
      <c r="D217" s="41"/>
      <c r="E217" s="41"/>
      <c r="F217" s="41"/>
      <c r="G217" s="41"/>
      <c r="H217" s="41"/>
      <c r="I217" s="41"/>
      <c r="J217" s="41">
        <f t="shared" si="13"/>
        <v>0</v>
      </c>
      <c r="K217" s="41">
        <f t="shared" si="14"/>
        <v>0</v>
      </c>
      <c r="L217" s="41">
        <f t="shared" si="12"/>
        <v>0</v>
      </c>
      <c r="M217" s="41"/>
      <c r="N217" s="41"/>
      <c r="O217" s="41"/>
    </row>
    <row r="218" spans="1:15" hidden="1">
      <c r="A218" s="64">
        <v>210</v>
      </c>
      <c r="B218" s="102">
        <v>48549</v>
      </c>
      <c r="C218" s="41"/>
      <c r="D218" s="41"/>
      <c r="E218" s="41"/>
      <c r="F218" s="41"/>
      <c r="G218" s="41"/>
      <c r="H218" s="41"/>
      <c r="I218" s="41"/>
      <c r="J218" s="41">
        <f t="shared" si="13"/>
        <v>0</v>
      </c>
      <c r="K218" s="41">
        <f t="shared" si="14"/>
        <v>0</v>
      </c>
      <c r="L218" s="41">
        <f t="shared" si="12"/>
        <v>0</v>
      </c>
      <c r="M218" s="41"/>
      <c r="N218" s="41"/>
      <c r="O218" s="41"/>
    </row>
    <row r="219" spans="1:15" hidden="1">
      <c r="A219" s="64">
        <v>211</v>
      </c>
      <c r="B219" s="102">
        <v>48580</v>
      </c>
      <c r="C219" s="41"/>
      <c r="D219" s="41"/>
      <c r="E219" s="41"/>
      <c r="F219" s="41"/>
      <c r="G219" s="41"/>
      <c r="H219" s="41"/>
      <c r="I219" s="41"/>
      <c r="J219" s="41">
        <f t="shared" si="13"/>
        <v>0</v>
      </c>
      <c r="K219" s="41">
        <f t="shared" si="14"/>
        <v>0</v>
      </c>
      <c r="L219" s="41">
        <f t="shared" si="12"/>
        <v>0</v>
      </c>
      <c r="M219" s="41"/>
      <c r="N219" s="41"/>
      <c r="O219" s="41"/>
    </row>
    <row r="220" spans="1:15" hidden="1">
      <c r="A220" s="64">
        <v>212</v>
      </c>
      <c r="B220" s="102">
        <v>48611</v>
      </c>
      <c r="C220" s="41"/>
      <c r="D220" s="41"/>
      <c r="E220" s="41"/>
      <c r="F220" s="41"/>
      <c r="G220" s="41"/>
      <c r="H220" s="41"/>
      <c r="I220" s="41"/>
      <c r="J220" s="41">
        <f t="shared" si="13"/>
        <v>0</v>
      </c>
      <c r="K220" s="41">
        <f t="shared" si="14"/>
        <v>0</v>
      </c>
      <c r="L220" s="41">
        <f t="shared" si="12"/>
        <v>0</v>
      </c>
      <c r="M220" s="41"/>
      <c r="N220" s="41"/>
      <c r="O220" s="41"/>
    </row>
    <row r="221" spans="1:15" hidden="1">
      <c r="A221" s="64">
        <v>213</v>
      </c>
      <c r="B221" s="102">
        <v>48639</v>
      </c>
      <c r="C221" s="41"/>
      <c r="D221" s="41"/>
      <c r="E221" s="41"/>
      <c r="F221" s="41"/>
      <c r="G221" s="41"/>
      <c r="H221" s="41"/>
      <c r="I221" s="41"/>
      <c r="J221" s="41">
        <f t="shared" si="13"/>
        <v>0</v>
      </c>
      <c r="K221" s="41">
        <f t="shared" si="14"/>
        <v>0</v>
      </c>
      <c r="L221" s="41">
        <f t="shared" si="12"/>
        <v>0</v>
      </c>
      <c r="M221" s="41"/>
      <c r="N221" s="41"/>
      <c r="O221" s="41"/>
    </row>
    <row r="222" spans="1:15" hidden="1">
      <c r="A222" s="64">
        <v>214</v>
      </c>
      <c r="B222" s="102">
        <v>48670</v>
      </c>
      <c r="C222" s="41"/>
      <c r="D222" s="41"/>
      <c r="E222" s="41"/>
      <c r="F222" s="41"/>
      <c r="G222" s="41"/>
      <c r="H222" s="41"/>
      <c r="I222" s="41"/>
      <c r="J222" s="41">
        <f t="shared" si="13"/>
        <v>0</v>
      </c>
      <c r="K222" s="41">
        <f t="shared" si="14"/>
        <v>0</v>
      </c>
      <c r="L222" s="41">
        <f t="shared" si="12"/>
        <v>0</v>
      </c>
      <c r="M222" s="41"/>
      <c r="N222" s="41"/>
      <c r="O222" s="41"/>
    </row>
    <row r="223" spans="1:15" hidden="1">
      <c r="A223" s="64">
        <v>215</v>
      </c>
      <c r="B223" s="102">
        <v>48700</v>
      </c>
      <c r="C223" s="41"/>
      <c r="D223" s="41"/>
      <c r="E223" s="41"/>
      <c r="F223" s="41"/>
      <c r="G223" s="41"/>
      <c r="H223" s="41"/>
      <c r="I223" s="41"/>
      <c r="J223" s="41">
        <f t="shared" si="13"/>
        <v>0</v>
      </c>
      <c r="K223" s="41">
        <f t="shared" si="14"/>
        <v>0</v>
      </c>
      <c r="L223" s="41">
        <f t="shared" si="12"/>
        <v>0</v>
      </c>
      <c r="M223" s="41"/>
      <c r="N223" s="41"/>
      <c r="O223" s="41"/>
    </row>
    <row r="224" spans="1:15" hidden="1">
      <c r="A224" s="64">
        <v>216</v>
      </c>
      <c r="B224" s="102">
        <v>48731</v>
      </c>
      <c r="C224" s="41"/>
      <c r="D224" s="41"/>
      <c r="E224" s="41"/>
      <c r="F224" s="41"/>
      <c r="G224" s="41"/>
      <c r="H224" s="41"/>
      <c r="I224" s="41"/>
      <c r="J224" s="41">
        <f t="shared" si="13"/>
        <v>0</v>
      </c>
      <c r="K224" s="41">
        <f t="shared" si="14"/>
        <v>0</v>
      </c>
      <c r="L224" s="41">
        <f t="shared" si="12"/>
        <v>0</v>
      </c>
      <c r="M224" s="41"/>
      <c r="N224" s="41"/>
      <c r="O224" s="41"/>
    </row>
    <row r="225" spans="1:15" hidden="1">
      <c r="A225" s="64">
        <v>217</v>
      </c>
      <c r="B225" s="102">
        <v>48761</v>
      </c>
      <c r="C225" s="41"/>
      <c r="D225" s="41"/>
      <c r="E225" s="41"/>
      <c r="F225" s="41"/>
      <c r="G225" s="41"/>
      <c r="H225" s="41"/>
      <c r="I225" s="41"/>
      <c r="J225" s="41">
        <f t="shared" si="13"/>
        <v>0</v>
      </c>
      <c r="K225" s="41">
        <f t="shared" si="14"/>
        <v>0</v>
      </c>
      <c r="L225" s="41">
        <f t="shared" si="12"/>
        <v>0</v>
      </c>
      <c r="M225" s="41"/>
      <c r="N225" s="41"/>
      <c r="O225" s="41"/>
    </row>
    <row r="226" spans="1:15" hidden="1">
      <c r="A226" s="64">
        <v>218</v>
      </c>
      <c r="B226" s="102">
        <v>48792</v>
      </c>
      <c r="C226" s="41"/>
      <c r="D226" s="41"/>
      <c r="E226" s="41"/>
      <c r="F226" s="41"/>
      <c r="G226" s="41"/>
      <c r="H226" s="41"/>
      <c r="I226" s="41"/>
      <c r="J226" s="41">
        <f t="shared" si="13"/>
        <v>0</v>
      </c>
      <c r="K226" s="41">
        <f t="shared" si="14"/>
        <v>0</v>
      </c>
      <c r="L226" s="41">
        <f t="shared" si="12"/>
        <v>0</v>
      </c>
      <c r="M226" s="41"/>
      <c r="N226" s="41"/>
      <c r="O226" s="41"/>
    </row>
    <row r="227" spans="1:15" hidden="1">
      <c r="A227" s="64">
        <v>219</v>
      </c>
      <c r="B227" s="102">
        <v>48823</v>
      </c>
      <c r="C227" s="41"/>
      <c r="D227" s="41"/>
      <c r="E227" s="41"/>
      <c r="F227" s="41"/>
      <c r="G227" s="41"/>
      <c r="H227" s="41"/>
      <c r="I227" s="41"/>
      <c r="J227" s="41">
        <f t="shared" si="13"/>
        <v>0</v>
      </c>
      <c r="K227" s="41">
        <f t="shared" si="14"/>
        <v>0</v>
      </c>
      <c r="L227" s="41">
        <f t="shared" si="12"/>
        <v>0</v>
      </c>
      <c r="M227" s="41"/>
      <c r="N227" s="41"/>
      <c r="O227" s="41"/>
    </row>
    <row r="228" spans="1:15" hidden="1">
      <c r="A228" s="64">
        <v>220</v>
      </c>
      <c r="B228" s="102">
        <v>48853</v>
      </c>
      <c r="C228" s="41"/>
      <c r="D228" s="41"/>
      <c r="E228" s="41"/>
      <c r="F228" s="41"/>
      <c r="G228" s="41"/>
      <c r="H228" s="41"/>
      <c r="I228" s="41"/>
      <c r="J228" s="41">
        <f t="shared" si="13"/>
        <v>0</v>
      </c>
      <c r="K228" s="41">
        <f t="shared" si="14"/>
        <v>0</v>
      </c>
      <c r="L228" s="41">
        <f t="shared" si="12"/>
        <v>0</v>
      </c>
      <c r="M228" s="41"/>
      <c r="N228" s="41"/>
      <c r="O228" s="41"/>
    </row>
    <row r="229" spans="1:15" hidden="1">
      <c r="A229" s="64">
        <v>221</v>
      </c>
      <c r="B229" s="102">
        <v>48884</v>
      </c>
      <c r="C229" s="41"/>
      <c r="D229" s="41"/>
      <c r="E229" s="41"/>
      <c r="F229" s="41"/>
      <c r="G229" s="41"/>
      <c r="H229" s="41"/>
      <c r="I229" s="41"/>
      <c r="J229" s="41">
        <f t="shared" si="13"/>
        <v>0</v>
      </c>
      <c r="K229" s="41">
        <f t="shared" si="14"/>
        <v>0</v>
      </c>
      <c r="L229" s="41">
        <f t="shared" si="12"/>
        <v>0</v>
      </c>
      <c r="M229" s="41"/>
      <c r="N229" s="41"/>
      <c r="O229" s="41"/>
    </row>
    <row r="230" spans="1:15" hidden="1">
      <c r="A230" s="64">
        <v>222</v>
      </c>
      <c r="B230" s="102">
        <v>48914</v>
      </c>
      <c r="C230" s="41"/>
      <c r="D230" s="41"/>
      <c r="E230" s="41"/>
      <c r="F230" s="41"/>
      <c r="G230" s="41"/>
      <c r="H230" s="41"/>
      <c r="I230" s="41"/>
      <c r="J230" s="41">
        <f t="shared" si="13"/>
        <v>0</v>
      </c>
      <c r="K230" s="41">
        <f t="shared" si="14"/>
        <v>0</v>
      </c>
      <c r="L230" s="41">
        <f t="shared" si="12"/>
        <v>0</v>
      </c>
      <c r="M230" s="41"/>
      <c r="N230" s="41"/>
      <c r="O230" s="41"/>
    </row>
    <row r="231" spans="1:15" hidden="1">
      <c r="A231" s="64">
        <v>223</v>
      </c>
      <c r="B231" s="102">
        <v>48945</v>
      </c>
      <c r="C231" s="41"/>
      <c r="D231" s="41"/>
      <c r="E231" s="41"/>
      <c r="F231" s="41"/>
      <c r="G231" s="41"/>
      <c r="H231" s="41"/>
      <c r="I231" s="41"/>
      <c r="J231" s="41">
        <f t="shared" si="13"/>
        <v>0</v>
      </c>
      <c r="K231" s="41">
        <f t="shared" si="14"/>
        <v>0</v>
      </c>
      <c r="L231" s="41">
        <f t="shared" si="12"/>
        <v>0</v>
      </c>
      <c r="M231" s="41"/>
      <c r="N231" s="41"/>
      <c r="O231" s="41"/>
    </row>
    <row r="232" spans="1:15" hidden="1">
      <c r="A232" s="64">
        <v>224</v>
      </c>
      <c r="B232" s="102">
        <v>48976</v>
      </c>
      <c r="C232" s="41"/>
      <c r="D232" s="41"/>
      <c r="E232" s="41"/>
      <c r="F232" s="41"/>
      <c r="G232" s="41"/>
      <c r="H232" s="41"/>
      <c r="I232" s="41"/>
      <c r="J232" s="41">
        <f t="shared" si="13"/>
        <v>0</v>
      </c>
      <c r="K232" s="41">
        <f t="shared" si="14"/>
        <v>0</v>
      </c>
      <c r="L232" s="41">
        <f t="shared" si="12"/>
        <v>0</v>
      </c>
      <c r="M232" s="41"/>
      <c r="N232" s="41"/>
      <c r="O232" s="41"/>
    </row>
    <row r="233" spans="1:15" hidden="1">
      <c r="A233" s="64">
        <v>225</v>
      </c>
      <c r="B233" s="102">
        <v>49004</v>
      </c>
      <c r="C233" s="41"/>
      <c r="D233" s="41"/>
      <c r="E233" s="41"/>
      <c r="F233" s="41"/>
      <c r="G233" s="41"/>
      <c r="H233" s="41"/>
      <c r="I233" s="41"/>
      <c r="J233" s="41">
        <f t="shared" si="13"/>
        <v>0</v>
      </c>
      <c r="K233" s="41">
        <f t="shared" si="14"/>
        <v>0</v>
      </c>
      <c r="L233" s="41">
        <f t="shared" si="12"/>
        <v>0</v>
      </c>
      <c r="M233" s="41"/>
      <c r="N233" s="41"/>
      <c r="O233" s="41"/>
    </row>
    <row r="234" spans="1:15" hidden="1">
      <c r="A234" s="64">
        <v>226</v>
      </c>
      <c r="B234" s="102">
        <v>49035</v>
      </c>
      <c r="C234" s="41"/>
      <c r="D234" s="41"/>
      <c r="E234" s="41"/>
      <c r="F234" s="41"/>
      <c r="G234" s="41"/>
      <c r="H234" s="41"/>
      <c r="I234" s="41"/>
      <c r="J234" s="41">
        <f t="shared" si="13"/>
        <v>0</v>
      </c>
      <c r="K234" s="41">
        <f t="shared" si="14"/>
        <v>0</v>
      </c>
      <c r="L234" s="41">
        <f t="shared" si="12"/>
        <v>0</v>
      </c>
      <c r="M234" s="41"/>
      <c r="N234" s="41"/>
      <c r="O234" s="41"/>
    </row>
    <row r="235" spans="1:15" hidden="1">
      <c r="A235" s="64">
        <v>227</v>
      </c>
      <c r="B235" s="102">
        <v>49065</v>
      </c>
      <c r="C235" s="41"/>
      <c r="D235" s="41"/>
      <c r="E235" s="41"/>
      <c r="F235" s="41"/>
      <c r="G235" s="41"/>
      <c r="H235" s="41"/>
      <c r="I235" s="41"/>
      <c r="J235" s="41">
        <f t="shared" si="13"/>
        <v>0</v>
      </c>
      <c r="K235" s="41">
        <f t="shared" si="14"/>
        <v>0</v>
      </c>
      <c r="L235" s="41">
        <f t="shared" si="12"/>
        <v>0</v>
      </c>
      <c r="M235" s="41"/>
      <c r="N235" s="41"/>
      <c r="O235" s="41"/>
    </row>
    <row r="236" spans="1:15" hidden="1">
      <c r="A236" s="64">
        <v>228</v>
      </c>
      <c r="B236" s="102">
        <v>49096</v>
      </c>
      <c r="C236" s="41"/>
      <c r="D236" s="41"/>
      <c r="E236" s="41"/>
      <c r="F236" s="41"/>
      <c r="G236" s="41"/>
      <c r="H236" s="41"/>
      <c r="I236" s="41"/>
      <c r="J236" s="41">
        <f t="shared" si="13"/>
        <v>0</v>
      </c>
      <c r="K236" s="41">
        <f t="shared" si="14"/>
        <v>0</v>
      </c>
      <c r="L236" s="41">
        <f t="shared" si="12"/>
        <v>0</v>
      </c>
      <c r="M236" s="41"/>
      <c r="N236" s="41"/>
      <c r="O236" s="41"/>
    </row>
    <row r="237" spans="1:15" hidden="1">
      <c r="A237" s="64">
        <v>229</v>
      </c>
      <c r="B237" s="102">
        <v>49126</v>
      </c>
      <c r="C237" s="41"/>
      <c r="D237" s="41"/>
      <c r="E237" s="41"/>
      <c r="F237" s="41"/>
      <c r="G237" s="41"/>
      <c r="H237" s="41"/>
      <c r="I237" s="41"/>
      <c r="J237" s="41">
        <f t="shared" si="13"/>
        <v>0</v>
      </c>
      <c r="K237" s="41">
        <f t="shared" si="14"/>
        <v>0</v>
      </c>
      <c r="L237" s="41">
        <f t="shared" si="12"/>
        <v>0</v>
      </c>
      <c r="M237" s="41"/>
      <c r="N237" s="41"/>
      <c r="O237" s="41"/>
    </row>
    <row r="238" spans="1:15" hidden="1">
      <c r="A238" s="64">
        <v>230</v>
      </c>
      <c r="B238" s="102">
        <v>49157</v>
      </c>
      <c r="C238" s="41"/>
      <c r="D238" s="41"/>
      <c r="E238" s="41"/>
      <c r="F238" s="41"/>
      <c r="G238" s="41"/>
      <c r="H238" s="41"/>
      <c r="I238" s="41"/>
      <c r="J238" s="41">
        <f t="shared" si="13"/>
        <v>0</v>
      </c>
      <c r="K238" s="41">
        <f t="shared" si="14"/>
        <v>0</v>
      </c>
      <c r="L238" s="41">
        <f t="shared" si="12"/>
        <v>0</v>
      </c>
      <c r="M238" s="41"/>
      <c r="N238" s="41"/>
      <c r="O238" s="41"/>
    </row>
    <row r="239" spans="1:15" hidden="1">
      <c r="A239" s="64">
        <v>231</v>
      </c>
      <c r="B239" s="102">
        <v>49188</v>
      </c>
      <c r="C239" s="41"/>
      <c r="D239" s="41"/>
      <c r="E239" s="41"/>
      <c r="F239" s="41"/>
      <c r="G239" s="41"/>
      <c r="H239" s="41"/>
      <c r="I239" s="41"/>
      <c r="J239" s="41">
        <f t="shared" si="13"/>
        <v>0</v>
      </c>
      <c r="K239" s="41">
        <f t="shared" si="14"/>
        <v>0</v>
      </c>
      <c r="L239" s="41">
        <f t="shared" si="12"/>
        <v>0</v>
      </c>
      <c r="M239" s="41"/>
      <c r="N239" s="41"/>
      <c r="O239" s="41"/>
    </row>
    <row r="240" spans="1:15" hidden="1">
      <c r="A240" s="64">
        <v>232</v>
      </c>
      <c r="B240" s="102">
        <v>49218</v>
      </c>
      <c r="C240" s="41"/>
      <c r="D240" s="41"/>
      <c r="E240" s="41"/>
      <c r="F240" s="41"/>
      <c r="G240" s="41"/>
      <c r="H240" s="41"/>
      <c r="I240" s="41"/>
      <c r="J240" s="41">
        <f t="shared" si="13"/>
        <v>0</v>
      </c>
      <c r="K240" s="41">
        <f t="shared" si="14"/>
        <v>0</v>
      </c>
      <c r="L240" s="41">
        <f t="shared" si="12"/>
        <v>0</v>
      </c>
      <c r="M240" s="41"/>
      <c r="N240" s="41"/>
      <c r="O240" s="41"/>
    </row>
    <row r="241" spans="1:15" hidden="1">
      <c r="A241" s="64">
        <v>233</v>
      </c>
      <c r="B241" s="102">
        <v>49249</v>
      </c>
      <c r="C241" s="41"/>
      <c r="D241" s="41"/>
      <c r="E241" s="41"/>
      <c r="F241" s="41"/>
      <c r="G241" s="41"/>
      <c r="H241" s="41"/>
      <c r="I241" s="41"/>
      <c r="J241" s="41">
        <f t="shared" si="13"/>
        <v>0</v>
      </c>
      <c r="K241" s="41">
        <f t="shared" si="14"/>
        <v>0</v>
      </c>
      <c r="L241" s="41">
        <f t="shared" si="12"/>
        <v>0</v>
      </c>
      <c r="M241" s="41"/>
      <c r="N241" s="41"/>
      <c r="O241" s="41"/>
    </row>
    <row r="242" spans="1:15" hidden="1">
      <c r="A242" s="64">
        <v>234</v>
      </c>
      <c r="B242" s="102">
        <v>49279</v>
      </c>
      <c r="C242" s="41"/>
      <c r="D242" s="41"/>
      <c r="E242" s="41"/>
      <c r="F242" s="41"/>
      <c r="G242" s="41"/>
      <c r="H242" s="41"/>
      <c r="I242" s="41"/>
      <c r="J242" s="41">
        <f t="shared" si="13"/>
        <v>0</v>
      </c>
      <c r="K242" s="41">
        <f t="shared" si="14"/>
        <v>0</v>
      </c>
      <c r="L242" s="41">
        <f t="shared" si="12"/>
        <v>0</v>
      </c>
      <c r="M242" s="41"/>
      <c r="N242" s="41"/>
      <c r="O242" s="41"/>
    </row>
    <row r="243" spans="1:15" hidden="1">
      <c r="A243" s="64">
        <v>235</v>
      </c>
      <c r="B243" s="102">
        <v>49310</v>
      </c>
      <c r="C243" s="41"/>
      <c r="D243" s="41"/>
      <c r="E243" s="41"/>
      <c r="F243" s="41"/>
      <c r="G243" s="41"/>
      <c r="H243" s="41"/>
      <c r="I243" s="41"/>
      <c r="J243" s="41">
        <f t="shared" si="13"/>
        <v>0</v>
      </c>
      <c r="K243" s="41">
        <f t="shared" si="14"/>
        <v>0</v>
      </c>
      <c r="L243" s="41">
        <f t="shared" si="12"/>
        <v>0</v>
      </c>
      <c r="M243" s="41"/>
      <c r="N243" s="41"/>
      <c r="O243" s="41"/>
    </row>
    <row r="244" spans="1:15" hidden="1">
      <c r="A244" s="64">
        <v>236</v>
      </c>
      <c r="B244" s="102">
        <v>49341</v>
      </c>
      <c r="C244" s="41"/>
      <c r="D244" s="41"/>
      <c r="E244" s="41"/>
      <c r="F244" s="41"/>
      <c r="G244" s="41"/>
      <c r="H244" s="41"/>
      <c r="I244" s="41"/>
      <c r="J244" s="41">
        <f t="shared" si="13"/>
        <v>0</v>
      </c>
      <c r="K244" s="41">
        <f t="shared" si="14"/>
        <v>0</v>
      </c>
      <c r="L244" s="41">
        <f t="shared" si="12"/>
        <v>0</v>
      </c>
      <c r="M244" s="41"/>
      <c r="N244" s="41"/>
      <c r="O244" s="41"/>
    </row>
    <row r="245" spans="1:15" hidden="1">
      <c r="A245" s="64">
        <v>237</v>
      </c>
      <c r="B245" s="102">
        <v>49369</v>
      </c>
      <c r="C245" s="41"/>
      <c r="D245" s="41"/>
      <c r="E245" s="41"/>
      <c r="F245" s="41"/>
      <c r="G245" s="41"/>
      <c r="H245" s="41"/>
      <c r="I245" s="41"/>
      <c r="J245" s="41">
        <f t="shared" si="13"/>
        <v>0</v>
      </c>
      <c r="K245" s="41">
        <f t="shared" si="14"/>
        <v>0</v>
      </c>
      <c r="L245" s="41">
        <f t="shared" si="12"/>
        <v>0</v>
      </c>
      <c r="M245" s="41"/>
      <c r="N245" s="41"/>
      <c r="O245" s="41"/>
    </row>
    <row r="246" spans="1:15" hidden="1">
      <c r="A246" s="64">
        <v>238</v>
      </c>
      <c r="B246" s="102">
        <v>49400</v>
      </c>
      <c r="C246" s="41"/>
      <c r="D246" s="41"/>
      <c r="E246" s="41"/>
      <c r="F246" s="41"/>
      <c r="G246" s="41"/>
      <c r="H246" s="41"/>
      <c r="I246" s="41"/>
      <c r="J246" s="41">
        <f t="shared" si="13"/>
        <v>0</v>
      </c>
      <c r="K246" s="41">
        <f t="shared" si="14"/>
        <v>0</v>
      </c>
      <c r="L246" s="41">
        <f t="shared" si="12"/>
        <v>0</v>
      </c>
      <c r="M246" s="41"/>
      <c r="N246" s="41"/>
      <c r="O246" s="41"/>
    </row>
    <row r="247" spans="1:15" hidden="1">
      <c r="A247" s="64">
        <v>239</v>
      </c>
      <c r="B247" s="102">
        <v>49430</v>
      </c>
      <c r="C247" s="41"/>
      <c r="D247" s="41"/>
      <c r="E247" s="41"/>
      <c r="F247" s="41"/>
      <c r="G247" s="41"/>
      <c r="H247" s="41"/>
      <c r="I247" s="41"/>
      <c r="J247" s="41">
        <f t="shared" si="13"/>
        <v>0</v>
      </c>
      <c r="K247" s="41">
        <f t="shared" si="14"/>
        <v>0</v>
      </c>
      <c r="L247" s="41">
        <f t="shared" si="12"/>
        <v>0</v>
      </c>
      <c r="M247" s="41"/>
      <c r="N247" s="41"/>
      <c r="O247" s="41"/>
    </row>
    <row r="248" spans="1:15" hidden="1">
      <c r="A248" s="64">
        <v>240</v>
      </c>
      <c r="B248" s="102">
        <v>49461</v>
      </c>
      <c r="C248" s="41"/>
      <c r="D248" s="41"/>
      <c r="E248" s="41"/>
      <c r="F248" s="41"/>
      <c r="G248" s="41"/>
      <c r="H248" s="41"/>
      <c r="I248" s="41"/>
      <c r="J248" s="41">
        <f t="shared" si="13"/>
        <v>0</v>
      </c>
      <c r="K248" s="41">
        <f t="shared" si="14"/>
        <v>0</v>
      </c>
      <c r="L248" s="41">
        <f t="shared" si="12"/>
        <v>0</v>
      </c>
      <c r="M248" s="41"/>
      <c r="N248" s="41"/>
      <c r="O248" s="41"/>
    </row>
    <row r="249" spans="1:15" hidden="1">
      <c r="A249" s="64">
        <v>241</v>
      </c>
      <c r="B249" s="102">
        <v>49491</v>
      </c>
      <c r="C249" s="41"/>
      <c r="D249" s="41"/>
      <c r="E249" s="41"/>
      <c r="F249" s="41"/>
      <c r="G249" s="41"/>
      <c r="H249" s="41"/>
      <c r="I249" s="41"/>
      <c r="J249" s="41">
        <f t="shared" si="13"/>
        <v>0</v>
      </c>
      <c r="K249" s="41">
        <f t="shared" si="14"/>
        <v>0</v>
      </c>
      <c r="L249" s="41">
        <f t="shared" si="12"/>
        <v>0</v>
      </c>
      <c r="M249" s="41"/>
      <c r="N249" s="41"/>
      <c r="O249" s="41"/>
    </row>
    <row r="250" spans="1:15" hidden="1">
      <c r="A250" s="64">
        <v>242</v>
      </c>
      <c r="B250" s="102">
        <v>49522</v>
      </c>
      <c r="C250" s="41"/>
      <c r="D250" s="41"/>
      <c r="E250" s="41"/>
      <c r="F250" s="41"/>
      <c r="G250" s="41"/>
      <c r="H250" s="41"/>
      <c r="I250" s="41"/>
      <c r="J250" s="41">
        <f t="shared" si="13"/>
        <v>0</v>
      </c>
      <c r="K250" s="41">
        <f t="shared" si="14"/>
        <v>0</v>
      </c>
      <c r="L250" s="41">
        <f t="shared" si="12"/>
        <v>0</v>
      </c>
      <c r="M250" s="41"/>
      <c r="N250" s="41"/>
      <c r="O250" s="41"/>
    </row>
    <row r="251" spans="1:15" hidden="1">
      <c r="A251" s="64">
        <v>243</v>
      </c>
      <c r="B251" s="102">
        <v>49553</v>
      </c>
      <c r="C251" s="41"/>
      <c r="D251" s="41"/>
      <c r="E251" s="41"/>
      <c r="F251" s="41"/>
      <c r="G251" s="41"/>
      <c r="H251" s="41"/>
      <c r="I251" s="41"/>
      <c r="J251" s="41">
        <f t="shared" si="13"/>
        <v>0</v>
      </c>
      <c r="K251" s="41">
        <f t="shared" si="14"/>
        <v>0</v>
      </c>
      <c r="L251" s="41">
        <f t="shared" si="12"/>
        <v>0</v>
      </c>
      <c r="M251" s="41"/>
      <c r="N251" s="41"/>
      <c r="O251" s="41"/>
    </row>
    <row r="252" spans="1:15" hidden="1">
      <c r="A252" s="64">
        <v>244</v>
      </c>
      <c r="B252" s="102">
        <v>49583</v>
      </c>
      <c r="C252" s="41"/>
      <c r="D252" s="41"/>
      <c r="E252" s="41"/>
      <c r="F252" s="41"/>
      <c r="G252" s="41"/>
      <c r="H252" s="41"/>
      <c r="I252" s="41"/>
      <c r="J252" s="41">
        <f t="shared" si="13"/>
        <v>0</v>
      </c>
      <c r="K252" s="41">
        <f t="shared" si="14"/>
        <v>0</v>
      </c>
      <c r="L252" s="41">
        <f t="shared" si="12"/>
        <v>0</v>
      </c>
      <c r="M252" s="41"/>
      <c r="N252" s="41"/>
      <c r="O252" s="41"/>
    </row>
    <row r="253" spans="1:15" hidden="1">
      <c r="A253" s="64">
        <v>245</v>
      </c>
      <c r="B253" s="102">
        <v>49614</v>
      </c>
      <c r="C253" s="41"/>
      <c r="D253" s="41"/>
      <c r="E253" s="41"/>
      <c r="F253" s="41"/>
      <c r="G253" s="41"/>
      <c r="H253" s="41"/>
      <c r="I253" s="41"/>
      <c r="J253" s="41">
        <f t="shared" si="13"/>
        <v>0</v>
      </c>
      <c r="K253" s="41">
        <f t="shared" si="14"/>
        <v>0</v>
      </c>
      <c r="L253" s="41">
        <f t="shared" si="12"/>
        <v>0</v>
      </c>
      <c r="M253" s="41"/>
      <c r="N253" s="41"/>
      <c r="O253" s="41"/>
    </row>
    <row r="254" spans="1:15" hidden="1">
      <c r="A254" s="64">
        <v>246</v>
      </c>
      <c r="B254" s="102">
        <v>49644</v>
      </c>
      <c r="C254" s="41"/>
      <c r="D254" s="41"/>
      <c r="E254" s="41"/>
      <c r="F254" s="41"/>
      <c r="G254" s="41"/>
      <c r="H254" s="41"/>
      <c r="I254" s="41"/>
      <c r="J254" s="41">
        <f t="shared" si="13"/>
        <v>0</v>
      </c>
      <c r="K254" s="41">
        <f t="shared" si="14"/>
        <v>0</v>
      </c>
      <c r="L254" s="41">
        <f t="shared" si="12"/>
        <v>0</v>
      </c>
      <c r="M254" s="41"/>
      <c r="N254" s="41"/>
      <c r="O254" s="41"/>
    </row>
    <row r="255" spans="1:15" hidden="1">
      <c r="A255" s="64">
        <v>247</v>
      </c>
      <c r="B255" s="102">
        <v>49675</v>
      </c>
      <c r="C255" s="41"/>
      <c r="D255" s="41"/>
      <c r="E255" s="41"/>
      <c r="F255" s="41"/>
      <c r="G255" s="41"/>
      <c r="H255" s="41"/>
      <c r="I255" s="41"/>
      <c r="J255" s="41">
        <f t="shared" si="13"/>
        <v>0</v>
      </c>
      <c r="K255" s="41">
        <f t="shared" si="14"/>
        <v>0</v>
      </c>
      <c r="L255" s="41">
        <f t="shared" si="12"/>
        <v>0</v>
      </c>
      <c r="M255" s="41"/>
      <c r="N255" s="41"/>
      <c r="O255" s="41"/>
    </row>
    <row r="256" spans="1:15" hidden="1">
      <c r="A256" s="64">
        <v>248</v>
      </c>
      <c r="B256" s="102">
        <v>49706</v>
      </c>
      <c r="C256" s="41"/>
      <c r="D256" s="41"/>
      <c r="E256" s="41"/>
      <c r="F256" s="41"/>
      <c r="G256" s="41"/>
      <c r="H256" s="41"/>
      <c r="I256" s="41"/>
      <c r="J256" s="41">
        <f t="shared" si="13"/>
        <v>0</v>
      </c>
      <c r="K256" s="41">
        <f t="shared" si="14"/>
        <v>0</v>
      </c>
      <c r="L256" s="41">
        <f t="shared" si="12"/>
        <v>0</v>
      </c>
      <c r="M256" s="41"/>
      <c r="N256" s="41"/>
      <c r="O256" s="41"/>
    </row>
    <row r="257" spans="1:15" hidden="1">
      <c r="A257" s="64">
        <v>249</v>
      </c>
      <c r="B257" s="102">
        <v>49735</v>
      </c>
      <c r="C257" s="41"/>
      <c r="D257" s="41"/>
      <c r="E257" s="41"/>
      <c r="F257" s="41"/>
      <c r="G257" s="41"/>
      <c r="H257" s="41"/>
      <c r="I257" s="41"/>
      <c r="J257" s="41">
        <f t="shared" si="13"/>
        <v>0</v>
      </c>
      <c r="K257" s="41">
        <f t="shared" si="14"/>
        <v>0</v>
      </c>
      <c r="L257" s="41">
        <f t="shared" si="12"/>
        <v>0</v>
      </c>
      <c r="M257" s="41"/>
      <c r="N257" s="41"/>
      <c r="O257" s="41"/>
    </row>
    <row r="258" spans="1:15" hidden="1">
      <c r="A258" s="64">
        <v>250</v>
      </c>
      <c r="B258" s="102">
        <v>49766</v>
      </c>
      <c r="C258" s="41"/>
      <c r="D258" s="41"/>
      <c r="E258" s="41"/>
      <c r="F258" s="41"/>
      <c r="G258" s="41"/>
      <c r="H258" s="41"/>
      <c r="I258" s="41"/>
      <c r="J258" s="41">
        <f t="shared" si="13"/>
        <v>0</v>
      </c>
      <c r="K258" s="41">
        <f t="shared" si="14"/>
        <v>0</v>
      </c>
      <c r="L258" s="41">
        <f t="shared" si="12"/>
        <v>0</v>
      </c>
      <c r="M258" s="41"/>
      <c r="N258" s="41"/>
      <c r="O258" s="41"/>
    </row>
    <row r="259" spans="1:15" hidden="1">
      <c r="A259" s="64">
        <v>251</v>
      </c>
      <c r="B259" s="102">
        <v>49796</v>
      </c>
      <c r="C259" s="41"/>
      <c r="D259" s="41"/>
      <c r="E259" s="41"/>
      <c r="F259" s="41"/>
      <c r="G259" s="41"/>
      <c r="H259" s="41"/>
      <c r="I259" s="41"/>
      <c r="J259" s="41">
        <f t="shared" si="13"/>
        <v>0</v>
      </c>
      <c r="K259" s="41">
        <f t="shared" si="14"/>
        <v>0</v>
      </c>
      <c r="L259" s="41">
        <f t="shared" si="12"/>
        <v>0</v>
      </c>
      <c r="M259" s="41"/>
      <c r="N259" s="41"/>
      <c r="O259" s="41"/>
    </row>
    <row r="260" spans="1:15" hidden="1">
      <c r="A260" s="64">
        <v>252</v>
      </c>
      <c r="B260" s="102">
        <v>49827</v>
      </c>
      <c r="C260" s="41"/>
      <c r="D260" s="41"/>
      <c r="E260" s="41"/>
      <c r="F260" s="41"/>
      <c r="G260" s="41"/>
      <c r="H260" s="41"/>
      <c r="I260" s="41"/>
      <c r="J260" s="41">
        <f t="shared" si="13"/>
        <v>0</v>
      </c>
      <c r="K260" s="41">
        <f t="shared" si="14"/>
        <v>0</v>
      </c>
      <c r="L260" s="41">
        <f t="shared" si="12"/>
        <v>0</v>
      </c>
      <c r="M260" s="41"/>
      <c r="N260" s="41"/>
      <c r="O260" s="41"/>
    </row>
    <row r="261" spans="1:15" hidden="1">
      <c r="A261" s="64">
        <v>253</v>
      </c>
      <c r="B261" s="102">
        <v>49857</v>
      </c>
      <c r="C261" s="41"/>
      <c r="D261" s="41"/>
      <c r="E261" s="41"/>
      <c r="F261" s="41"/>
      <c r="G261" s="41"/>
      <c r="H261" s="41"/>
      <c r="I261" s="41"/>
      <c r="J261" s="41">
        <f t="shared" si="13"/>
        <v>0</v>
      </c>
      <c r="K261" s="41">
        <f t="shared" si="14"/>
        <v>0</v>
      </c>
      <c r="L261" s="41">
        <f t="shared" si="12"/>
        <v>0</v>
      </c>
      <c r="M261" s="41"/>
      <c r="N261" s="41"/>
      <c r="O261" s="41"/>
    </row>
    <row r="262" spans="1:15" hidden="1">
      <c r="A262" s="64">
        <v>254</v>
      </c>
      <c r="B262" s="102">
        <v>49888</v>
      </c>
      <c r="C262" s="41"/>
      <c r="D262" s="41"/>
      <c r="E262" s="41"/>
      <c r="F262" s="41"/>
      <c r="G262" s="41"/>
      <c r="H262" s="41"/>
      <c r="I262" s="41"/>
      <c r="J262" s="41">
        <f t="shared" si="13"/>
        <v>0</v>
      </c>
      <c r="K262" s="41">
        <f t="shared" si="14"/>
        <v>0</v>
      </c>
      <c r="L262" s="41">
        <f t="shared" si="12"/>
        <v>0</v>
      </c>
      <c r="M262" s="41"/>
      <c r="N262" s="41"/>
      <c r="O262" s="41"/>
    </row>
    <row r="263" spans="1:15" hidden="1">
      <c r="A263" s="64">
        <v>255</v>
      </c>
      <c r="B263" s="102">
        <v>49919</v>
      </c>
      <c r="C263" s="41"/>
      <c r="D263" s="41"/>
      <c r="E263" s="41"/>
      <c r="F263" s="41"/>
      <c r="G263" s="41"/>
      <c r="H263" s="41"/>
      <c r="I263" s="41"/>
      <c r="J263" s="41">
        <f t="shared" si="13"/>
        <v>0</v>
      </c>
      <c r="K263" s="41">
        <f t="shared" si="14"/>
        <v>0</v>
      </c>
      <c r="L263" s="41">
        <f t="shared" si="12"/>
        <v>0</v>
      </c>
      <c r="M263" s="41"/>
      <c r="N263" s="41"/>
      <c r="O263" s="41"/>
    </row>
    <row r="264" spans="1:15" hidden="1">
      <c r="A264" s="64">
        <v>256</v>
      </c>
      <c r="B264" s="102">
        <v>49949</v>
      </c>
      <c r="C264" s="41"/>
      <c r="D264" s="41"/>
      <c r="E264" s="41"/>
      <c r="F264" s="41"/>
      <c r="G264" s="41"/>
      <c r="H264" s="41"/>
      <c r="I264" s="41"/>
      <c r="J264" s="41">
        <f t="shared" si="13"/>
        <v>0</v>
      </c>
      <c r="K264" s="41">
        <f t="shared" si="14"/>
        <v>0</v>
      </c>
      <c r="L264" s="41">
        <f t="shared" ref="L264:L308" si="15">ROUND(K264*L$3,0)</f>
        <v>0</v>
      </c>
      <c r="M264" s="41"/>
      <c r="N264" s="41"/>
      <c r="O264" s="41"/>
    </row>
    <row r="265" spans="1:15" hidden="1">
      <c r="A265" s="64">
        <v>257</v>
      </c>
      <c r="B265" s="102">
        <v>49980</v>
      </c>
      <c r="C265" s="41"/>
      <c r="D265" s="41"/>
      <c r="E265" s="41"/>
      <c r="F265" s="41"/>
      <c r="G265" s="41"/>
      <c r="H265" s="41"/>
      <c r="I265" s="41"/>
      <c r="J265" s="41">
        <f t="shared" si="13"/>
        <v>0</v>
      </c>
      <c r="K265" s="41">
        <f t="shared" si="14"/>
        <v>0</v>
      </c>
      <c r="L265" s="41">
        <f t="shared" si="15"/>
        <v>0</v>
      </c>
      <c r="M265" s="41"/>
      <c r="N265" s="41"/>
      <c r="O265" s="41"/>
    </row>
    <row r="266" spans="1:15" hidden="1">
      <c r="A266" s="64">
        <v>258</v>
      </c>
      <c r="B266" s="102">
        <v>50010</v>
      </c>
      <c r="C266" s="41"/>
      <c r="D266" s="41"/>
      <c r="E266" s="41"/>
      <c r="F266" s="41"/>
      <c r="G266" s="41"/>
      <c r="H266" s="41"/>
      <c r="I266" s="41"/>
      <c r="J266" s="41">
        <f t="shared" ref="J266:J307" si="16">SUM(C266:I266)</f>
        <v>0</v>
      </c>
      <c r="K266" s="41">
        <f t="shared" si="14"/>
        <v>0</v>
      </c>
      <c r="L266" s="41">
        <f t="shared" si="15"/>
        <v>0</v>
      </c>
      <c r="M266" s="41"/>
      <c r="N266" s="41"/>
      <c r="O266" s="41"/>
    </row>
    <row r="267" spans="1:15" hidden="1">
      <c r="A267" s="64">
        <v>259</v>
      </c>
      <c r="B267" s="102">
        <v>50041</v>
      </c>
      <c r="C267" s="41"/>
      <c r="D267" s="41"/>
      <c r="E267" s="41"/>
      <c r="F267" s="41"/>
      <c r="G267" s="41"/>
      <c r="H267" s="41"/>
      <c r="I267" s="41"/>
      <c r="J267" s="41">
        <f t="shared" si="16"/>
        <v>0</v>
      </c>
      <c r="K267" s="41">
        <f t="shared" si="14"/>
        <v>0</v>
      </c>
      <c r="L267" s="41">
        <f t="shared" si="15"/>
        <v>0</v>
      </c>
      <c r="M267" s="41"/>
      <c r="N267" s="41"/>
      <c r="O267" s="41"/>
    </row>
    <row r="268" spans="1:15" hidden="1">
      <c r="A268" s="64">
        <v>260</v>
      </c>
      <c r="B268" s="102">
        <v>50072</v>
      </c>
      <c r="C268" s="41"/>
      <c r="D268" s="41"/>
      <c r="E268" s="41"/>
      <c r="F268" s="41"/>
      <c r="G268" s="41"/>
      <c r="H268" s="41"/>
      <c r="I268" s="41"/>
      <c r="J268" s="41">
        <f t="shared" si="16"/>
        <v>0</v>
      </c>
      <c r="K268" s="41">
        <f t="shared" si="14"/>
        <v>0</v>
      </c>
      <c r="L268" s="41">
        <f t="shared" si="15"/>
        <v>0</v>
      </c>
      <c r="M268" s="41"/>
      <c r="N268" s="41"/>
      <c r="O268" s="41"/>
    </row>
    <row r="269" spans="1:15" hidden="1">
      <c r="A269" s="64">
        <v>261</v>
      </c>
      <c r="B269" s="102">
        <v>50100</v>
      </c>
      <c r="C269" s="41"/>
      <c r="D269" s="41"/>
      <c r="E269" s="41"/>
      <c r="F269" s="41"/>
      <c r="G269" s="41"/>
      <c r="H269" s="41"/>
      <c r="I269" s="41"/>
      <c r="J269" s="41">
        <f t="shared" si="16"/>
        <v>0</v>
      </c>
      <c r="K269" s="41">
        <f t="shared" si="14"/>
        <v>0</v>
      </c>
      <c r="L269" s="41">
        <f t="shared" si="15"/>
        <v>0</v>
      </c>
      <c r="M269" s="41"/>
      <c r="N269" s="41"/>
      <c r="O269" s="41"/>
    </row>
    <row r="270" spans="1:15" hidden="1">
      <c r="A270" s="64">
        <v>262</v>
      </c>
      <c r="B270" s="102">
        <v>50131</v>
      </c>
      <c r="C270" s="41"/>
      <c r="D270" s="41"/>
      <c r="E270" s="41"/>
      <c r="F270" s="41"/>
      <c r="G270" s="41"/>
      <c r="H270" s="41"/>
      <c r="I270" s="41"/>
      <c r="J270" s="41">
        <f t="shared" si="16"/>
        <v>0</v>
      </c>
      <c r="K270" s="41">
        <f t="shared" si="14"/>
        <v>0</v>
      </c>
      <c r="L270" s="41">
        <f t="shared" si="15"/>
        <v>0</v>
      </c>
      <c r="M270" s="41"/>
      <c r="N270" s="41"/>
      <c r="O270" s="41"/>
    </row>
    <row r="271" spans="1:15" hidden="1">
      <c r="A271" s="64">
        <v>263</v>
      </c>
      <c r="B271" s="102">
        <v>50161</v>
      </c>
      <c r="C271" s="41"/>
      <c r="D271" s="41"/>
      <c r="E271" s="41"/>
      <c r="F271" s="41"/>
      <c r="G271" s="41"/>
      <c r="H271" s="41"/>
      <c r="I271" s="41"/>
      <c r="J271" s="41">
        <f t="shared" si="16"/>
        <v>0</v>
      </c>
      <c r="K271" s="41">
        <f t="shared" si="14"/>
        <v>0</v>
      </c>
      <c r="L271" s="41">
        <f t="shared" si="15"/>
        <v>0</v>
      </c>
      <c r="M271" s="41"/>
      <c r="N271" s="41"/>
      <c r="O271" s="41"/>
    </row>
    <row r="272" spans="1:15" hidden="1">
      <c r="A272" s="64">
        <v>264</v>
      </c>
      <c r="B272" s="102">
        <v>50192</v>
      </c>
      <c r="C272" s="41"/>
      <c r="D272" s="41"/>
      <c r="E272" s="41"/>
      <c r="F272" s="41"/>
      <c r="G272" s="41"/>
      <c r="H272" s="41"/>
      <c r="I272" s="41"/>
      <c r="J272" s="41">
        <f t="shared" si="16"/>
        <v>0</v>
      </c>
      <c r="K272" s="41">
        <f t="shared" si="14"/>
        <v>0</v>
      </c>
      <c r="L272" s="41">
        <f t="shared" si="15"/>
        <v>0</v>
      </c>
      <c r="M272" s="41"/>
      <c r="N272" s="41"/>
      <c r="O272" s="41"/>
    </row>
    <row r="273" spans="1:15" hidden="1">
      <c r="A273" s="64">
        <v>265</v>
      </c>
      <c r="B273" s="102">
        <v>50222</v>
      </c>
      <c r="C273" s="41"/>
      <c r="D273" s="41"/>
      <c r="E273" s="41"/>
      <c r="F273" s="41"/>
      <c r="G273" s="41"/>
      <c r="H273" s="41"/>
      <c r="I273" s="41"/>
      <c r="J273" s="41">
        <f t="shared" si="16"/>
        <v>0</v>
      </c>
      <c r="K273" s="41">
        <f t="shared" si="14"/>
        <v>0</v>
      </c>
      <c r="L273" s="41">
        <f t="shared" si="15"/>
        <v>0</v>
      </c>
      <c r="M273" s="41"/>
      <c r="N273" s="41"/>
      <c r="O273" s="41"/>
    </row>
    <row r="274" spans="1:15" hidden="1">
      <c r="A274" s="64">
        <v>266</v>
      </c>
      <c r="B274" s="102">
        <v>50253</v>
      </c>
      <c r="C274" s="41"/>
      <c r="D274" s="41"/>
      <c r="E274" s="41"/>
      <c r="F274" s="41"/>
      <c r="G274" s="41"/>
      <c r="H274" s="41"/>
      <c r="I274" s="41"/>
      <c r="J274" s="41">
        <f t="shared" si="16"/>
        <v>0</v>
      </c>
      <c r="K274" s="41">
        <f t="shared" ref="K274:K308" si="17">C274+D274+F274+G274</f>
        <v>0</v>
      </c>
      <c r="L274" s="41">
        <f t="shared" si="15"/>
        <v>0</v>
      </c>
      <c r="M274" s="41"/>
      <c r="N274" s="41"/>
      <c r="O274" s="41"/>
    </row>
    <row r="275" spans="1:15" hidden="1">
      <c r="A275" s="64">
        <v>267</v>
      </c>
      <c r="B275" s="102">
        <v>50284</v>
      </c>
      <c r="C275" s="41"/>
      <c r="D275" s="41"/>
      <c r="E275" s="41"/>
      <c r="F275" s="41"/>
      <c r="G275" s="41"/>
      <c r="H275" s="41"/>
      <c r="I275" s="41"/>
      <c r="J275" s="41">
        <f t="shared" si="16"/>
        <v>0</v>
      </c>
      <c r="K275" s="41">
        <f t="shared" si="17"/>
        <v>0</v>
      </c>
      <c r="L275" s="41">
        <f t="shared" si="15"/>
        <v>0</v>
      </c>
      <c r="M275" s="41"/>
      <c r="N275" s="41"/>
      <c r="O275" s="41"/>
    </row>
    <row r="276" spans="1:15" hidden="1">
      <c r="A276" s="64">
        <v>268</v>
      </c>
      <c r="B276" s="102">
        <v>50314</v>
      </c>
      <c r="C276" s="41"/>
      <c r="D276" s="41"/>
      <c r="E276" s="41"/>
      <c r="F276" s="41"/>
      <c r="G276" s="41"/>
      <c r="H276" s="41"/>
      <c r="I276" s="41"/>
      <c r="J276" s="41">
        <f t="shared" si="16"/>
        <v>0</v>
      </c>
      <c r="K276" s="41">
        <f t="shared" si="17"/>
        <v>0</v>
      </c>
      <c r="L276" s="41">
        <f t="shared" si="15"/>
        <v>0</v>
      </c>
      <c r="M276" s="41"/>
      <c r="N276" s="41"/>
      <c r="O276" s="41"/>
    </row>
    <row r="277" spans="1:15" hidden="1">
      <c r="A277" s="64">
        <v>269</v>
      </c>
      <c r="B277" s="102">
        <v>50345</v>
      </c>
      <c r="C277" s="41"/>
      <c r="D277" s="41"/>
      <c r="E277" s="41"/>
      <c r="F277" s="41"/>
      <c r="G277" s="41"/>
      <c r="H277" s="41"/>
      <c r="I277" s="41"/>
      <c r="J277" s="41">
        <f t="shared" si="16"/>
        <v>0</v>
      </c>
      <c r="K277" s="41">
        <f t="shared" si="17"/>
        <v>0</v>
      </c>
      <c r="L277" s="41">
        <f t="shared" si="15"/>
        <v>0</v>
      </c>
      <c r="M277" s="41"/>
      <c r="N277" s="41"/>
      <c r="O277" s="41"/>
    </row>
    <row r="278" spans="1:15" hidden="1">
      <c r="A278" s="64">
        <v>270</v>
      </c>
      <c r="B278" s="102">
        <v>50375</v>
      </c>
      <c r="C278" s="41"/>
      <c r="D278" s="41"/>
      <c r="E278" s="41"/>
      <c r="F278" s="41"/>
      <c r="G278" s="41"/>
      <c r="H278" s="41"/>
      <c r="I278" s="41"/>
      <c r="J278" s="41">
        <f t="shared" si="16"/>
        <v>0</v>
      </c>
      <c r="K278" s="41">
        <f t="shared" si="17"/>
        <v>0</v>
      </c>
      <c r="L278" s="41">
        <f t="shared" si="15"/>
        <v>0</v>
      </c>
      <c r="M278" s="41"/>
      <c r="N278" s="41"/>
      <c r="O278" s="41"/>
    </row>
    <row r="279" spans="1:15" hidden="1">
      <c r="A279" s="64">
        <v>271</v>
      </c>
      <c r="B279" s="102">
        <v>50406</v>
      </c>
      <c r="C279" s="41"/>
      <c r="D279" s="41"/>
      <c r="E279" s="41"/>
      <c r="F279" s="41"/>
      <c r="G279" s="41"/>
      <c r="H279" s="41"/>
      <c r="I279" s="41"/>
      <c r="J279" s="41">
        <f t="shared" si="16"/>
        <v>0</v>
      </c>
      <c r="K279" s="41">
        <f t="shared" si="17"/>
        <v>0</v>
      </c>
      <c r="L279" s="41">
        <f t="shared" si="15"/>
        <v>0</v>
      </c>
      <c r="M279" s="41"/>
      <c r="N279" s="41"/>
      <c r="O279" s="41"/>
    </row>
    <row r="280" spans="1:15" hidden="1">
      <c r="A280" s="64">
        <v>272</v>
      </c>
      <c r="B280" s="102">
        <v>50437</v>
      </c>
      <c r="C280" s="41"/>
      <c r="D280" s="41"/>
      <c r="E280" s="41"/>
      <c r="F280" s="41"/>
      <c r="G280" s="41"/>
      <c r="H280" s="41"/>
      <c r="I280" s="41"/>
      <c r="J280" s="41">
        <f t="shared" si="16"/>
        <v>0</v>
      </c>
      <c r="K280" s="41">
        <f t="shared" si="17"/>
        <v>0</v>
      </c>
      <c r="L280" s="41">
        <f t="shared" si="15"/>
        <v>0</v>
      </c>
      <c r="M280" s="41"/>
      <c r="N280" s="41"/>
      <c r="O280" s="41"/>
    </row>
    <row r="281" spans="1:15" hidden="1">
      <c r="A281" s="64">
        <v>273</v>
      </c>
      <c r="B281" s="102">
        <v>50465</v>
      </c>
      <c r="C281" s="41"/>
      <c r="D281" s="41"/>
      <c r="E281" s="41"/>
      <c r="F281" s="41"/>
      <c r="G281" s="41"/>
      <c r="H281" s="41"/>
      <c r="I281" s="41"/>
      <c r="J281" s="41">
        <f t="shared" si="16"/>
        <v>0</v>
      </c>
      <c r="K281" s="41">
        <f t="shared" si="17"/>
        <v>0</v>
      </c>
      <c r="L281" s="41">
        <f t="shared" si="15"/>
        <v>0</v>
      </c>
      <c r="M281" s="41"/>
      <c r="N281" s="41"/>
      <c r="O281" s="41"/>
    </row>
    <row r="282" spans="1:15" hidden="1">
      <c r="A282" s="64">
        <v>274</v>
      </c>
      <c r="B282" s="102">
        <v>50496</v>
      </c>
      <c r="C282" s="41"/>
      <c r="D282" s="41"/>
      <c r="E282" s="41"/>
      <c r="F282" s="41"/>
      <c r="G282" s="41"/>
      <c r="H282" s="41"/>
      <c r="I282" s="41"/>
      <c r="J282" s="41">
        <f t="shared" si="16"/>
        <v>0</v>
      </c>
      <c r="K282" s="41">
        <f t="shared" si="17"/>
        <v>0</v>
      </c>
      <c r="L282" s="41">
        <f t="shared" si="15"/>
        <v>0</v>
      </c>
      <c r="M282" s="41"/>
      <c r="N282" s="41"/>
      <c r="O282" s="41"/>
    </row>
    <row r="283" spans="1:15" hidden="1">
      <c r="A283" s="64">
        <v>275</v>
      </c>
      <c r="B283" s="102">
        <v>50526</v>
      </c>
      <c r="C283" s="41"/>
      <c r="D283" s="41"/>
      <c r="E283" s="41"/>
      <c r="F283" s="41"/>
      <c r="G283" s="41"/>
      <c r="H283" s="41"/>
      <c r="I283" s="41"/>
      <c r="J283" s="41">
        <f t="shared" si="16"/>
        <v>0</v>
      </c>
      <c r="K283" s="41">
        <f t="shared" si="17"/>
        <v>0</v>
      </c>
      <c r="L283" s="41">
        <f t="shared" si="15"/>
        <v>0</v>
      </c>
      <c r="M283" s="41"/>
      <c r="N283" s="41"/>
      <c r="O283" s="41"/>
    </row>
    <row r="284" spans="1:15" hidden="1">
      <c r="A284" s="64">
        <v>276</v>
      </c>
      <c r="B284" s="102">
        <v>50557</v>
      </c>
      <c r="C284" s="41"/>
      <c r="D284" s="41"/>
      <c r="E284" s="41"/>
      <c r="F284" s="41"/>
      <c r="G284" s="41"/>
      <c r="H284" s="41"/>
      <c r="I284" s="41"/>
      <c r="J284" s="41">
        <f t="shared" si="16"/>
        <v>0</v>
      </c>
      <c r="K284" s="41">
        <f t="shared" si="17"/>
        <v>0</v>
      </c>
      <c r="L284" s="41">
        <f t="shared" si="15"/>
        <v>0</v>
      </c>
      <c r="M284" s="41"/>
      <c r="N284" s="41"/>
      <c r="O284" s="41"/>
    </row>
    <row r="285" spans="1:15" hidden="1">
      <c r="A285" s="64">
        <v>277</v>
      </c>
      <c r="B285" s="102">
        <v>50587</v>
      </c>
      <c r="C285" s="41"/>
      <c r="D285" s="41"/>
      <c r="E285" s="41"/>
      <c r="F285" s="41"/>
      <c r="G285" s="41"/>
      <c r="H285" s="41"/>
      <c r="I285" s="41"/>
      <c r="J285" s="41">
        <f t="shared" si="16"/>
        <v>0</v>
      </c>
      <c r="K285" s="41">
        <f t="shared" si="17"/>
        <v>0</v>
      </c>
      <c r="L285" s="41">
        <f t="shared" si="15"/>
        <v>0</v>
      </c>
      <c r="M285" s="41"/>
      <c r="N285" s="41"/>
      <c r="O285" s="41"/>
    </row>
    <row r="286" spans="1:15" hidden="1">
      <c r="A286" s="64">
        <v>278</v>
      </c>
      <c r="B286" s="102">
        <v>50618</v>
      </c>
      <c r="C286" s="41"/>
      <c r="D286" s="41"/>
      <c r="E286" s="41"/>
      <c r="F286" s="41"/>
      <c r="G286" s="41"/>
      <c r="H286" s="41"/>
      <c r="I286" s="41"/>
      <c r="J286" s="41">
        <f t="shared" si="16"/>
        <v>0</v>
      </c>
      <c r="K286" s="41">
        <f t="shared" si="17"/>
        <v>0</v>
      </c>
      <c r="L286" s="41">
        <f t="shared" si="15"/>
        <v>0</v>
      </c>
      <c r="M286" s="41"/>
      <c r="N286" s="41"/>
      <c r="O286" s="41"/>
    </row>
    <row r="287" spans="1:15" hidden="1">
      <c r="A287" s="64">
        <v>279</v>
      </c>
      <c r="B287" s="102">
        <v>50649</v>
      </c>
      <c r="C287" s="41"/>
      <c r="D287" s="41"/>
      <c r="E287" s="41"/>
      <c r="F287" s="41"/>
      <c r="G287" s="41"/>
      <c r="H287" s="41"/>
      <c r="I287" s="41"/>
      <c r="J287" s="41">
        <f t="shared" si="16"/>
        <v>0</v>
      </c>
      <c r="K287" s="41">
        <f t="shared" si="17"/>
        <v>0</v>
      </c>
      <c r="L287" s="41">
        <f t="shared" si="15"/>
        <v>0</v>
      </c>
      <c r="M287" s="41"/>
      <c r="N287" s="41"/>
      <c r="O287" s="41"/>
    </row>
    <row r="288" spans="1:15" hidden="1">
      <c r="A288" s="64">
        <v>280</v>
      </c>
      <c r="B288" s="102">
        <v>50679</v>
      </c>
      <c r="C288" s="41"/>
      <c r="D288" s="41"/>
      <c r="E288" s="41"/>
      <c r="F288" s="41"/>
      <c r="G288" s="41"/>
      <c r="H288" s="41"/>
      <c r="I288" s="41"/>
      <c r="J288" s="41">
        <f t="shared" si="16"/>
        <v>0</v>
      </c>
      <c r="K288" s="41">
        <f t="shared" si="17"/>
        <v>0</v>
      </c>
      <c r="L288" s="41">
        <f t="shared" si="15"/>
        <v>0</v>
      </c>
      <c r="M288" s="41"/>
      <c r="N288" s="41"/>
      <c r="O288" s="41"/>
    </row>
    <row r="289" spans="1:15" hidden="1">
      <c r="A289" s="64">
        <v>281</v>
      </c>
      <c r="B289" s="102">
        <v>50710</v>
      </c>
      <c r="C289" s="41"/>
      <c r="D289" s="41"/>
      <c r="E289" s="41"/>
      <c r="F289" s="41"/>
      <c r="G289" s="41"/>
      <c r="H289" s="41"/>
      <c r="I289" s="41"/>
      <c r="J289" s="41">
        <f t="shared" si="16"/>
        <v>0</v>
      </c>
      <c r="K289" s="41">
        <f t="shared" si="17"/>
        <v>0</v>
      </c>
      <c r="L289" s="41">
        <f t="shared" si="15"/>
        <v>0</v>
      </c>
      <c r="M289" s="41"/>
      <c r="N289" s="41"/>
      <c r="O289" s="41"/>
    </row>
    <row r="290" spans="1:15" hidden="1">
      <c r="A290" s="64">
        <v>282</v>
      </c>
      <c r="B290" s="102">
        <v>50740</v>
      </c>
      <c r="C290" s="41"/>
      <c r="D290" s="41"/>
      <c r="E290" s="41"/>
      <c r="F290" s="41"/>
      <c r="G290" s="41"/>
      <c r="H290" s="41"/>
      <c r="I290" s="41"/>
      <c r="J290" s="41">
        <f t="shared" si="16"/>
        <v>0</v>
      </c>
      <c r="K290" s="41">
        <f t="shared" si="17"/>
        <v>0</v>
      </c>
      <c r="L290" s="41">
        <f t="shared" si="15"/>
        <v>0</v>
      </c>
      <c r="M290" s="41"/>
      <c r="N290" s="41"/>
      <c r="O290" s="41"/>
    </row>
    <row r="291" spans="1:15" hidden="1">
      <c r="A291" s="64">
        <v>283</v>
      </c>
      <c r="B291" s="102">
        <v>50771</v>
      </c>
      <c r="C291" s="41"/>
      <c r="D291" s="41"/>
      <c r="E291" s="41"/>
      <c r="F291" s="41"/>
      <c r="G291" s="41"/>
      <c r="H291" s="41"/>
      <c r="I291" s="41"/>
      <c r="J291" s="41">
        <f t="shared" si="16"/>
        <v>0</v>
      </c>
      <c r="K291" s="41">
        <f t="shared" si="17"/>
        <v>0</v>
      </c>
      <c r="L291" s="41">
        <f t="shared" si="15"/>
        <v>0</v>
      </c>
      <c r="M291" s="41"/>
      <c r="N291" s="41"/>
      <c r="O291" s="41"/>
    </row>
    <row r="292" spans="1:15" hidden="1">
      <c r="A292" s="64">
        <v>284</v>
      </c>
      <c r="B292" s="102">
        <v>50802</v>
      </c>
      <c r="C292" s="41"/>
      <c r="D292" s="41"/>
      <c r="E292" s="41"/>
      <c r="F292" s="41"/>
      <c r="G292" s="41"/>
      <c r="H292" s="41"/>
      <c r="I292" s="41"/>
      <c r="J292" s="41">
        <f t="shared" si="16"/>
        <v>0</v>
      </c>
      <c r="K292" s="41">
        <f t="shared" si="17"/>
        <v>0</v>
      </c>
      <c r="L292" s="41">
        <f t="shared" si="15"/>
        <v>0</v>
      </c>
      <c r="M292" s="41"/>
      <c r="N292" s="41"/>
      <c r="O292" s="41"/>
    </row>
    <row r="293" spans="1:15" hidden="1">
      <c r="A293" s="64">
        <v>285</v>
      </c>
      <c r="B293" s="102">
        <v>50830</v>
      </c>
      <c r="C293" s="41"/>
      <c r="D293" s="41"/>
      <c r="E293" s="41"/>
      <c r="F293" s="41"/>
      <c r="G293" s="41"/>
      <c r="H293" s="41"/>
      <c r="I293" s="41"/>
      <c r="J293" s="41">
        <f t="shared" si="16"/>
        <v>0</v>
      </c>
      <c r="K293" s="41">
        <f t="shared" si="17"/>
        <v>0</v>
      </c>
      <c r="L293" s="41">
        <f t="shared" si="15"/>
        <v>0</v>
      </c>
      <c r="M293" s="41"/>
      <c r="N293" s="41"/>
      <c r="O293" s="41"/>
    </row>
    <row r="294" spans="1:15" hidden="1">
      <c r="A294" s="64">
        <v>286</v>
      </c>
      <c r="B294" s="102">
        <v>50861</v>
      </c>
      <c r="C294" s="41"/>
      <c r="D294" s="41"/>
      <c r="E294" s="41"/>
      <c r="F294" s="41"/>
      <c r="G294" s="41"/>
      <c r="H294" s="41"/>
      <c r="I294" s="41"/>
      <c r="J294" s="41">
        <f t="shared" si="16"/>
        <v>0</v>
      </c>
      <c r="K294" s="41">
        <f t="shared" si="17"/>
        <v>0</v>
      </c>
      <c r="L294" s="41">
        <f t="shared" si="15"/>
        <v>0</v>
      </c>
      <c r="M294" s="41"/>
      <c r="N294" s="41"/>
      <c r="O294" s="41"/>
    </row>
    <row r="295" spans="1:15" hidden="1">
      <c r="A295" s="64">
        <v>287</v>
      </c>
      <c r="B295" s="102">
        <v>50891</v>
      </c>
      <c r="C295" s="41"/>
      <c r="D295" s="41"/>
      <c r="E295" s="41"/>
      <c r="F295" s="41"/>
      <c r="G295" s="41"/>
      <c r="H295" s="41"/>
      <c r="I295" s="41"/>
      <c r="J295" s="41">
        <f t="shared" si="16"/>
        <v>0</v>
      </c>
      <c r="K295" s="41">
        <f t="shared" si="17"/>
        <v>0</v>
      </c>
      <c r="L295" s="41">
        <f t="shared" si="15"/>
        <v>0</v>
      </c>
      <c r="M295" s="41"/>
      <c r="N295" s="41"/>
      <c r="O295" s="41"/>
    </row>
    <row r="296" spans="1:15" hidden="1">
      <c r="A296" s="64">
        <v>288</v>
      </c>
      <c r="B296" s="102">
        <v>50922</v>
      </c>
      <c r="C296" s="41"/>
      <c r="D296" s="41"/>
      <c r="E296" s="41"/>
      <c r="F296" s="41"/>
      <c r="G296" s="41"/>
      <c r="H296" s="41"/>
      <c r="I296" s="41"/>
      <c r="J296" s="41">
        <f t="shared" si="16"/>
        <v>0</v>
      </c>
      <c r="K296" s="41">
        <f t="shared" si="17"/>
        <v>0</v>
      </c>
      <c r="L296" s="41">
        <f t="shared" si="15"/>
        <v>0</v>
      </c>
      <c r="M296" s="41"/>
      <c r="N296" s="41"/>
      <c r="O296" s="41"/>
    </row>
    <row r="297" spans="1:15" hidden="1">
      <c r="A297" s="64">
        <v>289</v>
      </c>
      <c r="B297" s="102">
        <v>50952</v>
      </c>
      <c r="C297" s="41"/>
      <c r="D297" s="41"/>
      <c r="E297" s="41"/>
      <c r="F297" s="41"/>
      <c r="G297" s="41"/>
      <c r="H297" s="41"/>
      <c r="I297" s="41"/>
      <c r="J297" s="41">
        <f t="shared" si="16"/>
        <v>0</v>
      </c>
      <c r="K297" s="41">
        <f t="shared" si="17"/>
        <v>0</v>
      </c>
      <c r="L297" s="41">
        <f t="shared" si="15"/>
        <v>0</v>
      </c>
      <c r="M297" s="41"/>
      <c r="N297" s="41"/>
      <c r="O297" s="41"/>
    </row>
    <row r="298" spans="1:15" hidden="1">
      <c r="A298" s="64">
        <v>290</v>
      </c>
      <c r="B298" s="102">
        <v>50983</v>
      </c>
      <c r="C298" s="41"/>
      <c r="D298" s="41"/>
      <c r="E298" s="41"/>
      <c r="F298" s="41"/>
      <c r="G298" s="41"/>
      <c r="H298" s="41"/>
      <c r="I298" s="41"/>
      <c r="J298" s="41">
        <f t="shared" si="16"/>
        <v>0</v>
      </c>
      <c r="K298" s="41">
        <f t="shared" si="17"/>
        <v>0</v>
      </c>
      <c r="L298" s="41">
        <f t="shared" si="15"/>
        <v>0</v>
      </c>
      <c r="M298" s="41"/>
      <c r="N298" s="41"/>
      <c r="O298" s="41"/>
    </row>
    <row r="299" spans="1:15" hidden="1">
      <c r="A299" s="64">
        <v>291</v>
      </c>
      <c r="B299" s="102">
        <v>51014</v>
      </c>
      <c r="C299" s="41"/>
      <c r="D299" s="41"/>
      <c r="E299" s="41"/>
      <c r="F299" s="41"/>
      <c r="G299" s="41"/>
      <c r="H299" s="41"/>
      <c r="I299" s="41"/>
      <c r="J299" s="41">
        <f t="shared" si="16"/>
        <v>0</v>
      </c>
      <c r="K299" s="41">
        <f t="shared" si="17"/>
        <v>0</v>
      </c>
      <c r="L299" s="41">
        <f t="shared" si="15"/>
        <v>0</v>
      </c>
      <c r="M299" s="41"/>
      <c r="N299" s="41"/>
      <c r="O299" s="41"/>
    </row>
    <row r="300" spans="1:15" hidden="1">
      <c r="A300" s="64">
        <v>292</v>
      </c>
      <c r="B300" s="102">
        <v>51044</v>
      </c>
      <c r="C300" s="41"/>
      <c r="D300" s="41"/>
      <c r="E300" s="41"/>
      <c r="F300" s="41"/>
      <c r="G300" s="41"/>
      <c r="H300" s="41"/>
      <c r="I300" s="41"/>
      <c r="J300" s="41">
        <f t="shared" si="16"/>
        <v>0</v>
      </c>
      <c r="K300" s="41">
        <f t="shared" si="17"/>
        <v>0</v>
      </c>
      <c r="L300" s="41">
        <f t="shared" si="15"/>
        <v>0</v>
      </c>
      <c r="M300" s="41"/>
      <c r="N300" s="41"/>
      <c r="O300" s="41"/>
    </row>
    <row r="301" spans="1:15" hidden="1">
      <c r="A301" s="64">
        <v>293</v>
      </c>
      <c r="B301" s="102">
        <v>51075</v>
      </c>
      <c r="C301" s="41"/>
      <c r="D301" s="41"/>
      <c r="E301" s="41"/>
      <c r="F301" s="41"/>
      <c r="G301" s="41"/>
      <c r="H301" s="41"/>
      <c r="I301" s="41"/>
      <c r="J301" s="41">
        <f t="shared" si="16"/>
        <v>0</v>
      </c>
      <c r="K301" s="41">
        <f t="shared" si="17"/>
        <v>0</v>
      </c>
      <c r="L301" s="41">
        <f t="shared" si="15"/>
        <v>0</v>
      </c>
      <c r="M301" s="41"/>
      <c r="N301" s="41"/>
      <c r="O301" s="41"/>
    </row>
    <row r="302" spans="1:15" hidden="1">
      <c r="A302" s="64">
        <v>294</v>
      </c>
      <c r="B302" s="102">
        <v>51105</v>
      </c>
      <c r="C302" s="41"/>
      <c r="D302" s="41"/>
      <c r="E302" s="41"/>
      <c r="F302" s="41"/>
      <c r="G302" s="41"/>
      <c r="H302" s="41"/>
      <c r="I302" s="41"/>
      <c r="J302" s="41">
        <f t="shared" si="16"/>
        <v>0</v>
      </c>
      <c r="K302" s="41">
        <f t="shared" si="17"/>
        <v>0</v>
      </c>
      <c r="L302" s="41">
        <f t="shared" si="15"/>
        <v>0</v>
      </c>
      <c r="M302" s="41"/>
      <c r="N302" s="41"/>
      <c r="O302" s="41"/>
    </row>
    <row r="303" spans="1:15" hidden="1">
      <c r="A303" s="64">
        <v>295</v>
      </c>
      <c r="B303" s="102">
        <v>51136</v>
      </c>
      <c r="C303" s="41"/>
      <c r="D303" s="41"/>
      <c r="E303" s="41"/>
      <c r="F303" s="41"/>
      <c r="G303" s="41"/>
      <c r="H303" s="41"/>
      <c r="I303" s="41"/>
      <c r="J303" s="41">
        <f t="shared" si="16"/>
        <v>0</v>
      </c>
      <c r="K303" s="41">
        <f t="shared" si="17"/>
        <v>0</v>
      </c>
      <c r="L303" s="41">
        <f t="shared" si="15"/>
        <v>0</v>
      </c>
      <c r="M303" s="41"/>
      <c r="N303" s="41"/>
      <c r="O303" s="41"/>
    </row>
    <row r="304" spans="1:15" hidden="1">
      <c r="A304" s="64">
        <v>296</v>
      </c>
      <c r="B304" s="102">
        <v>51167</v>
      </c>
      <c r="C304" s="41"/>
      <c r="D304" s="41"/>
      <c r="E304" s="41"/>
      <c r="F304" s="41"/>
      <c r="G304" s="41"/>
      <c r="H304" s="41"/>
      <c r="I304" s="41"/>
      <c r="J304" s="41">
        <f t="shared" si="16"/>
        <v>0</v>
      </c>
      <c r="K304" s="41">
        <f t="shared" si="17"/>
        <v>0</v>
      </c>
      <c r="L304" s="41">
        <f t="shared" si="15"/>
        <v>0</v>
      </c>
      <c r="M304" s="41"/>
      <c r="N304" s="41"/>
      <c r="O304" s="41"/>
    </row>
    <row r="305" spans="1:15" hidden="1">
      <c r="A305" s="64">
        <v>297</v>
      </c>
      <c r="B305" s="102">
        <v>51196</v>
      </c>
      <c r="C305" s="41"/>
      <c r="D305" s="41"/>
      <c r="E305" s="41"/>
      <c r="F305" s="41"/>
      <c r="G305" s="41"/>
      <c r="H305" s="41"/>
      <c r="I305" s="41"/>
      <c r="J305" s="41">
        <f t="shared" si="16"/>
        <v>0</v>
      </c>
      <c r="K305" s="41">
        <f t="shared" si="17"/>
        <v>0</v>
      </c>
      <c r="L305" s="41">
        <f t="shared" si="15"/>
        <v>0</v>
      </c>
      <c r="M305" s="41"/>
      <c r="N305" s="41"/>
      <c r="O305" s="41"/>
    </row>
    <row r="306" spans="1:15" hidden="1">
      <c r="A306" s="64">
        <v>298</v>
      </c>
      <c r="B306" s="102">
        <v>51227</v>
      </c>
      <c r="C306" s="41"/>
      <c r="D306" s="41"/>
      <c r="E306" s="41"/>
      <c r="F306" s="41"/>
      <c r="G306" s="41"/>
      <c r="H306" s="41"/>
      <c r="I306" s="41"/>
      <c r="J306" s="41">
        <f t="shared" si="16"/>
        <v>0</v>
      </c>
      <c r="K306" s="41">
        <f t="shared" si="17"/>
        <v>0</v>
      </c>
      <c r="L306" s="41">
        <f t="shared" si="15"/>
        <v>0</v>
      </c>
      <c r="M306" s="41"/>
      <c r="N306" s="41"/>
      <c r="O306" s="41"/>
    </row>
    <row r="307" spans="1:15" hidden="1">
      <c r="A307" s="64">
        <v>299</v>
      </c>
      <c r="B307" s="102">
        <v>51257</v>
      </c>
      <c r="C307" s="41"/>
      <c r="D307" s="41"/>
      <c r="E307" s="41"/>
      <c r="F307" s="41"/>
      <c r="G307" s="41"/>
      <c r="H307" s="41"/>
      <c r="I307" s="41"/>
      <c r="J307" s="41">
        <f t="shared" si="16"/>
        <v>0</v>
      </c>
      <c r="K307" s="41">
        <f t="shared" si="17"/>
        <v>0</v>
      </c>
      <c r="L307" s="41">
        <f t="shared" si="15"/>
        <v>0</v>
      </c>
      <c r="M307" s="41"/>
      <c r="N307" s="41"/>
      <c r="O307" s="41"/>
    </row>
    <row r="308" spans="1:15" hidden="1">
      <c r="A308" s="64">
        <v>300</v>
      </c>
      <c r="B308" s="102">
        <v>51288</v>
      </c>
      <c r="C308" s="41"/>
      <c r="D308" s="41"/>
      <c r="E308" s="41"/>
      <c r="F308" s="41"/>
      <c r="G308" s="41"/>
      <c r="H308" s="41"/>
      <c r="I308" s="41"/>
      <c r="J308" s="41">
        <f>SUM(C308:I308)</f>
        <v>0</v>
      </c>
      <c r="K308" s="41">
        <f t="shared" si="17"/>
        <v>0</v>
      </c>
      <c r="L308" s="41">
        <f t="shared" si="15"/>
        <v>0</v>
      </c>
      <c r="M308" s="41"/>
      <c r="N308" s="41"/>
      <c r="O308" s="41"/>
    </row>
    <row r="309" spans="1:15" ht="15.75" thickBot="1">
      <c r="B309" s="64" t="s">
        <v>62</v>
      </c>
      <c r="C309" s="41">
        <f>SUM(C7:C308)</f>
        <v>256509064.91000003</v>
      </c>
      <c r="D309" s="41">
        <f t="shared" ref="D309:J309" si="18">SUM(D7:D308)</f>
        <v>-30174473.339999985</v>
      </c>
      <c r="E309" s="41">
        <f t="shared" si="18"/>
        <v>3015785.4200000004</v>
      </c>
      <c r="F309" s="41">
        <f t="shared" si="18"/>
        <v>76576113.770000011</v>
      </c>
      <c r="G309" s="41">
        <f t="shared" si="18"/>
        <v>906532.34999999951</v>
      </c>
      <c r="H309" s="41">
        <f t="shared" si="18"/>
        <v>0</v>
      </c>
      <c r="I309" s="41">
        <f t="shared" si="18"/>
        <v>0</v>
      </c>
      <c r="J309" s="41">
        <f t="shared" si="18"/>
        <v>306833023.11000019</v>
      </c>
      <c r="K309" s="41"/>
      <c r="L309" s="41">
        <f>ROUND(K309*$N$39,0)</f>
        <v>0</v>
      </c>
      <c r="M309" s="41"/>
      <c r="N309" s="41"/>
      <c r="O309" s="41"/>
    </row>
    <row r="310" spans="1:15" ht="15" customHeight="1">
      <c r="C310" s="129" t="s">
        <v>113</v>
      </c>
      <c r="D310" s="129" t="s">
        <v>114</v>
      </c>
      <c r="E310" s="129" t="s">
        <v>111</v>
      </c>
      <c r="F310" s="129" t="s">
        <v>115</v>
      </c>
      <c r="G310" s="129" t="s">
        <v>112</v>
      </c>
      <c r="H310" s="129" t="s">
        <v>116</v>
      </c>
      <c r="I310" s="129" t="s">
        <v>117</v>
      </c>
    </row>
    <row r="311" spans="1:15">
      <c r="C311" s="130"/>
      <c r="D311" s="130"/>
      <c r="E311" s="130"/>
      <c r="F311" s="130"/>
      <c r="G311" s="130"/>
      <c r="H311" s="130"/>
      <c r="I311" s="130"/>
    </row>
    <row r="312" spans="1:15">
      <c r="C312" s="130"/>
      <c r="D312" s="130"/>
      <c r="E312" s="130"/>
      <c r="F312" s="130"/>
      <c r="G312" s="130"/>
      <c r="H312" s="130"/>
      <c r="I312" s="130"/>
    </row>
    <row r="313" spans="1:15">
      <c r="C313" s="130"/>
      <c r="D313" s="130"/>
      <c r="E313" s="130"/>
      <c r="F313" s="130"/>
      <c r="G313" s="130"/>
      <c r="H313" s="130"/>
      <c r="I313" s="130"/>
    </row>
    <row r="314" spans="1:15">
      <c r="C314" s="130"/>
      <c r="D314" s="130"/>
      <c r="E314" s="130"/>
      <c r="F314" s="130"/>
      <c r="G314" s="130"/>
      <c r="H314" s="130"/>
      <c r="I314" s="130"/>
    </row>
    <row r="315" spans="1:15">
      <c r="C315" s="130"/>
      <c r="D315" s="130"/>
      <c r="E315" s="130"/>
      <c r="F315" s="130"/>
      <c r="G315" s="130"/>
      <c r="H315" s="130"/>
      <c r="I315" s="130"/>
    </row>
    <row r="316" spans="1:15">
      <c r="C316" s="130"/>
      <c r="D316" s="130"/>
      <c r="E316" s="130"/>
      <c r="F316" s="130"/>
      <c r="G316" s="130"/>
      <c r="H316" s="130"/>
      <c r="I316" s="130"/>
    </row>
    <row r="317" spans="1:15">
      <c r="C317" s="130"/>
      <c r="D317" s="130"/>
      <c r="E317" s="130"/>
      <c r="F317" s="130"/>
      <c r="G317" s="130"/>
      <c r="H317" s="130"/>
      <c r="I317" s="130"/>
    </row>
    <row r="318" spans="1:15">
      <c r="C318" s="130"/>
      <c r="D318" s="130"/>
      <c r="E318" s="130"/>
      <c r="F318" s="130"/>
      <c r="G318" s="130"/>
      <c r="H318" s="130"/>
      <c r="I318" s="130"/>
    </row>
    <row r="319" spans="1:15">
      <c r="C319" s="130"/>
      <c r="D319" s="130"/>
      <c r="E319" s="130"/>
      <c r="F319" s="130"/>
      <c r="G319" s="130"/>
      <c r="H319" s="130"/>
      <c r="I319" s="130"/>
    </row>
    <row r="320" spans="1:15">
      <c r="C320" s="130"/>
      <c r="D320" s="130"/>
      <c r="E320" s="130"/>
      <c r="F320" s="130"/>
      <c r="G320" s="130"/>
      <c r="H320" s="130"/>
      <c r="I320" s="130"/>
    </row>
    <row r="321" spans="3:9" ht="62.25" customHeight="1" thickBot="1">
      <c r="C321" s="131"/>
      <c r="D321" s="131"/>
      <c r="E321" s="131"/>
      <c r="F321" s="131"/>
      <c r="G321" s="131"/>
      <c r="H321" s="131"/>
      <c r="I321" s="131"/>
    </row>
  </sheetData>
  <mergeCells count="7">
    <mergeCell ref="I310:I321"/>
    <mergeCell ref="C310:C321"/>
    <mergeCell ref="D310:D321"/>
    <mergeCell ref="E310:E321"/>
    <mergeCell ref="F310:F321"/>
    <mergeCell ref="G310:G321"/>
    <mergeCell ref="H310:H321"/>
  </mergeCells>
  <pageMargins left="0.7" right="0.7" top="0.75" bottom="0.75" header="0.3" footer="0.3"/>
  <pageSetup scale="4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3"/>
  <sheetViews>
    <sheetView zoomScale="80" zoomScaleNormal="80" workbookViewId="0">
      <pane xSplit="2" ySplit="7" topLeftCell="C26" activePane="bottomRight" state="frozen"/>
      <selection pane="topRight" activeCell="C1" sqref="C1"/>
      <selection pane="bottomLeft" activeCell="A8" sqref="A8"/>
      <selection pane="bottomRight" activeCell="L11" sqref="L11"/>
    </sheetView>
  </sheetViews>
  <sheetFormatPr defaultColWidth="9.140625" defaultRowHeight="15"/>
  <cols>
    <col min="1" max="1" width="6.42578125" style="64" bestFit="1" customWidth="1"/>
    <col min="2" max="2" width="31.5703125" style="64" bestFit="1" customWidth="1"/>
    <col min="3" max="3" width="17.28515625" style="64" bestFit="1" customWidth="1"/>
    <col min="4" max="4" width="2.7109375" style="64" customWidth="1"/>
    <col min="5" max="5" width="18" style="64" bestFit="1" customWidth="1"/>
    <col min="6" max="6" width="17.42578125" style="64" customWidth="1"/>
    <col min="7" max="7" width="19.5703125" style="64" customWidth="1"/>
    <col min="8" max="8" width="26.5703125" style="44" bestFit="1" customWidth="1"/>
    <col min="9" max="9" width="3" style="44" customWidth="1"/>
    <col min="10" max="10" width="25.140625" style="23" bestFit="1" customWidth="1"/>
    <col min="11" max="11" width="21" style="23" customWidth="1"/>
    <col min="12" max="12" width="23" style="64" customWidth="1"/>
    <col min="13" max="13" width="9.140625" style="64" hidden="1" customWidth="1"/>
    <col min="14" max="14" width="13.28515625" style="64" hidden="1" customWidth="1"/>
    <col min="15" max="15" width="14" style="64" hidden="1" customWidth="1"/>
    <col min="16" max="16" width="12.28515625" style="64" hidden="1" customWidth="1"/>
    <col min="17" max="17" width="11.5703125" style="64" hidden="1" customWidth="1"/>
    <col min="18" max="18" width="9.140625" style="64"/>
    <col min="19" max="19" width="16.7109375" style="64" bestFit="1" customWidth="1"/>
    <col min="20" max="16384" width="9.140625" style="64"/>
  </cols>
  <sheetData>
    <row r="1" spans="1:19">
      <c r="B1" s="64" t="s">
        <v>68</v>
      </c>
    </row>
    <row r="2" spans="1:19">
      <c r="B2" s="64" t="s">
        <v>58</v>
      </c>
      <c r="C2" s="49">
        <f>WACC!O19</f>
        <v>7.8799999999999995E-2</v>
      </c>
      <c r="D2" s="49"/>
      <c r="G2" s="50"/>
      <c r="H2" s="51"/>
      <c r="J2" s="23" t="s">
        <v>135</v>
      </c>
    </row>
    <row r="3" spans="1:19">
      <c r="B3" s="64" t="s">
        <v>63</v>
      </c>
      <c r="C3" s="49">
        <f>C2/12</f>
        <v>6.566666666666666E-3</v>
      </c>
      <c r="D3" s="49"/>
      <c r="E3" s="22">
        <f>C4*12</f>
        <v>23159633.127784546</v>
      </c>
      <c r="K3" s="116">
        <f>18*12</f>
        <v>216</v>
      </c>
      <c r="L3" s="100">
        <f>-K4/216</f>
        <v>160692.64948893784</v>
      </c>
    </row>
    <row r="4" spans="1:19">
      <c r="B4" s="64" t="s">
        <v>64</v>
      </c>
      <c r="C4" s="121">
        <v>1929969.4273153788</v>
      </c>
      <c r="D4" s="41"/>
      <c r="E4" s="64" t="s">
        <v>2</v>
      </c>
      <c r="K4" s="23">
        <v>-34709612.289610572</v>
      </c>
      <c r="L4" s="117" t="s">
        <v>159</v>
      </c>
    </row>
    <row r="5" spans="1:19">
      <c r="B5" s="64" t="s">
        <v>80</v>
      </c>
      <c r="C5" s="52">
        <v>0.98499999999999999</v>
      </c>
      <c r="D5" s="53"/>
      <c r="E5" s="132"/>
      <c r="F5" s="132"/>
      <c r="G5" s="132"/>
      <c r="H5" s="132"/>
      <c r="I5" s="103"/>
      <c r="J5" s="118"/>
      <c r="K5" s="118"/>
      <c r="L5" s="40"/>
    </row>
    <row r="6" spans="1:19" ht="30">
      <c r="A6" s="40" t="s">
        <v>1</v>
      </c>
      <c r="B6" s="40" t="s">
        <v>63</v>
      </c>
      <c r="C6" s="55" t="s">
        <v>125</v>
      </c>
      <c r="D6" s="55"/>
      <c r="E6" s="55" t="s">
        <v>59</v>
      </c>
      <c r="F6" s="55" t="s">
        <v>60</v>
      </c>
      <c r="G6" s="55" t="s">
        <v>126</v>
      </c>
      <c r="H6" s="55" t="s">
        <v>127</v>
      </c>
      <c r="I6" s="55"/>
      <c r="J6" s="119" t="s">
        <v>134</v>
      </c>
      <c r="K6" s="119" t="s">
        <v>139</v>
      </c>
      <c r="L6" s="55" t="s">
        <v>128</v>
      </c>
      <c r="N6" s="127" t="s">
        <v>105</v>
      </c>
      <c r="O6" s="127"/>
      <c r="P6" s="127"/>
      <c r="Q6" s="127"/>
    </row>
    <row r="7" spans="1:19" ht="15.75" hidden="1" thickBot="1">
      <c r="B7" s="42"/>
      <c r="C7" s="66"/>
      <c r="D7" s="66"/>
      <c r="I7" s="39"/>
      <c r="J7" s="23" t="s">
        <v>2</v>
      </c>
      <c r="L7" s="47"/>
      <c r="N7" s="16">
        <v>4073014</v>
      </c>
      <c r="O7" s="16">
        <v>1823517</v>
      </c>
      <c r="P7" s="16">
        <v>5060011</v>
      </c>
      <c r="Q7" s="16">
        <v>1823518</v>
      </c>
    </row>
    <row r="8" spans="1:19">
      <c r="A8" s="64">
        <v>25</v>
      </c>
      <c r="B8" s="21">
        <v>43646</v>
      </c>
      <c r="C8" s="47"/>
      <c r="D8" s="47"/>
      <c r="E8" s="41"/>
      <c r="F8" s="41"/>
      <c r="G8" s="41"/>
      <c r="H8" s="65"/>
      <c r="I8" s="65"/>
      <c r="J8" s="24">
        <f>Components!K16</f>
        <v>-60097056.969363116</v>
      </c>
      <c r="K8" s="120">
        <f>Components!K24</f>
        <v>-31817144.598809689</v>
      </c>
      <c r="L8" s="47">
        <f>Components!K27</f>
        <v>194262260.19069916</v>
      </c>
      <c r="S8" s="47"/>
    </row>
    <row r="9" spans="1:19">
      <c r="A9" s="64">
        <v>26</v>
      </c>
      <c r="B9" s="21">
        <v>43647</v>
      </c>
      <c r="C9" s="47">
        <f>L8</f>
        <v>194262260.19069916</v>
      </c>
      <c r="D9" s="47"/>
      <c r="E9" s="41">
        <v>0</v>
      </c>
      <c r="F9" s="41">
        <f>L8*$C$3</f>
        <v>1275655.5085855911</v>
      </c>
      <c r="G9" s="41">
        <f>C4</f>
        <v>1929969.4273153788</v>
      </c>
      <c r="H9" s="43">
        <f>E9+F9-G9</f>
        <v>-654313.91872978769</v>
      </c>
      <c r="I9" s="65"/>
      <c r="J9" s="24">
        <f>-H9*0.21</f>
        <v>137405.92293325541</v>
      </c>
      <c r="K9" s="24">
        <f t="shared" ref="K9:K67" si="0">$L$3</f>
        <v>160692.64948893784</v>
      </c>
      <c r="L9" s="47">
        <f>C9+E9+F9-G9+J9+K9</f>
        <v>193906044.84439155</v>
      </c>
    </row>
    <row r="10" spans="1:19">
      <c r="A10" s="64">
        <v>39</v>
      </c>
      <c r="B10" s="21">
        <v>43678</v>
      </c>
      <c r="C10" s="47">
        <f>L9</f>
        <v>193906044.84439155</v>
      </c>
      <c r="D10" s="47"/>
      <c r="E10" s="41">
        <v>0</v>
      </c>
      <c r="F10" s="41">
        <f>L9*$C$3</f>
        <v>1273316.3611448377</v>
      </c>
      <c r="G10" s="41">
        <f>G9</f>
        <v>1929969.4273153788</v>
      </c>
      <c r="H10" s="43">
        <f>E10+F10-G10</f>
        <v>-656653.0661705411</v>
      </c>
      <c r="I10" s="65"/>
      <c r="J10" s="24">
        <f>-H10*0.21</f>
        <v>137897.14389581361</v>
      </c>
      <c r="K10" s="69">
        <f t="shared" si="0"/>
        <v>160692.64948893784</v>
      </c>
      <c r="L10" s="47">
        <f>C10+E10+F10-G10+J10+K10</f>
        <v>193547981.57160574</v>
      </c>
    </row>
    <row r="11" spans="1:19">
      <c r="A11" s="64">
        <v>40</v>
      </c>
      <c r="B11" s="21">
        <v>43709</v>
      </c>
      <c r="C11" s="47">
        <f t="shared" ref="C11:C61" si="1">L10</f>
        <v>193547981.57160574</v>
      </c>
      <c r="D11" s="47"/>
      <c r="E11" s="41">
        <v>0</v>
      </c>
      <c r="F11" s="41">
        <f t="shared" ref="F11:F74" si="2">L10*$C$3</f>
        <v>1270965.0789868776</v>
      </c>
      <c r="G11" s="41">
        <f t="shared" ref="G11:G62" si="3">G10</f>
        <v>1929969.4273153788</v>
      </c>
      <c r="H11" s="65">
        <f t="shared" ref="H11:H61" si="4">E11+F11-G11</f>
        <v>-659004.34832850122</v>
      </c>
      <c r="I11" s="65"/>
      <c r="J11" s="24">
        <f t="shared" ref="J11:J62" si="5">-H11*0.21</f>
        <v>138390.91314898524</v>
      </c>
      <c r="K11" s="69">
        <f t="shared" si="0"/>
        <v>160692.64948893784</v>
      </c>
      <c r="L11" s="47">
        <f t="shared" ref="L11:L61" si="6">C11+E11+F11-G11+J11+K11</f>
        <v>193188060.78591517</v>
      </c>
    </row>
    <row r="12" spans="1:19">
      <c r="A12" s="64">
        <v>41</v>
      </c>
      <c r="B12" s="21">
        <v>43739</v>
      </c>
      <c r="C12" s="47">
        <f t="shared" si="1"/>
        <v>193188060.78591517</v>
      </c>
      <c r="D12" s="47"/>
      <c r="E12" s="41">
        <v>0</v>
      </c>
      <c r="F12" s="41">
        <f t="shared" si="2"/>
        <v>1268601.5991608428</v>
      </c>
      <c r="G12" s="41">
        <f t="shared" si="3"/>
        <v>1929969.4273153788</v>
      </c>
      <c r="H12" s="43">
        <f>E12+F12-G12</f>
        <v>-661367.82815453596</v>
      </c>
      <c r="I12" s="65"/>
      <c r="J12" s="24">
        <f t="shared" si="5"/>
        <v>138887.24391245254</v>
      </c>
      <c r="K12" s="69">
        <f t="shared" si="0"/>
        <v>160692.64948893784</v>
      </c>
      <c r="L12" s="47">
        <f t="shared" si="6"/>
        <v>192826272.85116202</v>
      </c>
    </row>
    <row r="13" spans="1:19">
      <c r="A13" s="64">
        <v>42</v>
      </c>
      <c r="B13" s="21">
        <v>43770</v>
      </c>
      <c r="C13" s="47">
        <f t="shared" si="1"/>
        <v>192826272.85116202</v>
      </c>
      <c r="D13" s="47"/>
      <c r="E13" s="41">
        <v>0</v>
      </c>
      <c r="F13" s="41">
        <f t="shared" si="2"/>
        <v>1266225.858389297</v>
      </c>
      <c r="G13" s="41">
        <f t="shared" si="3"/>
        <v>1929969.4273153788</v>
      </c>
      <c r="H13" s="65">
        <f t="shared" si="4"/>
        <v>-663743.56892608176</v>
      </c>
      <c r="I13" s="65"/>
      <c r="J13" s="24">
        <f>-H13*0.21</f>
        <v>139386.14947447716</v>
      </c>
      <c r="K13" s="69">
        <f t="shared" si="0"/>
        <v>160692.64948893784</v>
      </c>
      <c r="L13" s="47">
        <f t="shared" si="6"/>
        <v>192462608.08119932</v>
      </c>
    </row>
    <row r="14" spans="1:19">
      <c r="A14" s="64">
        <v>43</v>
      </c>
      <c r="B14" s="21">
        <v>43800</v>
      </c>
      <c r="C14" s="47">
        <f t="shared" si="1"/>
        <v>192462608.08119932</v>
      </c>
      <c r="D14" s="47"/>
      <c r="E14" s="41">
        <v>0</v>
      </c>
      <c r="F14" s="41">
        <f t="shared" si="2"/>
        <v>1263837.7930665421</v>
      </c>
      <c r="G14" s="41">
        <f>G13</f>
        <v>1929969.4273153788</v>
      </c>
      <c r="H14" s="65">
        <f t="shared" si="4"/>
        <v>-666131.63424883666</v>
      </c>
      <c r="I14" s="65"/>
      <c r="J14" s="24">
        <f t="shared" si="5"/>
        <v>139887.64319225569</v>
      </c>
      <c r="K14" s="69">
        <f t="shared" si="0"/>
        <v>160692.64948893784</v>
      </c>
      <c r="L14" s="47">
        <f t="shared" si="6"/>
        <v>192097056.73963165</v>
      </c>
    </row>
    <row r="15" spans="1:19">
      <c r="A15" s="64">
        <v>44</v>
      </c>
      <c r="B15" s="21">
        <v>43831</v>
      </c>
      <c r="C15" s="47">
        <f t="shared" si="1"/>
        <v>192097056.73963165</v>
      </c>
      <c r="D15" s="47"/>
      <c r="E15" s="41">
        <v>0</v>
      </c>
      <c r="F15" s="41">
        <f t="shared" si="2"/>
        <v>1261437.3392569143</v>
      </c>
      <c r="G15" s="41">
        <f t="shared" si="3"/>
        <v>1929969.4273153788</v>
      </c>
      <c r="H15" s="65">
        <f t="shared" si="4"/>
        <v>-668532.08805846446</v>
      </c>
      <c r="I15" s="65"/>
      <c r="J15" s="24">
        <f t="shared" si="5"/>
        <v>140391.73849227754</v>
      </c>
      <c r="K15" s="69">
        <f t="shared" si="0"/>
        <v>160692.64948893784</v>
      </c>
      <c r="L15" s="47">
        <f t="shared" si="6"/>
        <v>191729609.03955439</v>
      </c>
    </row>
    <row r="16" spans="1:19">
      <c r="A16" s="64">
        <v>45</v>
      </c>
      <c r="B16" s="21">
        <v>43862</v>
      </c>
      <c r="C16" s="47">
        <f t="shared" si="1"/>
        <v>191729609.03955439</v>
      </c>
      <c r="D16" s="47"/>
      <c r="E16" s="41">
        <v>0</v>
      </c>
      <c r="F16" s="41">
        <f t="shared" si="2"/>
        <v>1259024.4326930738</v>
      </c>
      <c r="G16" s="41">
        <f t="shared" si="3"/>
        <v>1929969.4273153788</v>
      </c>
      <c r="H16" s="65">
        <f t="shared" si="4"/>
        <v>-670944.99462230504</v>
      </c>
      <c r="I16" s="65"/>
      <c r="J16" s="24">
        <f t="shared" si="5"/>
        <v>140898.44887068405</v>
      </c>
      <c r="K16" s="69">
        <f t="shared" si="0"/>
        <v>160692.64948893784</v>
      </c>
      <c r="L16" s="47">
        <f t="shared" si="6"/>
        <v>191360255.14329168</v>
      </c>
    </row>
    <row r="17" spans="1:12">
      <c r="A17" s="64">
        <v>46</v>
      </c>
      <c r="B17" s="21">
        <v>43891</v>
      </c>
      <c r="C17" s="47">
        <f t="shared" si="1"/>
        <v>191360255.14329168</v>
      </c>
      <c r="D17" s="47"/>
      <c r="E17" s="41">
        <v>0</v>
      </c>
      <c r="F17" s="41">
        <f t="shared" si="2"/>
        <v>1256599.0087742819</v>
      </c>
      <c r="G17" s="41">
        <f t="shared" si="3"/>
        <v>1929969.4273153788</v>
      </c>
      <c r="H17" s="65">
        <f t="shared" si="4"/>
        <v>-673370.41854109685</v>
      </c>
      <c r="I17" s="65"/>
      <c r="J17" s="24">
        <f t="shared" si="5"/>
        <v>141407.78789363033</v>
      </c>
      <c r="K17" s="69">
        <f t="shared" si="0"/>
        <v>160692.64948893784</v>
      </c>
      <c r="L17" s="47">
        <f t="shared" si="6"/>
        <v>190988985.16213313</v>
      </c>
    </row>
    <row r="18" spans="1:12">
      <c r="A18" s="64">
        <v>47</v>
      </c>
      <c r="B18" s="21">
        <v>43922</v>
      </c>
      <c r="C18" s="47">
        <f t="shared" si="1"/>
        <v>190988985.16213313</v>
      </c>
      <c r="D18" s="47"/>
      <c r="E18" s="41">
        <v>0</v>
      </c>
      <c r="F18" s="41">
        <f t="shared" si="2"/>
        <v>1254161.002564674</v>
      </c>
      <c r="G18" s="41">
        <f t="shared" si="3"/>
        <v>1929969.4273153788</v>
      </c>
      <c r="H18" s="65">
        <f t="shared" si="4"/>
        <v>-675808.42475070478</v>
      </c>
      <c r="I18" s="65"/>
      <c r="J18" s="24">
        <f t="shared" si="5"/>
        <v>141919.76919764801</v>
      </c>
      <c r="K18" s="69">
        <f t="shared" si="0"/>
        <v>160692.64948893784</v>
      </c>
      <c r="L18" s="47">
        <f t="shared" si="6"/>
        <v>190615789.15606898</v>
      </c>
    </row>
    <row r="19" spans="1:12">
      <c r="A19" s="64">
        <v>48</v>
      </c>
      <c r="B19" s="21">
        <v>43952</v>
      </c>
      <c r="C19" s="47">
        <f t="shared" si="1"/>
        <v>190615789.15606898</v>
      </c>
      <c r="D19" s="47"/>
      <c r="E19" s="41">
        <v>0</v>
      </c>
      <c r="F19" s="41">
        <f t="shared" si="2"/>
        <v>1251710.3487915194</v>
      </c>
      <c r="G19" s="41">
        <f t="shared" si="3"/>
        <v>1929969.4273153788</v>
      </c>
      <c r="H19" s="65">
        <f t="shared" si="4"/>
        <v>-678259.07852385938</v>
      </c>
      <c r="I19" s="65"/>
      <c r="J19" s="24">
        <f t="shared" si="5"/>
        <v>142434.40649001047</v>
      </c>
      <c r="K19" s="69">
        <f t="shared" si="0"/>
        <v>160692.64948893784</v>
      </c>
      <c r="L19" s="47">
        <f t="shared" si="6"/>
        <v>190240657.13352403</v>
      </c>
    </row>
    <row r="20" spans="1:12">
      <c r="A20" s="64">
        <v>49</v>
      </c>
      <c r="B20" s="21">
        <v>43983</v>
      </c>
      <c r="C20" s="47">
        <f t="shared" si="1"/>
        <v>190240657.13352403</v>
      </c>
      <c r="D20" s="47"/>
      <c r="E20" s="41">
        <v>0</v>
      </c>
      <c r="F20" s="41">
        <f t="shared" si="2"/>
        <v>1249246.9818434743</v>
      </c>
      <c r="G20" s="41">
        <f t="shared" si="3"/>
        <v>1929969.4273153788</v>
      </c>
      <c r="H20" s="65">
        <f t="shared" si="4"/>
        <v>-680722.44547190447</v>
      </c>
      <c r="I20" s="65"/>
      <c r="J20" s="24">
        <f t="shared" si="5"/>
        <v>142951.71354909992</v>
      </c>
      <c r="K20" s="69">
        <f t="shared" si="0"/>
        <v>160692.64948893784</v>
      </c>
      <c r="L20" s="47">
        <f t="shared" si="6"/>
        <v>189863579.05109015</v>
      </c>
    </row>
    <row r="21" spans="1:12">
      <c r="A21" s="64">
        <v>50</v>
      </c>
      <c r="B21" s="21">
        <v>44013</v>
      </c>
      <c r="C21" s="47">
        <f t="shared" si="1"/>
        <v>189863579.05109015</v>
      </c>
      <c r="D21" s="47"/>
      <c r="E21" s="41">
        <f>Additions!J57*$C$5</f>
        <v>0</v>
      </c>
      <c r="F21" s="41">
        <f t="shared" si="2"/>
        <v>1246770.8357688251</v>
      </c>
      <c r="G21" s="41">
        <f t="shared" si="3"/>
        <v>1929969.4273153788</v>
      </c>
      <c r="H21" s="65">
        <f t="shared" si="4"/>
        <v>-683198.59154655365</v>
      </c>
      <c r="I21" s="65"/>
      <c r="J21" s="24">
        <f t="shared" si="5"/>
        <v>143471.70422477627</v>
      </c>
      <c r="K21" s="69">
        <f t="shared" si="0"/>
        <v>160692.64948893784</v>
      </c>
      <c r="L21" s="47">
        <f t="shared" si="6"/>
        <v>189484544.81325728</v>
      </c>
    </row>
    <row r="22" spans="1:12">
      <c r="A22" s="64">
        <v>51</v>
      </c>
      <c r="B22" s="21">
        <v>44044</v>
      </c>
      <c r="C22" s="47">
        <f t="shared" si="1"/>
        <v>189484544.81325728</v>
      </c>
      <c r="D22" s="47"/>
      <c r="E22" s="41">
        <f>Additions!J58*$C$5</f>
        <v>0</v>
      </c>
      <c r="F22" s="41">
        <f t="shared" si="2"/>
        <v>1244281.8442737227</v>
      </c>
      <c r="G22" s="41">
        <f t="shared" si="3"/>
        <v>1929969.4273153788</v>
      </c>
      <c r="H22" s="65">
        <f t="shared" si="4"/>
        <v>-685687.58304165606</v>
      </c>
      <c r="I22" s="65"/>
      <c r="J22" s="24">
        <f t="shared" si="5"/>
        <v>143994.39243874777</v>
      </c>
      <c r="K22" s="69">
        <f t="shared" si="0"/>
        <v>160692.64948893784</v>
      </c>
      <c r="L22" s="47">
        <f t="shared" si="6"/>
        <v>189103544.27214327</v>
      </c>
    </row>
    <row r="23" spans="1:12">
      <c r="A23" s="64">
        <v>52</v>
      </c>
      <c r="B23" s="21">
        <v>44075</v>
      </c>
      <c r="C23" s="47">
        <f t="shared" si="1"/>
        <v>189103544.27214327</v>
      </c>
      <c r="D23" s="47"/>
      <c r="E23" s="41">
        <f>Additions!J59*$C$5</f>
        <v>0</v>
      </c>
      <c r="F23" s="41">
        <f t="shared" si="2"/>
        <v>1241779.9407204073</v>
      </c>
      <c r="G23" s="41">
        <f t="shared" si="3"/>
        <v>1929969.4273153788</v>
      </c>
      <c r="H23" s="65">
        <f t="shared" si="4"/>
        <v>-688189.4865949715</v>
      </c>
      <c r="I23" s="65"/>
      <c r="J23" s="24">
        <f t="shared" si="5"/>
        <v>144519.792184944</v>
      </c>
      <c r="K23" s="69">
        <f t="shared" si="0"/>
        <v>160692.64948893784</v>
      </c>
      <c r="L23" s="47">
        <f t="shared" si="6"/>
        <v>188720567.22722217</v>
      </c>
    </row>
    <row r="24" spans="1:12">
      <c r="A24" s="64">
        <v>53</v>
      </c>
      <c r="B24" s="21">
        <v>44105</v>
      </c>
      <c r="C24" s="47">
        <f t="shared" si="1"/>
        <v>188720567.22722217</v>
      </c>
      <c r="D24" s="47"/>
      <c r="E24" s="41">
        <f>Additions!J60*$C$5</f>
        <v>0</v>
      </c>
      <c r="F24" s="41">
        <f t="shared" si="2"/>
        <v>1239265.0581254256</v>
      </c>
      <c r="G24" s="41">
        <f t="shared" si="3"/>
        <v>1929969.4273153788</v>
      </c>
      <c r="H24" s="65">
        <f t="shared" si="4"/>
        <v>-690704.3691899532</v>
      </c>
      <c r="I24" s="65"/>
      <c r="J24" s="24">
        <f t="shared" si="5"/>
        <v>145047.91752989017</v>
      </c>
      <c r="K24" s="69">
        <f t="shared" si="0"/>
        <v>160692.64948893784</v>
      </c>
      <c r="L24" s="47">
        <f t="shared" si="6"/>
        <v>188335603.42505103</v>
      </c>
    </row>
    <row r="25" spans="1:12">
      <c r="A25" s="64">
        <v>54</v>
      </c>
      <c r="B25" s="21">
        <v>44136</v>
      </c>
      <c r="C25" s="47">
        <f t="shared" si="1"/>
        <v>188335603.42505103</v>
      </c>
      <c r="D25" s="47"/>
      <c r="E25" s="41">
        <f>Additions!J61*$C$5</f>
        <v>0</v>
      </c>
      <c r="F25" s="41">
        <f t="shared" si="2"/>
        <v>1236737.1291578349</v>
      </c>
      <c r="G25" s="41">
        <f t="shared" si="3"/>
        <v>1929969.4273153788</v>
      </c>
      <c r="H25" s="65">
        <f t="shared" si="4"/>
        <v>-693232.29815754388</v>
      </c>
      <c r="I25" s="65"/>
      <c r="J25" s="24">
        <f t="shared" si="5"/>
        <v>145578.78261308421</v>
      </c>
      <c r="K25" s="69">
        <f t="shared" si="0"/>
        <v>160692.64948893784</v>
      </c>
      <c r="L25" s="47">
        <f t="shared" si="6"/>
        <v>187948642.55899552</v>
      </c>
    </row>
    <row r="26" spans="1:12">
      <c r="A26" s="64">
        <v>55</v>
      </c>
      <c r="B26" s="21">
        <v>44166</v>
      </c>
      <c r="C26" s="47">
        <f t="shared" si="1"/>
        <v>187948642.55899552</v>
      </c>
      <c r="D26" s="47"/>
      <c r="E26" s="41">
        <f>Additions!J62*$C$5</f>
        <v>0</v>
      </c>
      <c r="F26" s="41">
        <f t="shared" si="2"/>
        <v>1234196.0861374037</v>
      </c>
      <c r="G26" s="41">
        <f t="shared" si="3"/>
        <v>1929969.4273153788</v>
      </c>
      <c r="H26" s="65">
        <f t="shared" si="4"/>
        <v>-695773.34117797506</v>
      </c>
      <c r="I26" s="65"/>
      <c r="J26" s="24">
        <f t="shared" si="5"/>
        <v>146112.40164737476</v>
      </c>
      <c r="K26" s="69">
        <f t="shared" si="0"/>
        <v>160692.64948893784</v>
      </c>
      <c r="L26" s="47">
        <f t="shared" si="6"/>
        <v>187559674.26895386</v>
      </c>
    </row>
    <row r="27" spans="1:12">
      <c r="A27" s="64">
        <v>56</v>
      </c>
      <c r="B27" s="21">
        <v>44197</v>
      </c>
      <c r="C27" s="47">
        <f t="shared" si="1"/>
        <v>187559674.26895386</v>
      </c>
      <c r="D27" s="47"/>
      <c r="E27" s="41">
        <f>Additions!J63*$C$5</f>
        <v>0</v>
      </c>
      <c r="F27" s="41">
        <f t="shared" si="2"/>
        <v>1231641.8610327968</v>
      </c>
      <c r="G27" s="41">
        <f t="shared" si="3"/>
        <v>1929969.4273153788</v>
      </c>
      <c r="H27" s="65">
        <f t="shared" si="4"/>
        <v>-698327.566282582</v>
      </c>
      <c r="I27" s="65"/>
      <c r="J27" s="24">
        <f t="shared" si="5"/>
        <v>146648.78891934222</v>
      </c>
      <c r="K27" s="69">
        <f t="shared" si="0"/>
        <v>160692.64948893784</v>
      </c>
      <c r="L27" s="47">
        <f t="shared" si="6"/>
        <v>187168688.14107952</v>
      </c>
    </row>
    <row r="28" spans="1:12">
      <c r="A28" s="64">
        <v>57</v>
      </c>
      <c r="B28" s="21">
        <v>44228</v>
      </c>
      <c r="C28" s="47">
        <f t="shared" si="1"/>
        <v>187168688.14107952</v>
      </c>
      <c r="D28" s="47"/>
      <c r="E28" s="41">
        <f>Additions!J64*$C$5</f>
        <v>0</v>
      </c>
      <c r="F28" s="41">
        <f t="shared" si="2"/>
        <v>1229074.3854597553</v>
      </c>
      <c r="G28" s="41">
        <f t="shared" si="3"/>
        <v>1929969.4273153788</v>
      </c>
      <c r="H28" s="65">
        <f t="shared" si="4"/>
        <v>-700895.04185562348</v>
      </c>
      <c r="I28" s="65"/>
      <c r="J28" s="24">
        <f t="shared" si="5"/>
        <v>147187.95878968094</v>
      </c>
      <c r="K28" s="69">
        <f t="shared" si="0"/>
        <v>160692.64948893784</v>
      </c>
      <c r="L28" s="47">
        <f t="shared" si="6"/>
        <v>186775673.70750248</v>
      </c>
    </row>
    <row r="29" spans="1:12">
      <c r="A29" s="64">
        <v>58</v>
      </c>
      <c r="B29" s="21">
        <v>44256</v>
      </c>
      <c r="C29" s="47">
        <f t="shared" si="1"/>
        <v>186775673.70750248</v>
      </c>
      <c r="D29" s="47"/>
      <c r="E29" s="41">
        <f>Additions!J65*$C$5</f>
        <v>0</v>
      </c>
      <c r="F29" s="41">
        <f t="shared" si="2"/>
        <v>1226493.5906792663</v>
      </c>
      <c r="G29" s="41">
        <f t="shared" si="3"/>
        <v>1929969.4273153788</v>
      </c>
      <c r="H29" s="65">
        <f t="shared" si="4"/>
        <v>-703475.83663611254</v>
      </c>
      <c r="I29" s="65"/>
      <c r="J29" s="24">
        <f t="shared" si="5"/>
        <v>147729.92569358362</v>
      </c>
      <c r="K29" s="69">
        <f t="shared" si="0"/>
        <v>160692.64948893784</v>
      </c>
      <c r="L29" s="47">
        <f t="shared" si="6"/>
        <v>186380620.44604886</v>
      </c>
    </row>
    <row r="30" spans="1:12">
      <c r="A30" s="64">
        <v>59</v>
      </c>
      <c r="B30" s="21">
        <v>44287</v>
      </c>
      <c r="C30" s="47">
        <f t="shared" si="1"/>
        <v>186380620.44604886</v>
      </c>
      <c r="D30" s="47"/>
      <c r="E30" s="41">
        <f>Additions!J66*$C$5</f>
        <v>0</v>
      </c>
      <c r="F30" s="41">
        <f t="shared" si="2"/>
        <v>1223899.4075957206</v>
      </c>
      <c r="G30" s="41">
        <f t="shared" si="3"/>
        <v>1929969.4273153788</v>
      </c>
      <c r="H30" s="65">
        <f t="shared" si="4"/>
        <v>-706070.01971965819</v>
      </c>
      <c r="I30" s="65"/>
      <c r="J30" s="24">
        <f t="shared" si="5"/>
        <v>148274.70414112823</v>
      </c>
      <c r="K30" s="69">
        <f t="shared" si="0"/>
        <v>160692.64948893784</v>
      </c>
      <c r="L30" s="47">
        <f t="shared" si="6"/>
        <v>185983517.77995926</v>
      </c>
    </row>
    <row r="31" spans="1:12">
      <c r="A31" s="64">
        <v>60</v>
      </c>
      <c r="B31" s="21">
        <v>44317</v>
      </c>
      <c r="C31" s="47">
        <f t="shared" si="1"/>
        <v>185983517.77995926</v>
      </c>
      <c r="D31" s="47"/>
      <c r="E31" s="41">
        <f>Additions!J67*$C$5</f>
        <v>0</v>
      </c>
      <c r="F31" s="41">
        <f t="shared" si="2"/>
        <v>1221291.7667550656</v>
      </c>
      <c r="G31" s="41">
        <f t="shared" si="3"/>
        <v>1929969.4273153788</v>
      </c>
      <c r="H31" s="65">
        <f t="shared" si="4"/>
        <v>-708677.66056031315</v>
      </c>
      <c r="I31" s="65"/>
      <c r="J31" s="24">
        <f t="shared" si="5"/>
        <v>148822.30871766576</v>
      </c>
      <c r="K31" s="69">
        <f t="shared" si="0"/>
        <v>160692.64948893784</v>
      </c>
      <c r="L31" s="47">
        <f t="shared" si="6"/>
        <v>185584355.07760555</v>
      </c>
    </row>
    <row r="32" spans="1:12">
      <c r="A32" s="64">
        <v>61</v>
      </c>
      <c r="B32" s="21">
        <v>44348</v>
      </c>
      <c r="C32" s="47">
        <f t="shared" si="1"/>
        <v>185584355.07760555</v>
      </c>
      <c r="D32" s="47"/>
      <c r="E32" s="41">
        <f>Additions!J68*$C$5</f>
        <v>0</v>
      </c>
      <c r="F32" s="41">
        <f t="shared" si="2"/>
        <v>1218670.598342943</v>
      </c>
      <c r="G32" s="41">
        <f t="shared" si="3"/>
        <v>1929969.4273153788</v>
      </c>
      <c r="H32" s="65">
        <f t="shared" si="4"/>
        <v>-711298.82897243579</v>
      </c>
      <c r="I32" s="65"/>
      <c r="J32" s="24">
        <f t="shared" si="5"/>
        <v>149372.75408421151</v>
      </c>
      <c r="K32" s="69">
        <f t="shared" si="0"/>
        <v>160692.64948893784</v>
      </c>
      <c r="L32" s="47">
        <f t="shared" si="6"/>
        <v>185183121.65220624</v>
      </c>
    </row>
    <row r="33" spans="1:12">
      <c r="A33" s="64">
        <v>62</v>
      </c>
      <c r="B33" s="21">
        <v>44378</v>
      </c>
      <c r="C33" s="47">
        <f t="shared" si="1"/>
        <v>185183121.65220624</v>
      </c>
      <c r="D33" s="47"/>
      <c r="E33" s="41">
        <f>Additions!J69*$C$5</f>
        <v>0</v>
      </c>
      <c r="F33" s="41">
        <f t="shared" si="2"/>
        <v>1216035.8321828209</v>
      </c>
      <c r="G33" s="41">
        <f t="shared" si="3"/>
        <v>1929969.4273153788</v>
      </c>
      <c r="H33" s="65">
        <f t="shared" si="4"/>
        <v>-713933.59513255791</v>
      </c>
      <c r="I33" s="65"/>
      <c r="J33" s="24">
        <f t="shared" si="5"/>
        <v>149926.05497783716</v>
      </c>
      <c r="K33" s="69">
        <f t="shared" si="0"/>
        <v>160692.64948893784</v>
      </c>
      <c r="L33" s="47">
        <f t="shared" si="6"/>
        <v>184779806.76154044</v>
      </c>
    </row>
    <row r="34" spans="1:12">
      <c r="A34" s="64">
        <v>63</v>
      </c>
      <c r="B34" s="21">
        <v>44409</v>
      </c>
      <c r="C34" s="47">
        <f t="shared" si="1"/>
        <v>184779806.76154044</v>
      </c>
      <c r="D34" s="47"/>
      <c r="E34" s="41">
        <f>Additions!J70*$C$5</f>
        <v>0</v>
      </c>
      <c r="F34" s="41">
        <f t="shared" si="2"/>
        <v>1213387.3977341154</v>
      </c>
      <c r="G34" s="41">
        <f t="shared" si="3"/>
        <v>1929969.4273153788</v>
      </c>
      <c r="H34" s="65">
        <f t="shared" si="4"/>
        <v>-716582.02958126343</v>
      </c>
      <c r="I34" s="65"/>
      <c r="J34" s="24">
        <f t="shared" si="5"/>
        <v>150482.22621206532</v>
      </c>
      <c r="K34" s="69">
        <f t="shared" si="0"/>
        <v>160692.64948893784</v>
      </c>
      <c r="L34" s="47">
        <f t="shared" si="6"/>
        <v>184374399.60766014</v>
      </c>
    </row>
    <row r="35" spans="1:12">
      <c r="A35" s="64">
        <v>64</v>
      </c>
      <c r="B35" s="21">
        <v>44440</v>
      </c>
      <c r="C35" s="47">
        <f t="shared" si="1"/>
        <v>184374399.60766014</v>
      </c>
      <c r="D35" s="47"/>
      <c r="E35" s="41">
        <f>Additions!J71*$C$5</f>
        <v>0</v>
      </c>
      <c r="F35" s="41">
        <f t="shared" si="2"/>
        <v>1210725.2240903014</v>
      </c>
      <c r="G35" s="41">
        <f t="shared" si="3"/>
        <v>1929969.4273153788</v>
      </c>
      <c r="H35" s="65">
        <f t="shared" si="4"/>
        <v>-719244.20322507736</v>
      </c>
      <c r="I35" s="65"/>
      <c r="J35" s="24">
        <f t="shared" si="5"/>
        <v>151041.28267726625</v>
      </c>
      <c r="K35" s="69">
        <f t="shared" si="0"/>
        <v>160692.64948893784</v>
      </c>
      <c r="L35" s="47">
        <f t="shared" si="6"/>
        <v>183966889.33660126</v>
      </c>
    </row>
    <row r="36" spans="1:12">
      <c r="A36" s="64">
        <v>65</v>
      </c>
      <c r="B36" s="21">
        <v>44470</v>
      </c>
      <c r="C36" s="47">
        <f t="shared" si="1"/>
        <v>183966889.33660126</v>
      </c>
      <c r="D36" s="47"/>
      <c r="E36" s="41">
        <f>Additions!J72*$C$5</f>
        <v>0</v>
      </c>
      <c r="F36" s="41">
        <f t="shared" si="2"/>
        <v>1208049.2399770147</v>
      </c>
      <c r="G36" s="41">
        <f t="shared" si="3"/>
        <v>1929969.4273153788</v>
      </c>
      <c r="H36" s="65">
        <f t="shared" si="4"/>
        <v>-721920.18733836408</v>
      </c>
      <c r="I36" s="65"/>
      <c r="J36" s="24">
        <f t="shared" si="5"/>
        <v>151603.23934105644</v>
      </c>
      <c r="K36" s="69">
        <f t="shared" si="0"/>
        <v>160692.64948893784</v>
      </c>
      <c r="L36" s="47">
        <f t="shared" si="6"/>
        <v>183557265.03809285</v>
      </c>
    </row>
    <row r="37" spans="1:12">
      <c r="A37" s="64">
        <v>66</v>
      </c>
      <c r="B37" s="21">
        <v>44501</v>
      </c>
      <c r="C37" s="47">
        <f t="shared" si="1"/>
        <v>183557265.03809285</v>
      </c>
      <c r="D37" s="47"/>
      <c r="E37" s="41">
        <f>Additions!J73*$C$5</f>
        <v>0</v>
      </c>
      <c r="F37" s="41">
        <f t="shared" si="2"/>
        <v>1205359.373750143</v>
      </c>
      <c r="G37" s="41">
        <f t="shared" si="3"/>
        <v>1929969.4273153788</v>
      </c>
      <c r="H37" s="65">
        <f t="shared" si="4"/>
        <v>-724610.05356523581</v>
      </c>
      <c r="I37" s="65"/>
      <c r="J37" s="24">
        <f t="shared" si="5"/>
        <v>152168.11124869951</v>
      </c>
      <c r="K37" s="69">
        <f t="shared" si="0"/>
        <v>160692.64948893784</v>
      </c>
      <c r="L37" s="47">
        <f t="shared" si="6"/>
        <v>183145515.74526525</v>
      </c>
    </row>
    <row r="38" spans="1:12">
      <c r="A38" s="64">
        <v>67</v>
      </c>
      <c r="B38" s="21">
        <v>44531</v>
      </c>
      <c r="C38" s="47">
        <f t="shared" si="1"/>
        <v>183145515.74526525</v>
      </c>
      <c r="D38" s="47"/>
      <c r="E38" s="41">
        <f>Additions!J74*$C$5</f>
        <v>0</v>
      </c>
      <c r="F38" s="41">
        <f t="shared" si="2"/>
        <v>1202655.5533939083</v>
      </c>
      <c r="G38" s="41">
        <f t="shared" si="3"/>
        <v>1929969.4273153788</v>
      </c>
      <c r="H38" s="65">
        <f t="shared" si="4"/>
        <v>-727313.87392147048</v>
      </c>
      <c r="I38" s="65"/>
      <c r="J38" s="24">
        <f t="shared" si="5"/>
        <v>152735.91352350879</v>
      </c>
      <c r="K38" s="69">
        <f t="shared" si="0"/>
        <v>160692.64948893784</v>
      </c>
      <c r="L38" s="47">
        <f t="shared" si="6"/>
        <v>182731630.43435618</v>
      </c>
    </row>
    <row r="39" spans="1:12">
      <c r="A39" s="64">
        <v>68</v>
      </c>
      <c r="B39" s="21">
        <v>44562</v>
      </c>
      <c r="C39" s="47">
        <f t="shared" si="1"/>
        <v>182731630.43435618</v>
      </c>
      <c r="D39" s="47"/>
      <c r="E39" s="41">
        <f>Additions!J75*$C$5</f>
        <v>0</v>
      </c>
      <c r="F39" s="41">
        <f t="shared" si="2"/>
        <v>1199937.7065189388</v>
      </c>
      <c r="G39" s="41">
        <f t="shared" si="3"/>
        <v>1929969.4273153788</v>
      </c>
      <c r="H39" s="65">
        <f t="shared" si="4"/>
        <v>-730031.72079644003</v>
      </c>
      <c r="I39" s="65"/>
      <c r="J39" s="24">
        <f t="shared" si="5"/>
        <v>153306.66136725241</v>
      </c>
      <c r="K39" s="69">
        <f t="shared" si="0"/>
        <v>160692.64948893784</v>
      </c>
      <c r="L39" s="47">
        <f t="shared" si="6"/>
        <v>182315598.02441591</v>
      </c>
    </row>
    <row r="40" spans="1:12">
      <c r="A40" s="64">
        <v>69</v>
      </c>
      <c r="B40" s="21">
        <v>44593</v>
      </c>
      <c r="C40" s="47">
        <f t="shared" si="1"/>
        <v>182315598.02441591</v>
      </c>
      <c r="D40" s="47"/>
      <c r="E40" s="41">
        <f>Additions!J76*$C$5</f>
        <v>0</v>
      </c>
      <c r="F40" s="41">
        <f t="shared" si="2"/>
        <v>1197205.760360331</v>
      </c>
      <c r="G40" s="41">
        <f t="shared" si="3"/>
        <v>1929969.4273153788</v>
      </c>
      <c r="H40" s="65">
        <f t="shared" si="4"/>
        <v>-732763.66695504775</v>
      </c>
      <c r="I40" s="65"/>
      <c r="J40" s="24">
        <f t="shared" si="5"/>
        <v>153880.37006056003</v>
      </c>
      <c r="K40" s="69">
        <f t="shared" si="0"/>
        <v>160692.64948893784</v>
      </c>
      <c r="L40" s="47">
        <f t="shared" si="6"/>
        <v>181897407.37701035</v>
      </c>
    </row>
    <row r="41" spans="1:12">
      <c r="A41" s="64">
        <v>70</v>
      </c>
      <c r="B41" s="21">
        <v>44621</v>
      </c>
      <c r="C41" s="47">
        <f t="shared" si="1"/>
        <v>181897407.37701035</v>
      </c>
      <c r="D41" s="47"/>
      <c r="E41" s="41">
        <f>Additions!J77*$C$5</f>
        <v>0</v>
      </c>
      <c r="F41" s="41">
        <f t="shared" si="2"/>
        <v>1194459.6417757012</v>
      </c>
      <c r="G41" s="41">
        <f t="shared" si="3"/>
        <v>1929969.4273153788</v>
      </c>
      <c r="H41" s="65">
        <f t="shared" si="4"/>
        <v>-735509.7855396776</v>
      </c>
      <c r="I41" s="65"/>
      <c r="J41" s="24">
        <f t="shared" si="5"/>
        <v>154457.05496333228</v>
      </c>
      <c r="K41" s="69">
        <f t="shared" si="0"/>
        <v>160692.64948893784</v>
      </c>
      <c r="L41" s="47">
        <f t="shared" si="6"/>
        <v>181477047.29592291</v>
      </c>
    </row>
    <row r="42" spans="1:12">
      <c r="A42" s="64">
        <v>71</v>
      </c>
      <c r="B42" s="21">
        <v>44652</v>
      </c>
      <c r="C42" s="47">
        <f t="shared" si="1"/>
        <v>181477047.29592291</v>
      </c>
      <c r="D42" s="47"/>
      <c r="E42" s="41">
        <f>Additions!J78*$C$5</f>
        <v>0</v>
      </c>
      <c r="F42" s="41">
        <f t="shared" si="2"/>
        <v>1191699.277243227</v>
      </c>
      <c r="G42" s="41">
        <f t="shared" si="3"/>
        <v>1929969.4273153788</v>
      </c>
      <c r="H42" s="65">
        <f t="shared" si="4"/>
        <v>-738270.1500721518</v>
      </c>
      <c r="I42" s="65"/>
      <c r="J42" s="24">
        <f t="shared" si="5"/>
        <v>155036.73151515189</v>
      </c>
      <c r="K42" s="69">
        <f t="shared" si="0"/>
        <v>160692.64948893784</v>
      </c>
      <c r="L42" s="47">
        <f t="shared" si="6"/>
        <v>181054506.52685481</v>
      </c>
    </row>
    <row r="43" spans="1:12">
      <c r="A43" s="64">
        <v>72</v>
      </c>
      <c r="B43" s="21">
        <v>44682</v>
      </c>
      <c r="C43" s="47">
        <f t="shared" si="1"/>
        <v>181054506.52685481</v>
      </c>
      <c r="D43" s="47"/>
      <c r="E43" s="41">
        <f>Additions!J79*$C$5</f>
        <v>0</v>
      </c>
      <c r="F43" s="41">
        <f t="shared" si="2"/>
        <v>1188924.5928596798</v>
      </c>
      <c r="G43" s="41">
        <f t="shared" si="3"/>
        <v>1929969.4273153788</v>
      </c>
      <c r="H43" s="65">
        <f t="shared" si="4"/>
        <v>-741044.83445569896</v>
      </c>
      <c r="I43" s="65"/>
      <c r="J43" s="24">
        <f t="shared" si="5"/>
        <v>155619.41523569677</v>
      </c>
      <c r="K43" s="69">
        <f t="shared" si="0"/>
        <v>160692.64948893784</v>
      </c>
      <c r="L43" s="47">
        <f t="shared" si="6"/>
        <v>180629773.75712374</v>
      </c>
    </row>
    <row r="44" spans="1:12">
      <c r="A44" s="64">
        <v>73</v>
      </c>
      <c r="B44" s="21">
        <v>44713</v>
      </c>
      <c r="C44" s="47">
        <f t="shared" si="1"/>
        <v>180629773.75712374</v>
      </c>
      <c r="D44" s="47"/>
      <c r="E44" s="41">
        <f>Additions!J80*$C$5</f>
        <v>0</v>
      </c>
      <c r="F44" s="41">
        <f t="shared" si="2"/>
        <v>1186135.5143384458</v>
      </c>
      <c r="G44" s="41">
        <f t="shared" si="3"/>
        <v>1929969.4273153788</v>
      </c>
      <c r="H44" s="65">
        <f t="shared" si="4"/>
        <v>-743833.91297693294</v>
      </c>
      <c r="I44" s="65"/>
      <c r="J44" s="24">
        <f t="shared" si="5"/>
        <v>156205.12172515591</v>
      </c>
      <c r="K44" s="69">
        <f t="shared" si="0"/>
        <v>160692.64948893784</v>
      </c>
      <c r="L44" s="47">
        <f t="shared" si="6"/>
        <v>180202837.61536086</v>
      </c>
    </row>
    <row r="45" spans="1:12">
      <c r="A45" s="64">
        <v>74</v>
      </c>
      <c r="B45" s="21">
        <v>44743</v>
      </c>
      <c r="C45" s="47">
        <f t="shared" si="1"/>
        <v>180202837.61536086</v>
      </c>
      <c r="D45" s="47"/>
      <c r="E45" s="41">
        <f>Additions!J81*$C$5</f>
        <v>0</v>
      </c>
      <c r="F45" s="41">
        <f t="shared" si="2"/>
        <v>1183331.9670075362</v>
      </c>
      <c r="G45" s="41">
        <f t="shared" si="3"/>
        <v>1929969.4273153788</v>
      </c>
      <c r="H45" s="65">
        <f t="shared" si="4"/>
        <v>-746637.46030784259</v>
      </c>
      <c r="I45" s="65"/>
      <c r="J45" s="24">
        <f t="shared" si="5"/>
        <v>156793.86666464695</v>
      </c>
      <c r="K45" s="69">
        <f t="shared" si="0"/>
        <v>160692.64948893784</v>
      </c>
      <c r="L45" s="47">
        <f t="shared" si="6"/>
        <v>179773686.67120659</v>
      </c>
    </row>
    <row r="46" spans="1:12">
      <c r="A46" s="64">
        <v>75</v>
      </c>
      <c r="B46" s="21">
        <v>44774</v>
      </c>
      <c r="C46" s="47">
        <f t="shared" si="1"/>
        <v>179773686.67120659</v>
      </c>
      <c r="D46" s="47"/>
      <c r="E46" s="41">
        <f>Additions!J82*$C$5</f>
        <v>0</v>
      </c>
      <c r="F46" s="41">
        <f t="shared" si="2"/>
        <v>1180513.8758075899</v>
      </c>
      <c r="G46" s="41">
        <f t="shared" si="3"/>
        <v>1929969.4273153788</v>
      </c>
      <c r="H46" s="65">
        <f t="shared" si="4"/>
        <v>-749455.55150778894</v>
      </c>
      <c r="I46" s="65"/>
      <c r="J46" s="24">
        <f t="shared" si="5"/>
        <v>157385.66581663568</v>
      </c>
      <c r="K46" s="69">
        <f t="shared" si="0"/>
        <v>160692.64948893784</v>
      </c>
      <c r="L46" s="47">
        <f t="shared" si="6"/>
        <v>179342309.43500435</v>
      </c>
    </row>
    <row r="47" spans="1:12">
      <c r="A47" s="64">
        <v>76</v>
      </c>
      <c r="B47" s="21">
        <v>44805</v>
      </c>
      <c r="C47" s="47">
        <f t="shared" si="1"/>
        <v>179342309.43500435</v>
      </c>
      <c r="D47" s="47"/>
      <c r="E47" s="41">
        <f>Additions!J83*$C$5</f>
        <v>0</v>
      </c>
      <c r="F47" s="41">
        <f t="shared" si="2"/>
        <v>1177681.1652898618</v>
      </c>
      <c r="G47" s="41">
        <f t="shared" si="3"/>
        <v>1929969.4273153788</v>
      </c>
      <c r="H47" s="65">
        <f t="shared" si="4"/>
        <v>-752288.26202551695</v>
      </c>
      <c r="I47" s="65"/>
      <c r="J47" s="24">
        <f t="shared" si="5"/>
        <v>157980.53502535855</v>
      </c>
      <c r="K47" s="69">
        <f t="shared" si="0"/>
        <v>160692.64948893784</v>
      </c>
      <c r="L47" s="47">
        <f t="shared" si="6"/>
        <v>178908694.3574931</v>
      </c>
    </row>
    <row r="48" spans="1:12">
      <c r="A48" s="64">
        <v>77</v>
      </c>
      <c r="B48" s="21">
        <v>44835</v>
      </c>
      <c r="C48" s="47">
        <f t="shared" si="1"/>
        <v>178908694.3574931</v>
      </c>
      <c r="D48" s="47"/>
      <c r="E48" s="41">
        <f>Additions!J84*$C$5</f>
        <v>0</v>
      </c>
      <c r="F48" s="41">
        <f t="shared" si="2"/>
        <v>1174833.7596142045</v>
      </c>
      <c r="G48" s="41">
        <f t="shared" si="3"/>
        <v>1929969.4273153788</v>
      </c>
      <c r="H48" s="65">
        <f t="shared" si="4"/>
        <v>-755135.66770117427</v>
      </c>
      <c r="I48" s="65"/>
      <c r="J48" s="24">
        <f t="shared" si="5"/>
        <v>158578.49021724658</v>
      </c>
      <c r="K48" s="69">
        <f t="shared" si="0"/>
        <v>160692.64948893784</v>
      </c>
      <c r="L48" s="47">
        <f t="shared" si="6"/>
        <v>178472829.82949808</v>
      </c>
    </row>
    <row r="49" spans="1:12">
      <c r="A49" s="64">
        <v>78</v>
      </c>
      <c r="B49" s="21">
        <v>44866</v>
      </c>
      <c r="C49" s="47">
        <f t="shared" si="1"/>
        <v>178472829.82949808</v>
      </c>
      <c r="D49" s="47"/>
      <c r="E49" s="41">
        <f>Additions!J85*$C$5</f>
        <v>0</v>
      </c>
      <c r="F49" s="41">
        <f t="shared" si="2"/>
        <v>1171971.5825470374</v>
      </c>
      <c r="G49" s="41">
        <f t="shared" si="3"/>
        <v>1929969.4273153788</v>
      </c>
      <c r="H49" s="65">
        <f t="shared" si="4"/>
        <v>-757997.8447683414</v>
      </c>
      <c r="I49" s="65"/>
      <c r="J49" s="24">
        <f t="shared" si="5"/>
        <v>159179.54740135168</v>
      </c>
      <c r="K49" s="69">
        <f t="shared" si="0"/>
        <v>160692.64948893784</v>
      </c>
      <c r="L49" s="47">
        <f t="shared" si="6"/>
        <v>178034704.18162</v>
      </c>
    </row>
    <row r="50" spans="1:12">
      <c r="A50" s="64">
        <v>79</v>
      </c>
      <c r="B50" s="21">
        <v>44896</v>
      </c>
      <c r="C50" s="47">
        <f t="shared" si="1"/>
        <v>178034704.18162</v>
      </c>
      <c r="D50" s="47"/>
      <c r="E50" s="41">
        <f>Additions!J86*$C$5</f>
        <v>0</v>
      </c>
      <c r="F50" s="41">
        <f t="shared" si="2"/>
        <v>1169094.5574593046</v>
      </c>
      <c r="G50" s="41">
        <f t="shared" si="3"/>
        <v>1929969.4273153788</v>
      </c>
      <c r="H50" s="65">
        <f t="shared" si="4"/>
        <v>-760874.86985607422</v>
      </c>
      <c r="I50" s="65"/>
      <c r="J50" s="24">
        <f t="shared" si="5"/>
        <v>159783.72266977557</v>
      </c>
      <c r="K50" s="69">
        <f t="shared" si="0"/>
        <v>160692.64948893784</v>
      </c>
      <c r="L50" s="47">
        <f t="shared" si="6"/>
        <v>177594305.68392262</v>
      </c>
    </row>
    <row r="51" spans="1:12">
      <c r="A51" s="64">
        <v>80</v>
      </c>
      <c r="B51" s="21">
        <v>44927</v>
      </c>
      <c r="C51" s="47">
        <f t="shared" si="1"/>
        <v>177594305.68392262</v>
      </c>
      <c r="D51" s="47"/>
      <c r="E51" s="41">
        <f>Additions!J87*$C$5</f>
        <v>0</v>
      </c>
      <c r="F51" s="41">
        <f t="shared" si="2"/>
        <v>1166202.6073244251</v>
      </c>
      <c r="G51" s="41">
        <f t="shared" si="3"/>
        <v>1929969.4273153788</v>
      </c>
      <c r="H51" s="65">
        <f t="shared" si="4"/>
        <v>-763766.81999095366</v>
      </c>
      <c r="I51" s="65"/>
      <c r="J51" s="24">
        <f t="shared" si="5"/>
        <v>160391.03219810026</v>
      </c>
      <c r="K51" s="69">
        <f t="shared" si="0"/>
        <v>160692.64948893784</v>
      </c>
      <c r="L51" s="47">
        <f t="shared" si="6"/>
        <v>177151622.54561868</v>
      </c>
    </row>
    <row r="52" spans="1:12">
      <c r="A52" s="64">
        <v>81</v>
      </c>
      <c r="B52" s="21">
        <v>44958</v>
      </c>
      <c r="C52" s="47">
        <f t="shared" si="1"/>
        <v>177151622.54561868</v>
      </c>
      <c r="D52" s="47"/>
      <c r="E52" s="41">
        <f>Additions!J88*$C$5</f>
        <v>0</v>
      </c>
      <c r="F52" s="41">
        <f t="shared" si="2"/>
        <v>1163295.6547162293</v>
      </c>
      <c r="G52" s="41">
        <f t="shared" si="3"/>
        <v>1929969.4273153788</v>
      </c>
      <c r="H52" s="65">
        <f t="shared" si="4"/>
        <v>-766673.7725991495</v>
      </c>
      <c r="I52" s="65"/>
      <c r="J52" s="24">
        <f t="shared" si="5"/>
        <v>161001.4922458214</v>
      </c>
      <c r="K52" s="69">
        <f t="shared" si="0"/>
        <v>160692.64948893784</v>
      </c>
      <c r="L52" s="47">
        <f t="shared" si="6"/>
        <v>176706642.91475427</v>
      </c>
    </row>
    <row r="53" spans="1:12">
      <c r="A53" s="64">
        <v>82</v>
      </c>
      <c r="B53" s="21">
        <v>44986</v>
      </c>
      <c r="C53" s="47">
        <f t="shared" si="1"/>
        <v>176706642.91475427</v>
      </c>
      <c r="D53" s="47"/>
      <c r="E53" s="41">
        <f>Additions!J89*$C$5</f>
        <v>0</v>
      </c>
      <c r="F53" s="41">
        <f t="shared" si="2"/>
        <v>1160373.6218068863</v>
      </c>
      <c r="G53" s="41">
        <f t="shared" si="3"/>
        <v>1929969.4273153788</v>
      </c>
      <c r="H53" s="65">
        <f t="shared" si="4"/>
        <v>-769595.80550849251</v>
      </c>
      <c r="I53" s="65"/>
      <c r="J53" s="24">
        <f t="shared" si="5"/>
        <v>161615.11915678342</v>
      </c>
      <c r="K53" s="69">
        <f t="shared" si="0"/>
        <v>160692.64948893784</v>
      </c>
      <c r="L53" s="47">
        <f t="shared" si="6"/>
        <v>176259354.87789148</v>
      </c>
    </row>
    <row r="54" spans="1:12">
      <c r="A54" s="64">
        <v>83</v>
      </c>
      <c r="B54" s="21">
        <v>45017</v>
      </c>
      <c r="C54" s="47">
        <f t="shared" si="1"/>
        <v>176259354.87789148</v>
      </c>
      <c r="D54" s="47"/>
      <c r="E54" s="41">
        <f>Additions!J90*$C$5</f>
        <v>0</v>
      </c>
      <c r="F54" s="41">
        <f t="shared" si="2"/>
        <v>1157436.4303648206</v>
      </c>
      <c r="G54" s="41">
        <f t="shared" si="3"/>
        <v>1929969.4273153788</v>
      </c>
      <c r="H54" s="65">
        <f t="shared" si="4"/>
        <v>-772532.99695055815</v>
      </c>
      <c r="I54" s="65"/>
      <c r="J54" s="24">
        <f t="shared" si="5"/>
        <v>162231.92935961721</v>
      </c>
      <c r="K54" s="69">
        <f t="shared" si="0"/>
        <v>160692.64948893784</v>
      </c>
      <c r="L54" s="47">
        <f t="shared" si="6"/>
        <v>175809746.45978945</v>
      </c>
    </row>
    <row r="55" spans="1:12">
      <c r="A55" s="64">
        <v>84</v>
      </c>
      <c r="B55" s="21">
        <v>45047</v>
      </c>
      <c r="C55" s="47">
        <f t="shared" si="1"/>
        <v>175809746.45978945</v>
      </c>
      <c r="D55" s="47"/>
      <c r="E55" s="41">
        <f>Additions!J91*$C$5</f>
        <v>0</v>
      </c>
      <c r="F55" s="41">
        <f t="shared" si="2"/>
        <v>1154484.0017526173</v>
      </c>
      <c r="G55" s="41">
        <f t="shared" si="3"/>
        <v>1929969.4273153788</v>
      </c>
      <c r="H55" s="65">
        <f t="shared" si="4"/>
        <v>-775485.42556276149</v>
      </c>
      <c r="I55" s="65"/>
      <c r="J55" s="24">
        <f t="shared" si="5"/>
        <v>162851.93936817991</v>
      </c>
      <c r="K55" s="69">
        <f t="shared" si="0"/>
        <v>160692.64948893784</v>
      </c>
      <c r="L55" s="47">
        <f t="shared" si="6"/>
        <v>175357805.6230838</v>
      </c>
    </row>
    <row r="56" spans="1:12">
      <c r="A56" s="64">
        <v>85</v>
      </c>
      <c r="B56" s="21">
        <v>45078</v>
      </c>
      <c r="C56" s="47">
        <f t="shared" si="1"/>
        <v>175357805.6230838</v>
      </c>
      <c r="D56" s="47"/>
      <c r="E56" s="41">
        <f>Additions!J92*$C$5</f>
        <v>0</v>
      </c>
      <c r="F56" s="41">
        <f t="shared" si="2"/>
        <v>1151516.2569249168</v>
      </c>
      <c r="G56" s="41">
        <f t="shared" si="3"/>
        <v>1929969.4273153788</v>
      </c>
      <c r="H56" s="65">
        <f t="shared" si="4"/>
        <v>-778453.17039046204</v>
      </c>
      <c r="I56" s="65"/>
      <c r="J56" s="24">
        <f t="shared" si="5"/>
        <v>163475.16578199703</v>
      </c>
      <c r="K56" s="69">
        <f t="shared" si="0"/>
        <v>160692.64948893784</v>
      </c>
      <c r="L56" s="47">
        <f t="shared" si="6"/>
        <v>174903520.26796427</v>
      </c>
    </row>
    <row r="57" spans="1:12">
      <c r="A57" s="64">
        <v>86</v>
      </c>
      <c r="B57" s="21">
        <v>45108</v>
      </c>
      <c r="C57" s="47">
        <f t="shared" si="1"/>
        <v>174903520.26796427</v>
      </c>
      <c r="D57" s="47"/>
      <c r="E57" s="41">
        <f>Additions!J93*$C$5</f>
        <v>0</v>
      </c>
      <c r="F57" s="41">
        <f t="shared" si="2"/>
        <v>1148533.1164262986</v>
      </c>
      <c r="G57" s="41">
        <f t="shared" si="3"/>
        <v>1929969.4273153788</v>
      </c>
      <c r="H57" s="65">
        <f t="shared" si="4"/>
        <v>-781436.31088908017</v>
      </c>
      <c r="I57" s="65"/>
      <c r="J57" s="24">
        <f t="shared" si="5"/>
        <v>164101.62528670684</v>
      </c>
      <c r="K57" s="69">
        <f t="shared" si="0"/>
        <v>160692.64948893784</v>
      </c>
      <c r="L57" s="47">
        <f t="shared" si="6"/>
        <v>174446878.2318508</v>
      </c>
    </row>
    <row r="58" spans="1:12">
      <c r="A58" s="64">
        <v>87</v>
      </c>
      <c r="B58" s="21">
        <v>45139</v>
      </c>
      <c r="C58" s="47">
        <f t="shared" si="1"/>
        <v>174446878.2318508</v>
      </c>
      <c r="D58" s="47"/>
      <c r="E58" s="41">
        <f>Additions!J94*$C$5</f>
        <v>0</v>
      </c>
      <c r="F58" s="41">
        <f t="shared" si="2"/>
        <v>1145534.5003891534</v>
      </c>
      <c r="G58" s="41">
        <f t="shared" si="3"/>
        <v>1929969.4273153788</v>
      </c>
      <c r="H58" s="65">
        <f t="shared" si="4"/>
        <v>-784434.92692622542</v>
      </c>
      <c r="I58" s="65"/>
      <c r="J58" s="24">
        <f t="shared" si="5"/>
        <v>164731.33465450734</v>
      </c>
      <c r="K58" s="69">
        <f t="shared" si="0"/>
        <v>160692.64948893784</v>
      </c>
      <c r="L58" s="47">
        <f t="shared" si="6"/>
        <v>173987867.28906801</v>
      </c>
    </row>
    <row r="59" spans="1:12">
      <c r="A59" s="64">
        <v>88</v>
      </c>
      <c r="B59" s="21">
        <v>45170</v>
      </c>
      <c r="C59" s="47">
        <f t="shared" si="1"/>
        <v>173987867.28906801</v>
      </c>
      <c r="D59" s="47"/>
      <c r="E59" s="41">
        <f>Additions!J95*$C$5</f>
        <v>0</v>
      </c>
      <c r="F59" s="41">
        <f t="shared" si="2"/>
        <v>1142520.3285315465</v>
      </c>
      <c r="G59" s="41">
        <f t="shared" si="3"/>
        <v>1929969.4273153788</v>
      </c>
      <c r="H59" s="65">
        <f t="shared" si="4"/>
        <v>-787449.09878383228</v>
      </c>
      <c r="I59" s="65"/>
      <c r="J59" s="24">
        <f t="shared" si="5"/>
        <v>165364.31074460477</v>
      </c>
      <c r="K59" s="69">
        <f t="shared" si="0"/>
        <v>160692.64948893784</v>
      </c>
      <c r="L59" s="47">
        <f t="shared" si="6"/>
        <v>173526475.1505177</v>
      </c>
    </row>
    <row r="60" spans="1:12">
      <c r="A60" s="64">
        <v>89</v>
      </c>
      <c r="B60" s="21">
        <v>45200</v>
      </c>
      <c r="C60" s="47">
        <f t="shared" si="1"/>
        <v>173526475.1505177</v>
      </c>
      <c r="D60" s="47"/>
      <c r="E60" s="41">
        <f>Additions!J96*$C$5</f>
        <v>0</v>
      </c>
      <c r="F60" s="41">
        <f t="shared" si="2"/>
        <v>1139490.5201550662</v>
      </c>
      <c r="G60" s="41">
        <f t="shared" si="3"/>
        <v>1929969.4273153788</v>
      </c>
      <c r="H60" s="65">
        <f t="shared" si="4"/>
        <v>-790478.90716031264</v>
      </c>
      <c r="I60" s="65"/>
      <c r="J60" s="24">
        <f t="shared" si="5"/>
        <v>166000.57050366566</v>
      </c>
      <c r="K60" s="69">
        <f t="shared" si="0"/>
        <v>160692.64948893784</v>
      </c>
      <c r="L60" s="47">
        <f t="shared" si="6"/>
        <v>173062689.46334997</v>
      </c>
    </row>
    <row r="61" spans="1:12">
      <c r="A61" s="64">
        <v>90</v>
      </c>
      <c r="B61" s="21">
        <v>45231</v>
      </c>
      <c r="C61" s="47">
        <f t="shared" si="1"/>
        <v>173062689.46334997</v>
      </c>
      <c r="D61" s="47"/>
      <c r="E61" s="41">
        <f>Additions!J97*$C$5</f>
        <v>0</v>
      </c>
      <c r="F61" s="41">
        <f t="shared" si="2"/>
        <v>1136444.9941426646</v>
      </c>
      <c r="G61" s="41">
        <f t="shared" si="3"/>
        <v>1929969.4273153788</v>
      </c>
      <c r="H61" s="65">
        <f t="shared" si="4"/>
        <v>-793524.4331727142</v>
      </c>
      <c r="I61" s="65"/>
      <c r="J61" s="24">
        <f t="shared" si="5"/>
        <v>166640.13096626996</v>
      </c>
      <c r="K61" s="69">
        <f t="shared" si="0"/>
        <v>160692.64948893784</v>
      </c>
      <c r="L61" s="47">
        <f t="shared" si="6"/>
        <v>172596497.81063244</v>
      </c>
    </row>
    <row r="62" spans="1:12">
      <c r="A62" s="64">
        <v>91</v>
      </c>
      <c r="B62" s="21">
        <v>45261</v>
      </c>
      <c r="C62" s="47">
        <f t="shared" ref="C62:C125" si="7">L61</f>
        <v>172596497.81063244</v>
      </c>
      <c r="D62" s="47"/>
      <c r="E62" s="41">
        <f>Additions!J98*$C$5</f>
        <v>0</v>
      </c>
      <c r="F62" s="41">
        <f t="shared" si="2"/>
        <v>1133383.6689564863</v>
      </c>
      <c r="G62" s="41">
        <f t="shared" si="3"/>
        <v>1929969.4273153788</v>
      </c>
      <c r="H62" s="65">
        <f t="shared" ref="H62:H125" si="8">E62+F62-G62</f>
        <v>-796585.75835889252</v>
      </c>
      <c r="I62" s="65"/>
      <c r="J62" s="24">
        <f t="shared" si="5"/>
        <v>167283.00925536742</v>
      </c>
      <c r="K62" s="69">
        <f t="shared" si="0"/>
        <v>160692.64948893784</v>
      </c>
      <c r="L62" s="47">
        <f t="shared" ref="L62:L125" si="9">C62+E62+F62-G62+J62+K62</f>
        <v>172127887.71101785</v>
      </c>
    </row>
    <row r="63" spans="1:12">
      <c r="A63" s="64">
        <v>92</v>
      </c>
      <c r="B63" s="21">
        <v>45292</v>
      </c>
      <c r="C63" s="47">
        <f t="shared" si="7"/>
        <v>172127887.71101785</v>
      </c>
      <c r="D63" s="47"/>
      <c r="E63" s="41">
        <f>Additions!J99*$C$5</f>
        <v>0</v>
      </c>
      <c r="F63" s="41">
        <f t="shared" si="2"/>
        <v>1130306.4626356838</v>
      </c>
      <c r="G63" s="41">
        <f t="shared" ref="G63:G126" si="10">G62</f>
        <v>1929969.4273153788</v>
      </c>
      <c r="H63" s="65">
        <f t="shared" si="8"/>
        <v>-799662.96467969497</v>
      </c>
      <c r="I63" s="65"/>
      <c r="J63" s="24">
        <f t="shared" ref="J63:J126" si="11">-H63*0.21</f>
        <v>167929.22258273594</v>
      </c>
      <c r="K63" s="69">
        <f t="shared" si="0"/>
        <v>160692.64948893784</v>
      </c>
      <c r="L63" s="47">
        <f t="shared" si="9"/>
        <v>171656846.61840981</v>
      </c>
    </row>
    <row r="64" spans="1:12">
      <c r="A64" s="64">
        <v>93</v>
      </c>
      <c r="B64" s="21">
        <v>45323</v>
      </c>
      <c r="C64" s="47">
        <f t="shared" si="7"/>
        <v>171656846.61840981</v>
      </c>
      <c r="D64" s="47"/>
      <c r="E64" s="41">
        <f>Additions!J100*$C$5</f>
        <v>0</v>
      </c>
      <c r="F64" s="41">
        <f t="shared" si="2"/>
        <v>1127213.2927942243</v>
      </c>
      <c r="G64" s="41">
        <f t="shared" si="10"/>
        <v>1929969.4273153788</v>
      </c>
      <c r="H64" s="65">
        <f t="shared" si="8"/>
        <v>-802756.13452115445</v>
      </c>
      <c r="I64" s="65"/>
      <c r="J64" s="24">
        <f t="shared" si="11"/>
        <v>168578.78824944244</v>
      </c>
      <c r="K64" s="69">
        <f t="shared" si="0"/>
        <v>160692.64948893784</v>
      </c>
      <c r="L64" s="47">
        <f t="shared" si="9"/>
        <v>171183361.92162701</v>
      </c>
    </row>
    <row r="65" spans="1:12">
      <c r="A65" s="64">
        <v>94</v>
      </c>
      <c r="B65" s="21">
        <v>45352</v>
      </c>
      <c r="C65" s="47">
        <f t="shared" si="7"/>
        <v>171183361.92162701</v>
      </c>
      <c r="D65" s="47"/>
      <c r="E65" s="41">
        <f>Additions!J101*$C$5</f>
        <v>0</v>
      </c>
      <c r="F65" s="41">
        <f t="shared" si="2"/>
        <v>1124104.076618684</v>
      </c>
      <c r="G65" s="41">
        <f t="shared" si="10"/>
        <v>1929969.4273153788</v>
      </c>
      <c r="H65" s="65">
        <f t="shared" si="8"/>
        <v>-805865.3506966948</v>
      </c>
      <c r="I65" s="65"/>
      <c r="J65" s="24">
        <f t="shared" si="11"/>
        <v>169231.72364630591</v>
      </c>
      <c r="K65" s="69">
        <f t="shared" si="0"/>
        <v>160692.64948893784</v>
      </c>
      <c r="L65" s="47">
        <f t="shared" si="9"/>
        <v>170707420.94406554</v>
      </c>
    </row>
    <row r="66" spans="1:12">
      <c r="A66" s="64">
        <v>95</v>
      </c>
      <c r="B66" s="21">
        <v>45383</v>
      </c>
      <c r="C66" s="47">
        <f t="shared" si="7"/>
        <v>170707420.94406554</v>
      </c>
      <c r="D66" s="47"/>
      <c r="E66" s="41">
        <f>Additions!J102*$C$5</f>
        <v>0</v>
      </c>
      <c r="F66" s="41">
        <f t="shared" si="2"/>
        <v>1120978.7308660303</v>
      </c>
      <c r="G66" s="41">
        <f t="shared" si="10"/>
        <v>1929969.4273153788</v>
      </c>
      <c r="H66" s="65">
        <f t="shared" si="8"/>
        <v>-808990.69644934847</v>
      </c>
      <c r="I66" s="65"/>
      <c r="J66" s="24">
        <f t="shared" si="11"/>
        <v>169888.04625436317</v>
      </c>
      <c r="K66" s="69">
        <f t="shared" si="0"/>
        <v>160692.64948893784</v>
      </c>
      <c r="L66" s="47">
        <f t="shared" si="9"/>
        <v>170229010.94335949</v>
      </c>
    </row>
    <row r="67" spans="1:12">
      <c r="A67" s="64">
        <v>96</v>
      </c>
      <c r="B67" s="21">
        <v>45413</v>
      </c>
      <c r="C67" s="47">
        <f t="shared" si="7"/>
        <v>170229010.94335949</v>
      </c>
      <c r="D67" s="47"/>
      <c r="E67" s="41">
        <f>Additions!J103*$C$5</f>
        <v>0</v>
      </c>
      <c r="F67" s="41">
        <f t="shared" si="2"/>
        <v>1117837.1718613938</v>
      </c>
      <c r="G67" s="41">
        <f t="shared" si="10"/>
        <v>1929969.4273153788</v>
      </c>
      <c r="H67" s="65">
        <f t="shared" si="8"/>
        <v>-812132.25545398495</v>
      </c>
      <c r="I67" s="65"/>
      <c r="J67" s="24">
        <f t="shared" si="11"/>
        <v>170547.77364533683</v>
      </c>
      <c r="K67" s="69">
        <f t="shared" si="0"/>
        <v>160692.64948893784</v>
      </c>
      <c r="L67" s="47">
        <f t="shared" si="9"/>
        <v>169748119.11103976</v>
      </c>
    </row>
    <row r="68" spans="1:12">
      <c r="A68" s="64">
        <v>97</v>
      </c>
      <c r="B68" s="21">
        <v>45444</v>
      </c>
      <c r="C68" s="47">
        <f t="shared" si="7"/>
        <v>169748119.11103976</v>
      </c>
      <c r="D68" s="47"/>
      <c r="E68" s="41">
        <f>Additions!J104*$C$5</f>
        <v>0</v>
      </c>
      <c r="F68" s="41">
        <f t="shared" si="2"/>
        <v>1114679.3154958277</v>
      </c>
      <c r="G68" s="41">
        <f t="shared" si="10"/>
        <v>1929969.4273153788</v>
      </c>
      <c r="H68" s="65">
        <f t="shared" si="8"/>
        <v>-815290.11181955109</v>
      </c>
      <c r="I68" s="65"/>
      <c r="J68" s="24">
        <f t="shared" si="11"/>
        <v>171210.92348210572</v>
      </c>
      <c r="K68" s="69">
        <f t="shared" ref="K68:K131" si="12">$L$3</f>
        <v>160692.64948893784</v>
      </c>
      <c r="L68" s="47">
        <f t="shared" si="9"/>
        <v>169264732.57219124</v>
      </c>
    </row>
    <row r="69" spans="1:12">
      <c r="A69" s="64">
        <v>98</v>
      </c>
      <c r="B69" s="21">
        <v>45474</v>
      </c>
      <c r="C69" s="47">
        <f t="shared" si="7"/>
        <v>169264732.57219124</v>
      </c>
      <c r="D69" s="47"/>
      <c r="E69" s="41">
        <f>Additions!J105*$C$5</f>
        <v>0</v>
      </c>
      <c r="F69" s="41">
        <f t="shared" si="2"/>
        <v>1111505.0772240558</v>
      </c>
      <c r="G69" s="41">
        <f t="shared" si="10"/>
        <v>1929969.4273153788</v>
      </c>
      <c r="H69" s="65">
        <f t="shared" si="8"/>
        <v>-818464.35009132302</v>
      </c>
      <c r="I69" s="65"/>
      <c r="J69" s="24">
        <f t="shared" si="11"/>
        <v>171877.51351917782</v>
      </c>
      <c r="K69" s="69">
        <f t="shared" si="12"/>
        <v>160692.64948893784</v>
      </c>
      <c r="L69" s="47">
        <f t="shared" si="9"/>
        <v>168778838.38510799</v>
      </c>
    </row>
    <row r="70" spans="1:12">
      <c r="A70" s="64">
        <v>99</v>
      </c>
      <c r="B70" s="21">
        <v>45505</v>
      </c>
      <c r="C70" s="47">
        <f t="shared" si="7"/>
        <v>168778838.38510799</v>
      </c>
      <c r="D70" s="47"/>
      <c r="E70" s="41">
        <f>Additions!J106*$C$5</f>
        <v>0</v>
      </c>
      <c r="F70" s="41">
        <f t="shared" si="2"/>
        <v>1108314.3720622091</v>
      </c>
      <c r="G70" s="41">
        <f t="shared" si="10"/>
        <v>1929969.4273153788</v>
      </c>
      <c r="H70" s="65">
        <f t="shared" si="8"/>
        <v>-821655.05525316973</v>
      </c>
      <c r="I70" s="65"/>
      <c r="J70" s="24">
        <f t="shared" si="11"/>
        <v>172547.56160316564</v>
      </c>
      <c r="K70" s="69">
        <f t="shared" si="12"/>
        <v>160692.64948893784</v>
      </c>
      <c r="L70" s="47">
        <f t="shared" si="9"/>
        <v>168290423.5409469</v>
      </c>
    </row>
    <row r="71" spans="1:12">
      <c r="A71" s="64">
        <v>100</v>
      </c>
      <c r="B71" s="21">
        <v>45536</v>
      </c>
      <c r="C71" s="47">
        <f t="shared" si="7"/>
        <v>168290423.5409469</v>
      </c>
      <c r="D71" s="47"/>
      <c r="E71" s="41">
        <f>Additions!J107*$C$5</f>
        <v>0</v>
      </c>
      <c r="F71" s="41">
        <f t="shared" si="2"/>
        <v>1105107.1145855512</v>
      </c>
      <c r="G71" s="41">
        <f t="shared" si="10"/>
        <v>1929969.4273153788</v>
      </c>
      <c r="H71" s="65">
        <f t="shared" si="8"/>
        <v>-824862.31272982759</v>
      </c>
      <c r="I71" s="65"/>
      <c r="J71" s="24">
        <f t="shared" si="11"/>
        <v>173221.08567326379</v>
      </c>
      <c r="K71" s="69">
        <f t="shared" si="12"/>
        <v>160692.64948893784</v>
      </c>
      <c r="L71" s="47">
        <f t="shared" si="9"/>
        <v>167799474.96337926</v>
      </c>
    </row>
    <row r="72" spans="1:12">
      <c r="A72" s="64">
        <v>101</v>
      </c>
      <c r="B72" s="21">
        <v>45566</v>
      </c>
      <c r="C72" s="47">
        <f t="shared" si="7"/>
        <v>167799474.96337926</v>
      </c>
      <c r="D72" s="47"/>
      <c r="E72" s="41">
        <f>Additions!J108*$C$5</f>
        <v>0</v>
      </c>
      <c r="F72" s="41">
        <f t="shared" si="2"/>
        <v>1101883.2189261904</v>
      </c>
      <c r="G72" s="41">
        <f t="shared" si="10"/>
        <v>1929969.4273153788</v>
      </c>
      <c r="H72" s="65">
        <f t="shared" si="8"/>
        <v>-828086.2083891884</v>
      </c>
      <c r="I72" s="65"/>
      <c r="J72" s="24">
        <f t="shared" si="11"/>
        <v>173898.10376172955</v>
      </c>
      <c r="K72" s="69">
        <f t="shared" si="12"/>
        <v>160692.64948893784</v>
      </c>
      <c r="L72" s="47">
        <f t="shared" si="9"/>
        <v>167305979.50824073</v>
      </c>
    </row>
    <row r="73" spans="1:12">
      <c r="A73" s="64">
        <v>102</v>
      </c>
      <c r="B73" s="21">
        <v>45597</v>
      </c>
      <c r="C73" s="47">
        <f t="shared" si="7"/>
        <v>167305979.50824073</v>
      </c>
      <c r="D73" s="47"/>
      <c r="E73" s="41">
        <f>Additions!J109*$C$5</f>
        <v>0</v>
      </c>
      <c r="F73" s="41">
        <f t="shared" si="2"/>
        <v>1098642.5987707807</v>
      </c>
      <c r="G73" s="41">
        <f t="shared" si="10"/>
        <v>1929969.4273153788</v>
      </c>
      <c r="H73" s="65">
        <f t="shared" si="8"/>
        <v>-831326.82854459807</v>
      </c>
      <c r="I73" s="65"/>
      <c r="J73" s="24">
        <f t="shared" si="11"/>
        <v>174578.63399436558</v>
      </c>
      <c r="K73" s="69">
        <f t="shared" si="12"/>
        <v>160692.64948893784</v>
      </c>
      <c r="L73" s="47">
        <f t="shared" si="9"/>
        <v>166809923.96317941</v>
      </c>
    </row>
    <row r="74" spans="1:12">
      <c r="A74" s="64">
        <v>103</v>
      </c>
      <c r="B74" s="21">
        <v>45627</v>
      </c>
      <c r="C74" s="47">
        <f t="shared" si="7"/>
        <v>166809923.96317941</v>
      </c>
      <c r="D74" s="47"/>
      <c r="E74" s="41">
        <f>Additions!J110*$C$5</f>
        <v>0</v>
      </c>
      <c r="F74" s="41">
        <f t="shared" si="2"/>
        <v>1095385.1673582112</v>
      </c>
      <c r="G74" s="41">
        <f t="shared" si="10"/>
        <v>1929969.4273153788</v>
      </c>
      <c r="H74" s="65">
        <f t="shared" si="8"/>
        <v>-834584.25995716755</v>
      </c>
      <c r="I74" s="65"/>
      <c r="J74" s="24">
        <f t="shared" si="11"/>
        <v>175262.69459100519</v>
      </c>
      <c r="K74" s="69">
        <f t="shared" si="12"/>
        <v>160692.64948893784</v>
      </c>
      <c r="L74" s="47">
        <f t="shared" si="9"/>
        <v>166311295.04730219</v>
      </c>
    </row>
    <row r="75" spans="1:12">
      <c r="A75" s="64">
        <v>104</v>
      </c>
      <c r="B75" s="21">
        <v>45658</v>
      </c>
      <c r="C75" s="47">
        <f t="shared" si="7"/>
        <v>166311295.04730219</v>
      </c>
      <c r="D75" s="47"/>
      <c r="E75" s="41">
        <f>Additions!J111*$C$5</f>
        <v>0</v>
      </c>
      <c r="F75" s="41">
        <f t="shared" ref="F75:F138" si="13">L74*$C$3</f>
        <v>1092110.8374772843</v>
      </c>
      <c r="G75" s="41">
        <f t="shared" si="10"/>
        <v>1929969.4273153788</v>
      </c>
      <c r="H75" s="65">
        <f t="shared" si="8"/>
        <v>-837858.58983809454</v>
      </c>
      <c r="I75" s="65"/>
      <c r="J75" s="24">
        <f t="shared" si="11"/>
        <v>175950.30386599986</v>
      </c>
      <c r="K75" s="69">
        <f t="shared" si="12"/>
        <v>160692.64948893784</v>
      </c>
      <c r="L75" s="47">
        <f t="shared" si="9"/>
        <v>165810079.41081902</v>
      </c>
    </row>
    <row r="76" spans="1:12">
      <c r="A76" s="64">
        <v>105</v>
      </c>
      <c r="B76" s="21">
        <v>45689</v>
      </c>
      <c r="C76" s="47">
        <f t="shared" si="7"/>
        <v>165810079.41081902</v>
      </c>
      <c r="D76" s="47"/>
      <c r="E76" s="41">
        <f>Additions!J112*$C$5</f>
        <v>0</v>
      </c>
      <c r="F76" s="41">
        <f t="shared" si="13"/>
        <v>1088819.5214643781</v>
      </c>
      <c r="G76" s="41">
        <f t="shared" si="10"/>
        <v>1929969.4273153788</v>
      </c>
      <c r="H76" s="65">
        <f t="shared" si="8"/>
        <v>-841149.90585100069</v>
      </c>
      <c r="I76" s="65"/>
      <c r="J76" s="24">
        <f t="shared" si="11"/>
        <v>176641.48022871013</v>
      </c>
      <c r="K76" s="69">
        <f t="shared" si="12"/>
        <v>160692.64948893784</v>
      </c>
      <c r="L76" s="47">
        <f t="shared" si="9"/>
        <v>165306263.63468567</v>
      </c>
    </row>
    <row r="77" spans="1:12">
      <c r="A77" s="64">
        <v>106</v>
      </c>
      <c r="B77" s="21">
        <v>45717</v>
      </c>
      <c r="C77" s="47">
        <f t="shared" si="7"/>
        <v>165306263.63468567</v>
      </c>
      <c r="D77" s="47"/>
      <c r="E77" s="41">
        <f>Additions!J113*$C$5</f>
        <v>0</v>
      </c>
      <c r="F77" s="41">
        <f t="shared" si="13"/>
        <v>1085511.1312011024</v>
      </c>
      <c r="G77" s="41">
        <f t="shared" si="10"/>
        <v>1929969.4273153788</v>
      </c>
      <c r="H77" s="65">
        <f t="shared" si="8"/>
        <v>-844458.2961142764</v>
      </c>
      <c r="I77" s="65"/>
      <c r="J77" s="24">
        <f t="shared" si="11"/>
        <v>177336.24218399802</v>
      </c>
      <c r="K77" s="69">
        <f t="shared" si="12"/>
        <v>160692.64948893784</v>
      </c>
      <c r="L77" s="47">
        <f t="shared" si="9"/>
        <v>164799834.23024428</v>
      </c>
    </row>
    <row r="78" spans="1:12">
      <c r="A78" s="64">
        <v>107</v>
      </c>
      <c r="B78" s="21">
        <v>45748</v>
      </c>
      <c r="C78" s="47">
        <f t="shared" si="7"/>
        <v>164799834.23024428</v>
      </c>
      <c r="D78" s="47"/>
      <c r="E78" s="41">
        <f>Additions!J114*$C$5</f>
        <v>0</v>
      </c>
      <c r="F78" s="41">
        <f t="shared" si="13"/>
        <v>1082185.5781119373</v>
      </c>
      <c r="G78" s="41">
        <f t="shared" si="10"/>
        <v>1929969.4273153788</v>
      </c>
      <c r="H78" s="65">
        <f t="shared" si="8"/>
        <v>-847783.84920344152</v>
      </c>
      <c r="I78" s="65"/>
      <c r="J78" s="24">
        <f t="shared" si="11"/>
        <v>178034.60833272271</v>
      </c>
      <c r="K78" s="69">
        <f t="shared" si="12"/>
        <v>160692.64948893784</v>
      </c>
      <c r="L78" s="47">
        <f t="shared" si="9"/>
        <v>164290777.63886249</v>
      </c>
    </row>
    <row r="79" spans="1:12">
      <c r="A79" s="64">
        <v>108</v>
      </c>
      <c r="B79" s="21">
        <v>45778</v>
      </c>
      <c r="C79" s="47">
        <f t="shared" si="7"/>
        <v>164290777.63886249</v>
      </c>
      <c r="D79" s="47"/>
      <c r="E79" s="41">
        <f>Additions!J115*$C$5</f>
        <v>0</v>
      </c>
      <c r="F79" s="41">
        <f t="shared" si="13"/>
        <v>1078842.7731618637</v>
      </c>
      <c r="G79" s="41">
        <f t="shared" si="10"/>
        <v>1929969.4273153788</v>
      </c>
      <c r="H79" s="65">
        <f t="shared" si="8"/>
        <v>-851126.65415351512</v>
      </c>
      <c r="I79" s="65"/>
      <c r="J79" s="24">
        <f t="shared" si="11"/>
        <v>178736.59737223818</v>
      </c>
      <c r="K79" s="69">
        <f t="shared" si="12"/>
        <v>160692.64948893784</v>
      </c>
      <c r="L79" s="47">
        <f t="shared" si="9"/>
        <v>163779080.23157012</v>
      </c>
    </row>
    <row r="80" spans="1:12">
      <c r="A80" s="64">
        <v>109</v>
      </c>
      <c r="B80" s="21">
        <v>45809</v>
      </c>
      <c r="C80" s="47">
        <f t="shared" si="7"/>
        <v>163779080.23157012</v>
      </c>
      <c r="D80" s="47"/>
      <c r="E80" s="41">
        <f>Additions!J116*$C$5</f>
        <v>0</v>
      </c>
      <c r="F80" s="41">
        <f t="shared" si="13"/>
        <v>1075482.6268539771</v>
      </c>
      <c r="G80" s="41">
        <f t="shared" si="10"/>
        <v>1929969.4273153788</v>
      </c>
      <c r="H80" s="65">
        <f t="shared" si="8"/>
        <v>-854486.8004614017</v>
      </c>
      <c r="I80" s="65"/>
      <c r="J80" s="24">
        <f t="shared" si="11"/>
        <v>179442.22809689434</v>
      </c>
      <c r="K80" s="69">
        <f t="shared" si="12"/>
        <v>160692.64948893784</v>
      </c>
      <c r="L80" s="47">
        <f t="shared" si="9"/>
        <v>163264728.30869454</v>
      </c>
    </row>
    <row r="81" spans="1:12">
      <c r="A81" s="64">
        <v>110</v>
      </c>
      <c r="B81" s="21">
        <v>45839</v>
      </c>
      <c r="C81" s="47">
        <f t="shared" si="7"/>
        <v>163264728.30869454</v>
      </c>
      <c r="D81" s="47"/>
      <c r="E81" s="41">
        <f>Additions!J117*$C$5</f>
        <v>0</v>
      </c>
      <c r="F81" s="41">
        <f t="shared" si="13"/>
        <v>1072105.049227094</v>
      </c>
      <c r="G81" s="41">
        <f t="shared" si="10"/>
        <v>1929969.4273153788</v>
      </c>
      <c r="H81" s="65">
        <f t="shared" si="8"/>
        <v>-857864.37808828475</v>
      </c>
      <c r="I81" s="65"/>
      <c r="J81" s="24">
        <f t="shared" si="11"/>
        <v>180151.51939853979</v>
      </c>
      <c r="K81" s="69">
        <f t="shared" si="12"/>
        <v>160692.64948893784</v>
      </c>
      <c r="L81" s="47">
        <f t="shared" si="9"/>
        <v>162747708.09949371</v>
      </c>
    </row>
    <row r="82" spans="1:12">
      <c r="A82" s="64">
        <v>111</v>
      </c>
      <c r="B82" s="21">
        <v>45870</v>
      </c>
      <c r="C82" s="47">
        <f t="shared" si="7"/>
        <v>162747708.09949371</v>
      </c>
      <c r="D82" s="47"/>
      <c r="E82" s="41">
        <f>Additions!J118*$C$5</f>
        <v>0</v>
      </c>
      <c r="F82" s="41">
        <f t="shared" si="13"/>
        <v>1068709.949853342</v>
      </c>
      <c r="G82" s="41">
        <f t="shared" si="10"/>
        <v>1929969.4273153788</v>
      </c>
      <c r="H82" s="65">
        <f t="shared" si="8"/>
        <v>-861259.47746203677</v>
      </c>
      <c r="I82" s="65"/>
      <c r="J82" s="24">
        <f t="shared" si="11"/>
        <v>180864.49026702772</v>
      </c>
      <c r="K82" s="69">
        <f t="shared" si="12"/>
        <v>160692.64948893784</v>
      </c>
      <c r="L82" s="47">
        <f t="shared" si="9"/>
        <v>162228005.76178762</v>
      </c>
    </row>
    <row r="83" spans="1:12">
      <c r="A83" s="64">
        <v>112</v>
      </c>
      <c r="B83" s="21">
        <v>45901</v>
      </c>
      <c r="C83" s="47">
        <f t="shared" si="7"/>
        <v>162228005.76178762</v>
      </c>
      <c r="D83" s="47"/>
      <c r="E83" s="41">
        <f>Additions!J119*$C$5</f>
        <v>0</v>
      </c>
      <c r="F83" s="41">
        <f t="shared" si="13"/>
        <v>1065297.2378357386</v>
      </c>
      <c r="G83" s="41">
        <f t="shared" si="10"/>
        <v>1929969.4273153788</v>
      </c>
      <c r="H83" s="65">
        <f t="shared" si="8"/>
        <v>-864672.18947964022</v>
      </c>
      <c r="I83" s="65"/>
      <c r="J83" s="24">
        <f t="shared" si="11"/>
        <v>181581.15979072443</v>
      </c>
      <c r="K83" s="69">
        <f t="shared" si="12"/>
        <v>160692.64948893784</v>
      </c>
      <c r="L83" s="47">
        <f t="shared" si="9"/>
        <v>161705607.38158762</v>
      </c>
    </row>
    <row r="84" spans="1:12">
      <c r="A84" s="64">
        <v>113</v>
      </c>
      <c r="B84" s="21">
        <v>45931</v>
      </c>
      <c r="C84" s="47">
        <f t="shared" si="7"/>
        <v>161705607.38158762</v>
      </c>
      <c r="D84" s="47"/>
      <c r="E84" s="41">
        <f>Additions!J120*$C$5</f>
        <v>0</v>
      </c>
      <c r="F84" s="41">
        <f t="shared" si="13"/>
        <v>1061866.8218057586</v>
      </c>
      <c r="G84" s="41">
        <f t="shared" si="10"/>
        <v>1929969.4273153788</v>
      </c>
      <c r="H84" s="65">
        <f t="shared" si="8"/>
        <v>-868102.60550962016</v>
      </c>
      <c r="I84" s="65"/>
      <c r="J84" s="24">
        <f t="shared" si="11"/>
        <v>182301.54715702022</v>
      </c>
      <c r="K84" s="69">
        <f t="shared" si="12"/>
        <v>160692.64948893784</v>
      </c>
      <c r="L84" s="47">
        <f t="shared" si="9"/>
        <v>161180498.97272393</v>
      </c>
    </row>
    <row r="85" spans="1:12">
      <c r="A85" s="64">
        <v>114</v>
      </c>
      <c r="B85" s="21">
        <v>45962</v>
      </c>
      <c r="C85" s="47">
        <f t="shared" si="7"/>
        <v>161180498.97272393</v>
      </c>
      <c r="D85" s="47"/>
      <c r="E85" s="41">
        <f>Additions!J121*$C$5</f>
        <v>0</v>
      </c>
      <c r="F85" s="41">
        <f t="shared" si="13"/>
        <v>1058418.609920887</v>
      </c>
      <c r="G85" s="41">
        <f t="shared" si="10"/>
        <v>1929969.4273153788</v>
      </c>
      <c r="H85" s="65">
        <f t="shared" si="8"/>
        <v>-871550.81739449175</v>
      </c>
      <c r="I85" s="65"/>
      <c r="J85" s="24">
        <f t="shared" si="11"/>
        <v>183025.67165284327</v>
      </c>
      <c r="K85" s="69">
        <f t="shared" si="12"/>
        <v>160692.64948893784</v>
      </c>
      <c r="L85" s="47">
        <f t="shared" si="9"/>
        <v>160652666.47647122</v>
      </c>
    </row>
    <row r="86" spans="1:12">
      <c r="A86" s="64">
        <v>115</v>
      </c>
      <c r="B86" s="21">
        <v>45992</v>
      </c>
      <c r="C86" s="47">
        <f t="shared" si="7"/>
        <v>160652666.47647122</v>
      </c>
      <c r="D86" s="47"/>
      <c r="E86" s="41">
        <f>Additions!J122*$C$5</f>
        <v>0</v>
      </c>
      <c r="F86" s="41">
        <f t="shared" si="13"/>
        <v>1054952.5098621608</v>
      </c>
      <c r="G86" s="41">
        <f t="shared" si="10"/>
        <v>1929969.4273153788</v>
      </c>
      <c r="H86" s="65">
        <f t="shared" si="8"/>
        <v>-875016.91745321802</v>
      </c>
      <c r="I86" s="65"/>
      <c r="J86" s="24">
        <f t="shared" si="11"/>
        <v>183753.55266517578</v>
      </c>
      <c r="K86" s="69">
        <f t="shared" si="12"/>
        <v>160692.64948893784</v>
      </c>
      <c r="L86" s="47">
        <f t="shared" si="9"/>
        <v>160122095.76117209</v>
      </c>
    </row>
    <row r="87" spans="1:12">
      <c r="A87" s="64">
        <v>116</v>
      </c>
      <c r="B87" s="21">
        <v>46023</v>
      </c>
      <c r="C87" s="47">
        <f t="shared" si="7"/>
        <v>160122095.76117209</v>
      </c>
      <c r="D87" s="47"/>
      <c r="E87" s="41">
        <f>Additions!J123*$C$5</f>
        <v>0</v>
      </c>
      <c r="F87" s="41">
        <f t="shared" si="13"/>
        <v>1051468.4288316965</v>
      </c>
      <c r="G87" s="41">
        <f t="shared" si="10"/>
        <v>1929969.4273153788</v>
      </c>
      <c r="H87" s="65">
        <f t="shared" si="8"/>
        <v>-878500.99848368228</v>
      </c>
      <c r="I87" s="65"/>
      <c r="J87" s="24">
        <f t="shared" si="11"/>
        <v>184485.20968157327</v>
      </c>
      <c r="K87" s="69">
        <f t="shared" si="12"/>
        <v>160692.64948893784</v>
      </c>
      <c r="L87" s="47">
        <f t="shared" si="9"/>
        <v>159588772.62185889</v>
      </c>
    </row>
    <row r="88" spans="1:12">
      <c r="A88" s="64">
        <v>117</v>
      </c>
      <c r="B88" s="21">
        <v>46054</v>
      </c>
      <c r="C88" s="47">
        <f t="shared" si="7"/>
        <v>159588772.62185889</v>
      </c>
      <c r="D88" s="47"/>
      <c r="E88" s="41">
        <f>Additions!J124*$C$5</f>
        <v>0</v>
      </c>
      <c r="F88" s="41">
        <f t="shared" si="13"/>
        <v>1047966.2735502067</v>
      </c>
      <c r="G88" s="41">
        <f t="shared" si="10"/>
        <v>1929969.4273153788</v>
      </c>
      <c r="H88" s="65">
        <f t="shared" si="8"/>
        <v>-882003.15376517212</v>
      </c>
      <c r="I88" s="65"/>
      <c r="J88" s="24">
        <f t="shared" si="11"/>
        <v>185220.66229068613</v>
      </c>
      <c r="K88" s="69">
        <f t="shared" si="12"/>
        <v>160692.64948893784</v>
      </c>
      <c r="L88" s="47">
        <f t="shared" si="9"/>
        <v>159052682.77987334</v>
      </c>
    </row>
    <row r="89" spans="1:12">
      <c r="A89" s="64">
        <v>118</v>
      </c>
      <c r="B89" s="21">
        <v>46082</v>
      </c>
      <c r="C89" s="47">
        <f t="shared" si="7"/>
        <v>159052682.77987334</v>
      </c>
      <c r="D89" s="47"/>
      <c r="E89" s="41">
        <f>Additions!J125*$C$5</f>
        <v>0</v>
      </c>
      <c r="F89" s="41">
        <f t="shared" si="13"/>
        <v>1044445.9502545015</v>
      </c>
      <c r="G89" s="41">
        <f t="shared" si="10"/>
        <v>1929969.4273153788</v>
      </c>
      <c r="H89" s="65">
        <f t="shared" si="8"/>
        <v>-885523.47706087725</v>
      </c>
      <c r="I89" s="65"/>
      <c r="J89" s="24">
        <f t="shared" si="11"/>
        <v>185959.93018278421</v>
      </c>
      <c r="K89" s="69">
        <f t="shared" si="12"/>
        <v>160692.64948893784</v>
      </c>
      <c r="L89" s="47">
        <f t="shared" si="9"/>
        <v>158513811.88248417</v>
      </c>
    </row>
    <row r="90" spans="1:12">
      <c r="A90" s="64">
        <v>119</v>
      </c>
      <c r="B90" s="21">
        <v>46113</v>
      </c>
      <c r="C90" s="47">
        <f t="shared" si="7"/>
        <v>158513811.88248417</v>
      </c>
      <c r="D90" s="47"/>
      <c r="E90" s="41">
        <f>Additions!J126*$C$5</f>
        <v>0</v>
      </c>
      <c r="F90" s="41">
        <f t="shared" si="13"/>
        <v>1040907.3646949793</v>
      </c>
      <c r="G90" s="41">
        <f t="shared" si="10"/>
        <v>1929969.4273153788</v>
      </c>
      <c r="H90" s="65">
        <f t="shared" si="8"/>
        <v>-889062.06262039952</v>
      </c>
      <c r="I90" s="65"/>
      <c r="J90" s="24">
        <f t="shared" si="11"/>
        <v>186703.03315028388</v>
      </c>
      <c r="K90" s="69">
        <f t="shared" si="12"/>
        <v>160692.64948893784</v>
      </c>
      <c r="L90" s="47">
        <f t="shared" si="9"/>
        <v>157972145.50250298</v>
      </c>
    </row>
    <row r="91" spans="1:12">
      <c r="A91" s="64">
        <v>120</v>
      </c>
      <c r="B91" s="21">
        <v>46143</v>
      </c>
      <c r="C91" s="47">
        <f t="shared" si="7"/>
        <v>157972145.50250298</v>
      </c>
      <c r="D91" s="47"/>
      <c r="E91" s="41">
        <f>Additions!J127*$C$5</f>
        <v>0</v>
      </c>
      <c r="F91" s="41">
        <f t="shared" si="13"/>
        <v>1037350.4221331028</v>
      </c>
      <c r="G91" s="41">
        <f t="shared" si="10"/>
        <v>1929969.4273153788</v>
      </c>
      <c r="H91" s="65">
        <f t="shared" si="8"/>
        <v>-892619.00518227601</v>
      </c>
      <c r="I91" s="65"/>
      <c r="J91" s="24">
        <f t="shared" si="11"/>
        <v>187449.99108827795</v>
      </c>
      <c r="K91" s="69">
        <f t="shared" si="12"/>
        <v>160692.64948893784</v>
      </c>
      <c r="L91" s="47">
        <f t="shared" si="9"/>
        <v>157427669.13789788</v>
      </c>
    </row>
    <row r="92" spans="1:12">
      <c r="A92" s="64">
        <v>121</v>
      </c>
      <c r="B92" s="21">
        <v>46174</v>
      </c>
      <c r="C92" s="47">
        <f t="shared" si="7"/>
        <v>157427669.13789788</v>
      </c>
      <c r="D92" s="47"/>
      <c r="E92" s="41">
        <f>Additions!J128*$C$5</f>
        <v>0</v>
      </c>
      <c r="F92" s="41">
        <f t="shared" si="13"/>
        <v>1033775.0273388627</v>
      </c>
      <c r="G92" s="41">
        <f t="shared" si="10"/>
        <v>1929969.4273153788</v>
      </c>
      <c r="H92" s="65">
        <f t="shared" si="8"/>
        <v>-896194.39997651614</v>
      </c>
      <c r="I92" s="65"/>
      <c r="J92" s="24">
        <f t="shared" si="11"/>
        <v>188200.82399506838</v>
      </c>
      <c r="K92" s="69">
        <f t="shared" si="12"/>
        <v>160692.64948893784</v>
      </c>
      <c r="L92" s="47">
        <f t="shared" si="9"/>
        <v>156880368.21140534</v>
      </c>
    </row>
    <row r="93" spans="1:12">
      <c r="A93" s="64">
        <v>122</v>
      </c>
      <c r="B93" s="21">
        <v>46204</v>
      </c>
      <c r="C93" s="47">
        <f t="shared" si="7"/>
        <v>156880368.21140534</v>
      </c>
      <c r="D93" s="47"/>
      <c r="E93" s="41">
        <f>Additions!J129*$C$5</f>
        <v>0</v>
      </c>
      <c r="F93" s="41">
        <f t="shared" si="13"/>
        <v>1030181.0845882283</v>
      </c>
      <c r="G93" s="41">
        <f t="shared" si="10"/>
        <v>1929969.4273153788</v>
      </c>
      <c r="H93" s="65">
        <f t="shared" si="8"/>
        <v>-899788.34272715054</v>
      </c>
      <c r="I93" s="65"/>
      <c r="J93" s="24">
        <f t="shared" si="11"/>
        <v>188955.55197270159</v>
      </c>
      <c r="K93" s="69">
        <f t="shared" si="12"/>
        <v>160692.64948893784</v>
      </c>
      <c r="L93" s="47">
        <f t="shared" si="9"/>
        <v>156330228.0701398</v>
      </c>
    </row>
    <row r="94" spans="1:12">
      <c r="A94" s="64">
        <v>123</v>
      </c>
      <c r="B94" s="21">
        <v>46235</v>
      </c>
      <c r="C94" s="47">
        <f t="shared" si="7"/>
        <v>156330228.0701398</v>
      </c>
      <c r="D94" s="47"/>
      <c r="E94" s="41">
        <f>Additions!J130*$C$5</f>
        <v>0</v>
      </c>
      <c r="F94" s="41">
        <f t="shared" si="13"/>
        <v>1026568.4976605845</v>
      </c>
      <c r="G94" s="41">
        <f t="shared" si="10"/>
        <v>1929969.4273153788</v>
      </c>
      <c r="H94" s="65">
        <f t="shared" si="8"/>
        <v>-903400.92965479428</v>
      </c>
      <c r="I94" s="65"/>
      <c r="J94" s="24">
        <f t="shared" si="11"/>
        <v>189714.1952275068</v>
      </c>
      <c r="K94" s="69">
        <f t="shared" si="12"/>
        <v>160692.64948893784</v>
      </c>
      <c r="L94" s="47">
        <f t="shared" si="9"/>
        <v>155777233.98520142</v>
      </c>
    </row>
    <row r="95" spans="1:12">
      <c r="A95" s="64">
        <v>124</v>
      </c>
      <c r="B95" s="21">
        <v>46266</v>
      </c>
      <c r="C95" s="47">
        <f t="shared" si="7"/>
        <v>155777233.98520142</v>
      </c>
      <c r="D95" s="47"/>
      <c r="E95" s="41">
        <f>Additions!J131*$C$5</f>
        <v>0</v>
      </c>
      <c r="F95" s="41">
        <f t="shared" si="13"/>
        <v>1022937.1698361558</v>
      </c>
      <c r="G95" s="41">
        <f t="shared" si="10"/>
        <v>1929969.4273153788</v>
      </c>
      <c r="H95" s="65">
        <f t="shared" si="8"/>
        <v>-907032.25747922296</v>
      </c>
      <c r="I95" s="65"/>
      <c r="J95" s="24">
        <f t="shared" si="11"/>
        <v>190476.77407063681</v>
      </c>
      <c r="K95" s="69">
        <f t="shared" si="12"/>
        <v>160692.64948893784</v>
      </c>
      <c r="L95" s="47">
        <f t="shared" si="9"/>
        <v>155221371.15128177</v>
      </c>
    </row>
    <row r="96" spans="1:12">
      <c r="A96" s="64">
        <v>125</v>
      </c>
      <c r="B96" s="21">
        <v>46296</v>
      </c>
      <c r="C96" s="47">
        <f t="shared" si="7"/>
        <v>155221371.15128177</v>
      </c>
      <c r="D96" s="47"/>
      <c r="E96" s="41">
        <f>Additions!J132*$C$5</f>
        <v>0</v>
      </c>
      <c r="F96" s="41">
        <f t="shared" si="13"/>
        <v>1019287.0038934168</v>
      </c>
      <c r="G96" s="41">
        <f t="shared" si="10"/>
        <v>1929969.4273153788</v>
      </c>
      <c r="H96" s="65">
        <f t="shared" si="8"/>
        <v>-910682.42342196195</v>
      </c>
      <c r="I96" s="65"/>
      <c r="J96" s="24">
        <f t="shared" si="11"/>
        <v>191243.30891861199</v>
      </c>
      <c r="K96" s="69">
        <f t="shared" si="12"/>
        <v>160692.64948893784</v>
      </c>
      <c r="L96" s="47">
        <f t="shared" si="9"/>
        <v>154662624.68626735</v>
      </c>
    </row>
    <row r="97" spans="1:12">
      <c r="A97" s="64">
        <v>126</v>
      </c>
      <c r="B97" s="21">
        <v>46327</v>
      </c>
      <c r="C97" s="47">
        <f t="shared" si="7"/>
        <v>154662624.68626735</v>
      </c>
      <c r="D97" s="47"/>
      <c r="E97" s="41">
        <f>Additions!J133*$C$5</f>
        <v>0</v>
      </c>
      <c r="F97" s="41">
        <f t="shared" si="13"/>
        <v>1015617.9021064888</v>
      </c>
      <c r="G97" s="41">
        <f t="shared" si="10"/>
        <v>1929969.4273153788</v>
      </c>
      <c r="H97" s="65">
        <f t="shared" si="8"/>
        <v>-914351.52520888997</v>
      </c>
      <c r="I97" s="65"/>
      <c r="J97" s="24">
        <f t="shared" si="11"/>
        <v>192013.82029386688</v>
      </c>
      <c r="K97" s="69">
        <f t="shared" si="12"/>
        <v>160692.64948893784</v>
      </c>
      <c r="L97" s="47">
        <f t="shared" si="9"/>
        <v>154100979.63084126</v>
      </c>
    </row>
    <row r="98" spans="1:12">
      <c r="A98" s="64">
        <v>127</v>
      </c>
      <c r="B98" s="21">
        <v>46357</v>
      </c>
      <c r="C98" s="47">
        <f t="shared" si="7"/>
        <v>154100979.63084126</v>
      </c>
      <c r="D98" s="47"/>
      <c r="E98" s="41">
        <f>Additions!J134*$C$5</f>
        <v>0</v>
      </c>
      <c r="F98" s="41">
        <f t="shared" si="13"/>
        <v>1011929.7662425241</v>
      </c>
      <c r="G98" s="41">
        <f t="shared" si="10"/>
        <v>1929969.4273153788</v>
      </c>
      <c r="H98" s="65">
        <f t="shared" si="8"/>
        <v>-918039.66107285465</v>
      </c>
      <c r="I98" s="65"/>
      <c r="J98" s="24">
        <f t="shared" si="11"/>
        <v>192788.32882529948</v>
      </c>
      <c r="K98" s="69">
        <f t="shared" si="12"/>
        <v>160692.64948893784</v>
      </c>
      <c r="L98" s="47">
        <f t="shared" si="9"/>
        <v>153536420.94808263</v>
      </c>
    </row>
    <row r="99" spans="1:12">
      <c r="A99" s="64">
        <v>128</v>
      </c>
      <c r="B99" s="21">
        <v>46388</v>
      </c>
      <c r="C99" s="47">
        <f t="shared" si="7"/>
        <v>153536420.94808263</v>
      </c>
      <c r="D99" s="47"/>
      <c r="E99" s="41">
        <f>Additions!J135*$C$5</f>
        <v>0</v>
      </c>
      <c r="F99" s="41">
        <f t="shared" si="13"/>
        <v>1008222.4975590758</v>
      </c>
      <c r="G99" s="41">
        <f t="shared" si="10"/>
        <v>1929969.4273153788</v>
      </c>
      <c r="H99" s="65">
        <f t="shared" si="8"/>
        <v>-921746.92975630297</v>
      </c>
      <c r="I99" s="65"/>
      <c r="J99" s="24">
        <f t="shared" si="11"/>
        <v>193566.85524882362</v>
      </c>
      <c r="K99" s="69">
        <f t="shared" si="12"/>
        <v>160692.64948893784</v>
      </c>
      <c r="L99" s="47">
        <f t="shared" si="9"/>
        <v>152968933.52306405</v>
      </c>
    </row>
    <row r="100" spans="1:12">
      <c r="A100" s="64">
        <v>129</v>
      </c>
      <c r="B100" s="21">
        <v>46419</v>
      </c>
      <c r="C100" s="47">
        <f t="shared" si="7"/>
        <v>152968933.52306405</v>
      </c>
      <c r="D100" s="47"/>
      <c r="E100" s="41">
        <f>Additions!J136*$C$5</f>
        <v>0</v>
      </c>
      <c r="F100" s="41">
        <f t="shared" si="13"/>
        <v>1004495.9968014538</v>
      </c>
      <c r="G100" s="41">
        <f t="shared" si="10"/>
        <v>1929969.4273153788</v>
      </c>
      <c r="H100" s="65">
        <f t="shared" si="8"/>
        <v>-925473.43051392504</v>
      </c>
      <c r="I100" s="65"/>
      <c r="J100" s="24">
        <f t="shared" si="11"/>
        <v>194349.42040792425</v>
      </c>
      <c r="K100" s="69">
        <f t="shared" si="12"/>
        <v>160692.64948893784</v>
      </c>
      <c r="L100" s="47">
        <f t="shared" si="9"/>
        <v>152398502.16244698</v>
      </c>
    </row>
    <row r="101" spans="1:12">
      <c r="A101" s="64">
        <v>130</v>
      </c>
      <c r="B101" s="21">
        <v>46447</v>
      </c>
      <c r="C101" s="47">
        <f t="shared" si="7"/>
        <v>152398502.16244698</v>
      </c>
      <c r="D101" s="47"/>
      <c r="E101" s="41">
        <f>Additions!J137*$C$5</f>
        <v>0</v>
      </c>
      <c r="F101" s="41">
        <f t="shared" si="13"/>
        <v>1000750.1642000683</v>
      </c>
      <c r="G101" s="41">
        <f t="shared" si="10"/>
        <v>1929969.4273153788</v>
      </c>
      <c r="H101" s="65">
        <f t="shared" si="8"/>
        <v>-929219.26311531046</v>
      </c>
      <c r="I101" s="65"/>
      <c r="J101" s="24">
        <f t="shared" si="11"/>
        <v>195136.04525421519</v>
      </c>
      <c r="K101" s="69">
        <f t="shared" si="12"/>
        <v>160692.64948893784</v>
      </c>
      <c r="L101" s="47">
        <f t="shared" si="9"/>
        <v>151825111.59407479</v>
      </c>
    </row>
    <row r="102" spans="1:12">
      <c r="A102" s="64">
        <v>131</v>
      </c>
      <c r="B102" s="21">
        <v>46478</v>
      </c>
      <c r="C102" s="47">
        <f t="shared" si="7"/>
        <v>151825111.59407479</v>
      </c>
      <c r="D102" s="47"/>
      <c r="E102" s="41">
        <f>Additions!J138*$C$5</f>
        <v>0</v>
      </c>
      <c r="F102" s="41">
        <f t="shared" si="13"/>
        <v>996984.89946775767</v>
      </c>
      <c r="G102" s="41">
        <f t="shared" si="10"/>
        <v>1929969.4273153788</v>
      </c>
      <c r="H102" s="65">
        <f t="shared" si="8"/>
        <v>-932984.52784762112</v>
      </c>
      <c r="I102" s="65"/>
      <c r="J102" s="24">
        <f t="shared" si="11"/>
        <v>195926.75084800043</v>
      </c>
      <c r="K102" s="69">
        <f t="shared" si="12"/>
        <v>160692.64948893784</v>
      </c>
      <c r="L102" s="47">
        <f t="shared" si="9"/>
        <v>151248746.46656409</v>
      </c>
    </row>
    <row r="103" spans="1:12">
      <c r="A103" s="64">
        <v>132</v>
      </c>
      <c r="B103" s="21">
        <v>46508</v>
      </c>
      <c r="C103" s="47">
        <f t="shared" si="7"/>
        <v>151248746.46656409</v>
      </c>
      <c r="D103" s="47"/>
      <c r="E103" s="41">
        <f>Additions!J139*$C$5</f>
        <v>0</v>
      </c>
      <c r="F103" s="41">
        <f t="shared" si="13"/>
        <v>993200.10179710411</v>
      </c>
      <c r="G103" s="41">
        <f t="shared" si="10"/>
        <v>1929969.4273153788</v>
      </c>
      <c r="H103" s="65">
        <f t="shared" si="8"/>
        <v>-936769.32551827468</v>
      </c>
      <c r="I103" s="65"/>
      <c r="J103" s="24">
        <f t="shared" si="11"/>
        <v>196721.55835883768</v>
      </c>
      <c r="K103" s="69">
        <f t="shared" si="12"/>
        <v>160692.64948893784</v>
      </c>
      <c r="L103" s="47">
        <f t="shared" si="9"/>
        <v>150669391.34889358</v>
      </c>
    </row>
    <row r="104" spans="1:12">
      <c r="A104" s="64">
        <v>133</v>
      </c>
      <c r="B104" s="21">
        <v>46539</v>
      </c>
      <c r="C104" s="47">
        <f t="shared" si="7"/>
        <v>150669391.34889358</v>
      </c>
      <c r="D104" s="47"/>
      <c r="E104" s="41">
        <f>Additions!J140*$C$5</f>
        <v>0</v>
      </c>
      <c r="F104" s="41">
        <f t="shared" si="13"/>
        <v>989395.66985773447</v>
      </c>
      <c r="G104" s="41">
        <f t="shared" si="10"/>
        <v>1929969.4273153788</v>
      </c>
      <c r="H104" s="65">
        <f t="shared" si="8"/>
        <v>-940573.75745764433</v>
      </c>
      <c r="I104" s="65"/>
      <c r="J104" s="24">
        <f t="shared" si="11"/>
        <v>197520.48906610531</v>
      </c>
      <c r="K104" s="69">
        <f t="shared" si="12"/>
        <v>160692.64948893784</v>
      </c>
      <c r="L104" s="47">
        <f t="shared" si="9"/>
        <v>150087030.72999096</v>
      </c>
    </row>
    <row r="105" spans="1:12">
      <c r="A105" s="64">
        <v>134</v>
      </c>
      <c r="B105" s="21">
        <v>46569</v>
      </c>
      <c r="C105" s="47">
        <f t="shared" si="7"/>
        <v>150087030.72999096</v>
      </c>
      <c r="D105" s="47"/>
      <c r="E105" s="41">
        <f>Additions!J141*$C$5</f>
        <v>0</v>
      </c>
      <c r="F105" s="41">
        <f t="shared" si="13"/>
        <v>985571.50179360714</v>
      </c>
      <c r="G105" s="41">
        <f t="shared" si="10"/>
        <v>1929969.4273153788</v>
      </c>
      <c r="H105" s="65">
        <f t="shared" si="8"/>
        <v>-944397.92552177166</v>
      </c>
      <c r="I105" s="65"/>
      <c r="J105" s="24">
        <f t="shared" si="11"/>
        <v>198323.56435957205</v>
      </c>
      <c r="K105" s="69">
        <f t="shared" si="12"/>
        <v>160692.64948893784</v>
      </c>
      <c r="L105" s="47">
        <f t="shared" si="9"/>
        <v>149501649.01831767</v>
      </c>
    </row>
    <row r="106" spans="1:12">
      <c r="A106" s="64">
        <v>135</v>
      </c>
      <c r="B106" s="21">
        <v>46600</v>
      </c>
      <c r="C106" s="47">
        <f t="shared" si="7"/>
        <v>149501649.01831767</v>
      </c>
      <c r="D106" s="47"/>
      <c r="E106" s="41">
        <f>Additions!J142*$C$5</f>
        <v>0</v>
      </c>
      <c r="F106" s="41">
        <f t="shared" si="13"/>
        <v>981727.49522028596</v>
      </c>
      <c r="G106" s="41">
        <f t="shared" si="10"/>
        <v>1929969.4273153788</v>
      </c>
      <c r="H106" s="65">
        <f t="shared" si="8"/>
        <v>-948241.93209509284</v>
      </c>
      <c r="I106" s="65"/>
      <c r="J106" s="24">
        <f t="shared" si="11"/>
        <v>199130.80573996948</v>
      </c>
      <c r="K106" s="69">
        <f t="shared" si="12"/>
        <v>160692.64948893784</v>
      </c>
      <c r="L106" s="47">
        <f t="shared" si="9"/>
        <v>148913230.54145145</v>
      </c>
    </row>
    <row r="107" spans="1:12">
      <c r="A107" s="64">
        <v>136</v>
      </c>
      <c r="B107" s="21">
        <v>46631</v>
      </c>
      <c r="C107" s="47">
        <f t="shared" si="7"/>
        <v>148913230.54145145</v>
      </c>
      <c r="D107" s="47"/>
      <c r="E107" s="41">
        <f>Additions!J143*$C$5</f>
        <v>0</v>
      </c>
      <c r="F107" s="41">
        <f t="shared" si="13"/>
        <v>977863.54722219775</v>
      </c>
      <c r="G107" s="41">
        <f t="shared" si="10"/>
        <v>1929969.4273153788</v>
      </c>
      <c r="H107" s="65">
        <f t="shared" si="8"/>
        <v>-952105.88009318104</v>
      </c>
      <c r="I107" s="65"/>
      <c r="J107" s="24">
        <f t="shared" si="11"/>
        <v>199942.23481956802</v>
      </c>
      <c r="K107" s="69">
        <f t="shared" si="12"/>
        <v>160692.64948893784</v>
      </c>
      <c r="L107" s="47">
        <f t="shared" si="9"/>
        <v>148321759.54566675</v>
      </c>
    </row>
    <row r="108" spans="1:12">
      <c r="A108" s="64">
        <v>137</v>
      </c>
      <c r="B108" s="21">
        <v>46661</v>
      </c>
      <c r="C108" s="47">
        <f t="shared" si="7"/>
        <v>148321759.54566675</v>
      </c>
      <c r="D108" s="47"/>
      <c r="E108" s="41">
        <f>Additions!J144*$C$5</f>
        <v>0</v>
      </c>
      <c r="F108" s="41">
        <f t="shared" si="13"/>
        <v>973979.55434987822</v>
      </c>
      <c r="G108" s="41">
        <f t="shared" si="10"/>
        <v>1929969.4273153788</v>
      </c>
      <c r="H108" s="65">
        <f t="shared" si="8"/>
        <v>-955989.87296550057</v>
      </c>
      <c r="I108" s="65"/>
      <c r="J108" s="24">
        <f t="shared" si="11"/>
        <v>200757.87332275513</v>
      </c>
      <c r="K108" s="69">
        <f t="shared" si="12"/>
        <v>160692.64948893784</v>
      </c>
      <c r="L108" s="47">
        <f t="shared" si="9"/>
        <v>147727220.19551292</v>
      </c>
    </row>
    <row r="109" spans="1:12">
      <c r="A109" s="64">
        <v>138</v>
      </c>
      <c r="B109" s="21">
        <v>46692</v>
      </c>
      <c r="C109" s="47">
        <f t="shared" si="7"/>
        <v>147727220.19551292</v>
      </c>
      <c r="D109" s="47"/>
      <c r="E109" s="41">
        <f>Additions!J145*$C$5</f>
        <v>0</v>
      </c>
      <c r="F109" s="41">
        <f t="shared" si="13"/>
        <v>970075.41261720145</v>
      </c>
      <c r="G109" s="41">
        <f t="shared" si="10"/>
        <v>1929969.4273153788</v>
      </c>
      <c r="H109" s="65">
        <f t="shared" si="8"/>
        <v>-959894.01469817734</v>
      </c>
      <c r="I109" s="65"/>
      <c r="J109" s="24">
        <f t="shared" si="11"/>
        <v>201577.74308661724</v>
      </c>
      <c r="K109" s="69">
        <f t="shared" si="12"/>
        <v>160692.64948893784</v>
      </c>
      <c r="L109" s="47">
        <f t="shared" si="9"/>
        <v>147129596.57339028</v>
      </c>
    </row>
    <row r="110" spans="1:12">
      <c r="A110" s="64">
        <v>139</v>
      </c>
      <c r="B110" s="21">
        <v>46722</v>
      </c>
      <c r="C110" s="47">
        <f t="shared" si="7"/>
        <v>147129596.57339028</v>
      </c>
      <c r="D110" s="47"/>
      <c r="E110" s="41">
        <f>Additions!J146*$C$5</f>
        <v>0</v>
      </c>
      <c r="F110" s="41">
        <f t="shared" si="13"/>
        <v>966151.01749859599</v>
      </c>
      <c r="G110" s="41">
        <f t="shared" si="10"/>
        <v>1929969.4273153788</v>
      </c>
      <c r="H110" s="65">
        <f t="shared" si="8"/>
        <v>-963818.40981678281</v>
      </c>
      <c r="I110" s="65"/>
      <c r="J110" s="24">
        <f t="shared" si="11"/>
        <v>202401.86606152437</v>
      </c>
      <c r="K110" s="69">
        <f t="shared" si="12"/>
        <v>160692.64948893784</v>
      </c>
      <c r="L110" s="47">
        <f t="shared" si="9"/>
        <v>146528872.67912394</v>
      </c>
    </row>
    <row r="111" spans="1:12">
      <c r="A111" s="64">
        <v>140</v>
      </c>
      <c r="B111" s="21">
        <v>46753</v>
      </c>
      <c r="C111" s="47">
        <f t="shared" si="7"/>
        <v>146528872.67912394</v>
      </c>
      <c r="D111" s="47"/>
      <c r="E111" s="41">
        <f>Additions!J147*$C$5</f>
        <v>0</v>
      </c>
      <c r="F111" s="41">
        <f t="shared" si="13"/>
        <v>962206.26392624713</v>
      </c>
      <c r="G111" s="41">
        <f t="shared" si="10"/>
        <v>1929969.4273153788</v>
      </c>
      <c r="H111" s="65">
        <f t="shared" si="8"/>
        <v>-967763.16338913166</v>
      </c>
      <c r="I111" s="65"/>
      <c r="J111" s="24">
        <f t="shared" si="11"/>
        <v>203230.26431171765</v>
      </c>
      <c r="K111" s="69">
        <f t="shared" si="12"/>
        <v>160692.64948893784</v>
      </c>
      <c r="L111" s="47">
        <f t="shared" si="9"/>
        <v>145925032.42953545</v>
      </c>
    </row>
    <row r="112" spans="1:12">
      <c r="A112" s="64">
        <v>141</v>
      </c>
      <c r="B112" s="21">
        <v>46784</v>
      </c>
      <c r="C112" s="47">
        <f t="shared" si="7"/>
        <v>145925032.42953545</v>
      </c>
      <c r="D112" s="47"/>
      <c r="E112" s="41">
        <f>Additions!J148*$C$5</f>
        <v>0</v>
      </c>
      <c r="F112" s="41">
        <f t="shared" si="13"/>
        <v>958241.04628728272</v>
      </c>
      <c r="G112" s="41">
        <f t="shared" si="10"/>
        <v>1929969.4273153788</v>
      </c>
      <c r="H112" s="65">
        <f t="shared" si="8"/>
        <v>-971728.38102809608</v>
      </c>
      <c r="I112" s="65"/>
      <c r="J112" s="24">
        <f t="shared" si="11"/>
        <v>204062.96001590017</v>
      </c>
      <c r="K112" s="69">
        <f t="shared" si="12"/>
        <v>160692.64948893784</v>
      </c>
      <c r="L112" s="47">
        <f t="shared" si="9"/>
        <v>145318059.65801215</v>
      </c>
    </row>
    <row r="113" spans="1:12">
      <c r="A113" s="64">
        <v>142</v>
      </c>
      <c r="B113" s="21">
        <v>46813</v>
      </c>
      <c r="C113" s="47">
        <f t="shared" si="7"/>
        <v>145318059.65801215</v>
      </c>
      <c r="D113" s="47"/>
      <c r="E113" s="41">
        <f>Additions!J149*$C$5</f>
        <v>0</v>
      </c>
      <c r="F113" s="41">
        <f t="shared" si="13"/>
        <v>954255.25842094631</v>
      </c>
      <c r="G113" s="41">
        <f t="shared" si="10"/>
        <v>1929969.4273153788</v>
      </c>
      <c r="H113" s="65">
        <f t="shared" si="8"/>
        <v>-975714.16889443249</v>
      </c>
      <c r="I113" s="65"/>
      <c r="J113" s="24">
        <f t="shared" si="11"/>
        <v>204899.97546783081</v>
      </c>
      <c r="K113" s="69">
        <f t="shared" si="12"/>
        <v>160692.64948893784</v>
      </c>
      <c r="L113" s="47">
        <f t="shared" si="9"/>
        <v>144707938.11407447</v>
      </c>
    </row>
    <row r="114" spans="1:12">
      <c r="A114" s="64">
        <v>143</v>
      </c>
      <c r="B114" s="21">
        <v>46844</v>
      </c>
      <c r="C114" s="47">
        <f t="shared" si="7"/>
        <v>144707938.11407447</v>
      </c>
      <c r="D114" s="47"/>
      <c r="E114" s="41">
        <f>Additions!J150*$C$5</f>
        <v>0</v>
      </c>
      <c r="F114" s="41">
        <f t="shared" si="13"/>
        <v>950248.79361575563</v>
      </c>
      <c r="G114" s="41">
        <f t="shared" si="10"/>
        <v>1929969.4273153788</v>
      </c>
      <c r="H114" s="65">
        <f t="shared" si="8"/>
        <v>-979720.63369962317</v>
      </c>
      <c r="I114" s="65"/>
      <c r="J114" s="24">
        <f t="shared" si="11"/>
        <v>205741.33307692086</v>
      </c>
      <c r="K114" s="69">
        <f t="shared" si="12"/>
        <v>160692.64948893784</v>
      </c>
      <c r="L114" s="47">
        <f t="shared" si="9"/>
        <v>144094651.46294069</v>
      </c>
    </row>
    <row r="115" spans="1:12">
      <c r="A115" s="64">
        <v>144</v>
      </c>
      <c r="B115" s="21">
        <v>46874</v>
      </c>
      <c r="C115" s="47">
        <f t="shared" si="7"/>
        <v>144094651.46294069</v>
      </c>
      <c r="D115" s="47"/>
      <c r="E115" s="41">
        <f>Additions!J151*$C$5</f>
        <v>0</v>
      </c>
      <c r="F115" s="41">
        <f t="shared" si="13"/>
        <v>946221.54460664373</v>
      </c>
      <c r="G115" s="41">
        <f t="shared" si="10"/>
        <v>1929969.4273153788</v>
      </c>
      <c r="H115" s="65">
        <f t="shared" si="8"/>
        <v>-983747.88270873507</v>
      </c>
      <c r="I115" s="65"/>
      <c r="J115" s="24">
        <f t="shared" si="11"/>
        <v>206587.05536883435</v>
      </c>
      <c r="K115" s="69">
        <f t="shared" si="12"/>
        <v>160692.64948893784</v>
      </c>
      <c r="L115" s="47">
        <f t="shared" si="9"/>
        <v>143478183.28508973</v>
      </c>
    </row>
    <row r="116" spans="1:12">
      <c r="A116" s="64">
        <v>145</v>
      </c>
      <c r="B116" s="21">
        <v>46905</v>
      </c>
      <c r="C116" s="47">
        <f t="shared" si="7"/>
        <v>143478183.28508973</v>
      </c>
      <c r="D116" s="47"/>
      <c r="E116" s="41">
        <f>Additions!J152*$C$5</f>
        <v>0</v>
      </c>
      <c r="F116" s="41">
        <f t="shared" si="13"/>
        <v>942173.40357208916</v>
      </c>
      <c r="G116" s="41">
        <f t="shared" si="10"/>
        <v>1929969.4273153788</v>
      </c>
      <c r="H116" s="65">
        <f t="shared" si="8"/>
        <v>-987796.02374328964</v>
      </c>
      <c r="I116" s="65"/>
      <c r="J116" s="24">
        <f t="shared" si="11"/>
        <v>207437.16498609082</v>
      </c>
      <c r="K116" s="69">
        <f t="shared" si="12"/>
        <v>160692.64948893784</v>
      </c>
      <c r="L116" s="47">
        <f t="shared" si="9"/>
        <v>142858517.07582146</v>
      </c>
    </row>
    <row r="117" spans="1:12">
      <c r="A117" s="64">
        <v>146</v>
      </c>
      <c r="B117" s="21">
        <v>46935</v>
      </c>
      <c r="C117" s="47">
        <f t="shared" si="7"/>
        <v>142858517.07582146</v>
      </c>
      <c r="D117" s="47"/>
      <c r="E117" s="41">
        <f>Additions!J153*$C$5</f>
        <v>0</v>
      </c>
      <c r="F117" s="41">
        <f t="shared" si="13"/>
        <v>938104.26213122753</v>
      </c>
      <c r="G117" s="41">
        <f t="shared" si="10"/>
        <v>1929969.4273153788</v>
      </c>
      <c r="H117" s="65">
        <f t="shared" si="8"/>
        <v>-991865.16518415126</v>
      </c>
      <c r="I117" s="65"/>
      <c r="J117" s="24">
        <f t="shared" si="11"/>
        <v>208291.68468867175</v>
      </c>
      <c r="K117" s="69">
        <f t="shared" si="12"/>
        <v>160692.64948893784</v>
      </c>
      <c r="L117" s="47">
        <f t="shared" si="9"/>
        <v>142235636.24481487</v>
      </c>
    </row>
    <row r="118" spans="1:12">
      <c r="A118" s="64">
        <v>147</v>
      </c>
      <c r="B118" s="21">
        <v>46966</v>
      </c>
      <c r="C118" s="47">
        <f t="shared" si="7"/>
        <v>142235636.24481487</v>
      </c>
      <c r="D118" s="47"/>
      <c r="E118" s="41">
        <f>Additions!J154*$C$5</f>
        <v>0</v>
      </c>
      <c r="F118" s="41">
        <f t="shared" si="13"/>
        <v>934014.01134095085</v>
      </c>
      <c r="G118" s="41">
        <f t="shared" si="10"/>
        <v>1929969.4273153788</v>
      </c>
      <c r="H118" s="65">
        <f t="shared" si="8"/>
        <v>-995955.41597442795</v>
      </c>
      <c r="I118" s="65"/>
      <c r="J118" s="24">
        <f t="shared" si="11"/>
        <v>209150.63735462987</v>
      </c>
      <c r="K118" s="69">
        <f t="shared" si="12"/>
        <v>160692.64948893784</v>
      </c>
      <c r="L118" s="47">
        <f t="shared" si="9"/>
        <v>141609524.115684</v>
      </c>
    </row>
    <row r="119" spans="1:12">
      <c r="A119" s="64">
        <v>148</v>
      </c>
      <c r="B119" s="21">
        <v>46997</v>
      </c>
      <c r="C119" s="47">
        <f t="shared" si="7"/>
        <v>141609524.115684</v>
      </c>
      <c r="D119" s="47"/>
      <c r="E119" s="41">
        <f>Additions!J155*$C$5</f>
        <v>0</v>
      </c>
      <c r="F119" s="41">
        <f t="shared" si="13"/>
        <v>929902.54169299151</v>
      </c>
      <c r="G119" s="41">
        <f t="shared" si="10"/>
        <v>1929969.4273153788</v>
      </c>
      <c r="H119" s="65">
        <f t="shared" si="8"/>
        <v>-1000066.8856223873</v>
      </c>
      <c r="I119" s="65"/>
      <c r="J119" s="24">
        <f t="shared" si="11"/>
        <v>210014.04598070131</v>
      </c>
      <c r="K119" s="69">
        <f t="shared" si="12"/>
        <v>160692.64948893784</v>
      </c>
      <c r="L119" s="47">
        <f t="shared" si="9"/>
        <v>140980163.92553124</v>
      </c>
    </row>
    <row r="120" spans="1:12">
      <c r="A120" s="64">
        <v>149</v>
      </c>
      <c r="B120" s="21">
        <v>47027</v>
      </c>
      <c r="C120" s="47">
        <f t="shared" si="7"/>
        <v>140980163.92553124</v>
      </c>
      <c r="D120" s="47"/>
      <c r="E120" s="41">
        <f>Additions!J156*$C$5</f>
        <v>0</v>
      </c>
      <c r="F120" s="41">
        <f t="shared" si="13"/>
        <v>925769.74311098841</v>
      </c>
      <c r="G120" s="41">
        <f t="shared" si="10"/>
        <v>1929969.4273153788</v>
      </c>
      <c r="H120" s="65">
        <f t="shared" si="8"/>
        <v>-1004199.6842043904</v>
      </c>
      <c r="I120" s="65"/>
      <c r="J120" s="24">
        <f t="shared" si="11"/>
        <v>210881.93368292198</v>
      </c>
      <c r="K120" s="69">
        <f t="shared" si="12"/>
        <v>160692.64948893784</v>
      </c>
      <c r="L120" s="47">
        <f t="shared" si="9"/>
        <v>140347538.82449868</v>
      </c>
    </row>
    <row r="121" spans="1:12">
      <c r="A121" s="64">
        <v>150</v>
      </c>
      <c r="B121" s="21">
        <v>47058</v>
      </c>
      <c r="C121" s="47">
        <f t="shared" si="7"/>
        <v>140347538.82449868</v>
      </c>
      <c r="D121" s="47"/>
      <c r="E121" s="41">
        <f>Additions!J157*$C$5</f>
        <v>0</v>
      </c>
      <c r="F121" s="41">
        <f t="shared" si="13"/>
        <v>921615.50494754128</v>
      </c>
      <c r="G121" s="41">
        <f t="shared" si="10"/>
        <v>1929969.4273153788</v>
      </c>
      <c r="H121" s="65">
        <f t="shared" si="8"/>
        <v>-1008353.9223678375</v>
      </c>
      <c r="I121" s="65"/>
      <c r="J121" s="24">
        <f t="shared" si="11"/>
        <v>211754.32369724588</v>
      </c>
      <c r="K121" s="69">
        <f t="shared" si="12"/>
        <v>160692.64948893784</v>
      </c>
      <c r="L121" s="47">
        <f t="shared" si="9"/>
        <v>139711631.87531701</v>
      </c>
    </row>
    <row r="122" spans="1:12">
      <c r="A122" s="64">
        <v>151</v>
      </c>
      <c r="B122" s="21">
        <v>47088</v>
      </c>
      <c r="C122" s="47">
        <f t="shared" si="7"/>
        <v>139711631.87531701</v>
      </c>
      <c r="D122" s="47"/>
      <c r="E122" s="41">
        <f>Additions!J158*$C$5</f>
        <v>0</v>
      </c>
      <c r="F122" s="41">
        <f t="shared" si="13"/>
        <v>917439.7159812483</v>
      </c>
      <c r="G122" s="41">
        <f t="shared" si="10"/>
        <v>1929969.4273153788</v>
      </c>
      <c r="H122" s="65">
        <f t="shared" si="8"/>
        <v>-1012529.7113341305</v>
      </c>
      <c r="I122" s="65"/>
      <c r="J122" s="24">
        <f t="shared" si="11"/>
        <v>212631.23938016739</v>
      </c>
      <c r="K122" s="69">
        <f t="shared" si="12"/>
        <v>160692.64948893784</v>
      </c>
      <c r="L122" s="47">
        <f t="shared" si="9"/>
        <v>139072426.05285197</v>
      </c>
    </row>
    <row r="123" spans="1:12">
      <c r="A123" s="64">
        <v>152</v>
      </c>
      <c r="B123" s="21">
        <v>47119</v>
      </c>
      <c r="C123" s="47">
        <f t="shared" si="7"/>
        <v>139072426.05285197</v>
      </c>
      <c r="D123" s="47"/>
      <c r="E123" s="41">
        <f>Additions!J159*$C$5</f>
        <v>0</v>
      </c>
      <c r="F123" s="41">
        <f t="shared" si="13"/>
        <v>913242.26441372791</v>
      </c>
      <c r="G123" s="41">
        <f t="shared" si="10"/>
        <v>1929969.4273153788</v>
      </c>
      <c r="H123" s="65">
        <f t="shared" si="8"/>
        <v>-1016727.1629016509</v>
      </c>
      <c r="I123" s="65"/>
      <c r="J123" s="24">
        <f t="shared" si="11"/>
        <v>213512.70420934667</v>
      </c>
      <c r="K123" s="69">
        <f t="shared" si="12"/>
        <v>160692.64948893784</v>
      </c>
      <c r="L123" s="47">
        <f t="shared" si="9"/>
        <v>138429904.24364859</v>
      </c>
    </row>
    <row r="124" spans="1:12">
      <c r="A124" s="64">
        <v>153</v>
      </c>
      <c r="B124" s="21">
        <v>47150</v>
      </c>
      <c r="C124" s="47">
        <f t="shared" si="7"/>
        <v>138429904.24364859</v>
      </c>
      <c r="D124" s="47"/>
      <c r="E124" s="41">
        <f>Additions!J160*$C$5</f>
        <v>0</v>
      </c>
      <c r="F124" s="41">
        <f t="shared" si="13"/>
        <v>909023.03786662559</v>
      </c>
      <c r="G124" s="41">
        <f t="shared" si="10"/>
        <v>1929969.4273153788</v>
      </c>
      <c r="H124" s="65">
        <f t="shared" si="8"/>
        <v>-1020946.3894487532</v>
      </c>
      <c r="I124" s="65"/>
      <c r="J124" s="24">
        <f t="shared" si="11"/>
        <v>214398.74178423817</v>
      </c>
      <c r="K124" s="69">
        <f t="shared" si="12"/>
        <v>160692.64948893784</v>
      </c>
      <c r="L124" s="47">
        <f t="shared" si="9"/>
        <v>137784049.245473</v>
      </c>
    </row>
    <row r="125" spans="1:12">
      <c r="A125" s="64">
        <v>154</v>
      </c>
      <c r="B125" s="21">
        <v>47178</v>
      </c>
      <c r="C125" s="47">
        <f t="shared" si="7"/>
        <v>137784049.245473</v>
      </c>
      <c r="D125" s="47"/>
      <c r="E125" s="41">
        <f>Additions!J161*$C$5</f>
        <v>0</v>
      </c>
      <c r="F125" s="41">
        <f t="shared" si="13"/>
        <v>904781.92337860598</v>
      </c>
      <c r="G125" s="41">
        <f t="shared" si="10"/>
        <v>1929969.4273153788</v>
      </c>
      <c r="H125" s="65">
        <f t="shared" si="8"/>
        <v>-1025187.5039367728</v>
      </c>
      <c r="I125" s="65"/>
      <c r="J125" s="24">
        <f t="shared" si="11"/>
        <v>215289.37582672227</v>
      </c>
      <c r="K125" s="69">
        <f t="shared" si="12"/>
        <v>160692.64948893784</v>
      </c>
      <c r="L125" s="47">
        <f t="shared" si="9"/>
        <v>137134843.76685187</v>
      </c>
    </row>
    <row r="126" spans="1:12">
      <c r="A126" s="64">
        <v>155</v>
      </c>
      <c r="B126" s="21">
        <v>47209</v>
      </c>
      <c r="C126" s="47">
        <f t="shared" ref="C126:C189" si="14">L125</f>
        <v>137134843.76685187</v>
      </c>
      <c r="D126" s="47"/>
      <c r="E126" s="41">
        <f>Additions!J162*$C$5</f>
        <v>0</v>
      </c>
      <c r="F126" s="41">
        <f t="shared" si="13"/>
        <v>900518.80740232719</v>
      </c>
      <c r="G126" s="41">
        <f t="shared" si="10"/>
        <v>1929969.4273153788</v>
      </c>
      <c r="H126" s="65">
        <f t="shared" ref="H126:H189" si="15">E126+F126-G126</f>
        <v>-1029450.6199130516</v>
      </c>
      <c r="I126" s="65"/>
      <c r="J126" s="24">
        <f t="shared" si="11"/>
        <v>216184.63018174082</v>
      </c>
      <c r="K126" s="69">
        <f t="shared" si="12"/>
        <v>160692.64948893784</v>
      </c>
      <c r="L126" s="47">
        <f t="shared" ref="L126:L189" si="16">C126+E126+F126-G126+J126+K126</f>
        <v>136482270.42660946</v>
      </c>
    </row>
    <row r="127" spans="1:12">
      <c r="A127" s="64">
        <v>156</v>
      </c>
      <c r="B127" s="21">
        <v>47239</v>
      </c>
      <c r="C127" s="47">
        <f t="shared" si="14"/>
        <v>136482270.42660946</v>
      </c>
      <c r="D127" s="47"/>
      <c r="E127" s="41">
        <f>Additions!J163*$C$5</f>
        <v>0</v>
      </c>
      <c r="F127" s="41">
        <f t="shared" si="13"/>
        <v>896233.57580140198</v>
      </c>
      <c r="G127" s="41">
        <f t="shared" ref="G127:G190" si="17">G126</f>
        <v>1929969.4273153788</v>
      </c>
      <c r="H127" s="65">
        <f t="shared" si="15"/>
        <v>-1033735.8515139768</v>
      </c>
      <c r="I127" s="65"/>
      <c r="J127" s="24">
        <f t="shared" ref="J127:J190" si="18">-H127*0.21</f>
        <v>217084.52881793512</v>
      </c>
      <c r="K127" s="69">
        <f t="shared" si="12"/>
        <v>160692.64948893784</v>
      </c>
      <c r="L127" s="47">
        <f t="shared" si="16"/>
        <v>135826311.75340232</v>
      </c>
    </row>
    <row r="128" spans="1:12">
      <c r="A128" s="64">
        <v>157</v>
      </c>
      <c r="B128" s="21">
        <v>47270</v>
      </c>
      <c r="C128" s="47">
        <f t="shared" si="14"/>
        <v>135826311.75340232</v>
      </c>
      <c r="D128" s="47"/>
      <c r="E128" s="41">
        <f>Additions!J164*$C$5</f>
        <v>0</v>
      </c>
      <c r="F128" s="41">
        <f t="shared" si="13"/>
        <v>891926.11384734185</v>
      </c>
      <c r="G128" s="41">
        <f t="shared" si="17"/>
        <v>1929969.4273153788</v>
      </c>
      <c r="H128" s="65">
        <f t="shared" si="15"/>
        <v>-1038043.3134680369</v>
      </c>
      <c r="I128" s="65"/>
      <c r="J128" s="24">
        <f t="shared" si="18"/>
        <v>217989.09582828774</v>
      </c>
      <c r="K128" s="69">
        <f t="shared" si="12"/>
        <v>160692.64948893784</v>
      </c>
      <c r="L128" s="47">
        <f t="shared" si="16"/>
        <v>135166950.1852515</v>
      </c>
    </row>
    <row r="129" spans="1:12">
      <c r="A129" s="64">
        <v>158</v>
      </c>
      <c r="B129" s="21">
        <v>47300</v>
      </c>
      <c r="C129" s="47">
        <f t="shared" si="14"/>
        <v>135166950.1852515</v>
      </c>
      <c r="D129" s="47"/>
      <c r="E129" s="41">
        <f>Additions!J165*$C$5</f>
        <v>0</v>
      </c>
      <c r="F129" s="41">
        <f t="shared" si="13"/>
        <v>887596.30621648475</v>
      </c>
      <c r="G129" s="41">
        <f t="shared" si="17"/>
        <v>1929969.4273153788</v>
      </c>
      <c r="H129" s="65">
        <f t="shared" si="15"/>
        <v>-1042373.121098894</v>
      </c>
      <c r="I129" s="65"/>
      <c r="J129" s="24">
        <f t="shared" si="18"/>
        <v>218898.35543076776</v>
      </c>
      <c r="K129" s="69">
        <f t="shared" si="12"/>
        <v>160692.64948893784</v>
      </c>
      <c r="L129" s="47">
        <f t="shared" si="16"/>
        <v>134504168.06907231</v>
      </c>
    </row>
    <row r="130" spans="1:12">
      <c r="A130" s="64">
        <v>159</v>
      </c>
      <c r="B130" s="21">
        <v>47331</v>
      </c>
      <c r="C130" s="47">
        <f t="shared" si="14"/>
        <v>134504168.06907231</v>
      </c>
      <c r="D130" s="47"/>
      <c r="E130" s="41">
        <f>Additions!J166*$C$5</f>
        <v>0</v>
      </c>
      <c r="F130" s="41">
        <f t="shared" si="13"/>
        <v>883244.03698690806</v>
      </c>
      <c r="G130" s="41">
        <f t="shared" si="17"/>
        <v>1929969.4273153788</v>
      </c>
      <c r="H130" s="65">
        <f t="shared" si="15"/>
        <v>-1046725.3903284707</v>
      </c>
      <c r="I130" s="65"/>
      <c r="J130" s="24">
        <f t="shared" si="18"/>
        <v>219812.33196897883</v>
      </c>
      <c r="K130" s="69">
        <f t="shared" si="12"/>
        <v>160692.64948893784</v>
      </c>
      <c r="L130" s="47">
        <f t="shared" si="16"/>
        <v>133837947.66020176</v>
      </c>
    </row>
    <row r="131" spans="1:12">
      <c r="A131" s="64">
        <v>160</v>
      </c>
      <c r="B131" s="21">
        <v>47362</v>
      </c>
      <c r="C131" s="47">
        <f t="shared" si="14"/>
        <v>133837947.66020176</v>
      </c>
      <c r="D131" s="47"/>
      <c r="E131" s="41">
        <f>Additions!J167*$C$5</f>
        <v>0</v>
      </c>
      <c r="F131" s="41">
        <f t="shared" si="13"/>
        <v>878869.18963532476</v>
      </c>
      <c r="G131" s="41">
        <f t="shared" si="17"/>
        <v>1929969.4273153788</v>
      </c>
      <c r="H131" s="65">
        <f t="shared" si="15"/>
        <v>-1051100.237680054</v>
      </c>
      <c r="I131" s="65"/>
      <c r="J131" s="24">
        <f t="shared" si="18"/>
        <v>220731.04991281134</v>
      </c>
      <c r="K131" s="69">
        <f t="shared" si="12"/>
        <v>160692.64948893784</v>
      </c>
      <c r="L131" s="47">
        <f t="shared" si="16"/>
        <v>133168271.12192346</v>
      </c>
    </row>
    <row r="132" spans="1:12">
      <c r="A132" s="64">
        <v>161</v>
      </c>
      <c r="B132" s="21">
        <v>47392</v>
      </c>
      <c r="C132" s="47">
        <f t="shared" si="14"/>
        <v>133168271.12192346</v>
      </c>
      <c r="D132" s="47"/>
      <c r="E132" s="41">
        <f>Additions!J168*$C$5</f>
        <v>0</v>
      </c>
      <c r="F132" s="41">
        <f t="shared" si="13"/>
        <v>874471.64703396393</v>
      </c>
      <c r="G132" s="41">
        <f t="shared" si="17"/>
        <v>1929969.4273153788</v>
      </c>
      <c r="H132" s="65">
        <f t="shared" si="15"/>
        <v>-1055497.7802814147</v>
      </c>
      <c r="I132" s="65"/>
      <c r="J132" s="24">
        <f t="shared" si="18"/>
        <v>221654.53385909708</v>
      </c>
      <c r="K132" s="69">
        <f t="shared" ref="K132:K195" si="19">$L$3</f>
        <v>160692.64948893784</v>
      </c>
      <c r="L132" s="47">
        <f t="shared" si="16"/>
        <v>132495120.52499008</v>
      </c>
    </row>
    <row r="133" spans="1:12">
      <c r="A133" s="64">
        <v>162</v>
      </c>
      <c r="B133" s="21">
        <v>47423</v>
      </c>
      <c r="C133" s="47">
        <f t="shared" si="14"/>
        <v>132495120.52499008</v>
      </c>
      <c r="D133" s="47"/>
      <c r="E133" s="41">
        <f>Additions!J169*$C$5</f>
        <v>0</v>
      </c>
      <c r="F133" s="41">
        <f t="shared" si="13"/>
        <v>870051.29144743481</v>
      </c>
      <c r="G133" s="41">
        <f t="shared" si="17"/>
        <v>1929969.4273153788</v>
      </c>
      <c r="H133" s="65">
        <f t="shared" si="15"/>
        <v>-1059918.135867944</v>
      </c>
      <c r="I133" s="65"/>
      <c r="J133" s="24">
        <f t="shared" si="18"/>
        <v>222582.80853226822</v>
      </c>
      <c r="K133" s="69">
        <f t="shared" si="19"/>
        <v>160692.64948893784</v>
      </c>
      <c r="L133" s="47">
        <f t="shared" si="16"/>
        <v>131818477.84714334</v>
      </c>
    </row>
    <row r="134" spans="1:12">
      <c r="A134" s="64">
        <v>163</v>
      </c>
      <c r="B134" s="21">
        <v>47453</v>
      </c>
      <c r="C134" s="47">
        <f t="shared" si="14"/>
        <v>131818477.84714334</v>
      </c>
      <c r="D134" s="47"/>
      <c r="E134" s="41">
        <f>Additions!J170*$C$5</f>
        <v>0</v>
      </c>
      <c r="F134" s="41">
        <f t="shared" si="13"/>
        <v>865608.00452957454</v>
      </c>
      <c r="G134" s="41">
        <f t="shared" si="17"/>
        <v>1929969.4273153788</v>
      </c>
      <c r="H134" s="65">
        <f t="shared" si="15"/>
        <v>-1064361.4227858041</v>
      </c>
      <c r="I134" s="65"/>
      <c r="J134" s="24">
        <f t="shared" si="18"/>
        <v>223515.89878501886</v>
      </c>
      <c r="K134" s="69">
        <f t="shared" si="19"/>
        <v>160692.64948893784</v>
      </c>
      <c r="L134" s="47">
        <f t="shared" si="16"/>
        <v>131138324.9726315</v>
      </c>
    </row>
    <row r="135" spans="1:12">
      <c r="A135" s="64">
        <v>164</v>
      </c>
      <c r="B135" s="21">
        <v>47484</v>
      </c>
      <c r="C135" s="47">
        <f t="shared" si="14"/>
        <v>131138324.9726315</v>
      </c>
      <c r="D135" s="47"/>
      <c r="E135" s="41">
        <f>Additions!J171*$C$5</f>
        <v>0</v>
      </c>
      <c r="F135" s="41">
        <f t="shared" si="13"/>
        <v>861141.6673202801</v>
      </c>
      <c r="G135" s="41">
        <f t="shared" si="17"/>
        <v>1929969.4273153788</v>
      </c>
      <c r="H135" s="65">
        <f t="shared" si="15"/>
        <v>-1068827.7599950987</v>
      </c>
      <c r="I135" s="65"/>
      <c r="J135" s="24">
        <f t="shared" si="18"/>
        <v>224453.82959897071</v>
      </c>
      <c r="K135" s="69">
        <f t="shared" si="19"/>
        <v>160692.64948893784</v>
      </c>
      <c r="L135" s="47">
        <f t="shared" si="16"/>
        <v>130454643.69172432</v>
      </c>
    </row>
    <row r="136" spans="1:12">
      <c r="A136" s="64">
        <v>165</v>
      </c>
      <c r="B136" s="21">
        <v>47515</v>
      </c>
      <c r="C136" s="47">
        <f t="shared" si="14"/>
        <v>130454643.69172432</v>
      </c>
      <c r="D136" s="47"/>
      <c r="E136" s="41">
        <f>Additions!J172*$C$5</f>
        <v>0</v>
      </c>
      <c r="F136" s="41">
        <f t="shared" si="13"/>
        <v>856652.16024232295</v>
      </c>
      <c r="G136" s="41">
        <f t="shared" si="17"/>
        <v>1929969.4273153788</v>
      </c>
      <c r="H136" s="65">
        <f t="shared" si="15"/>
        <v>-1073317.2670730557</v>
      </c>
      <c r="I136" s="65"/>
      <c r="J136" s="24">
        <f t="shared" si="18"/>
        <v>225396.6260853417</v>
      </c>
      <c r="K136" s="69">
        <f t="shared" si="19"/>
        <v>160692.64948893784</v>
      </c>
      <c r="L136" s="47">
        <f t="shared" si="16"/>
        <v>129767415.70022553</v>
      </c>
    </row>
    <row r="137" spans="1:12">
      <c r="A137" s="64">
        <v>166</v>
      </c>
      <c r="B137" s="21">
        <v>47543</v>
      </c>
      <c r="C137" s="47">
        <f t="shared" si="14"/>
        <v>129767415.70022553</v>
      </c>
      <c r="D137" s="47"/>
      <c r="E137" s="41">
        <f>Additions!J173*$C$5</f>
        <v>0</v>
      </c>
      <c r="F137" s="41">
        <f t="shared" si="13"/>
        <v>852139.36309814756</v>
      </c>
      <c r="G137" s="41">
        <f t="shared" si="17"/>
        <v>1929969.4273153788</v>
      </c>
      <c r="H137" s="65">
        <f t="shared" si="15"/>
        <v>-1077830.0642172312</v>
      </c>
      <c r="I137" s="65"/>
      <c r="J137" s="24">
        <f t="shared" si="18"/>
        <v>226344.31348561856</v>
      </c>
      <c r="K137" s="69">
        <f t="shared" si="19"/>
        <v>160692.64948893784</v>
      </c>
      <c r="L137" s="47">
        <f t="shared" si="16"/>
        <v>129076622.59898286</v>
      </c>
    </row>
    <row r="138" spans="1:12">
      <c r="A138" s="64">
        <v>167</v>
      </c>
      <c r="B138" s="21">
        <v>47574</v>
      </c>
      <c r="C138" s="47">
        <f t="shared" si="14"/>
        <v>129076622.59898286</v>
      </c>
      <c r="D138" s="47"/>
      <c r="E138" s="41">
        <f>Additions!J174*$C$5</f>
        <v>0</v>
      </c>
      <c r="F138" s="41">
        <f t="shared" si="13"/>
        <v>847603.15506665397</v>
      </c>
      <c r="G138" s="41">
        <f t="shared" si="17"/>
        <v>1929969.4273153788</v>
      </c>
      <c r="H138" s="65">
        <f t="shared" si="15"/>
        <v>-1082366.2722487249</v>
      </c>
      <c r="I138" s="65"/>
      <c r="J138" s="24">
        <f t="shared" si="18"/>
        <v>227296.91717223224</v>
      </c>
      <c r="K138" s="69">
        <f t="shared" si="19"/>
        <v>160692.64948893784</v>
      </c>
      <c r="L138" s="47">
        <f t="shared" si="16"/>
        <v>128382245.8933953</v>
      </c>
    </row>
    <row r="139" spans="1:12">
      <c r="A139" s="64">
        <v>168</v>
      </c>
      <c r="B139" s="21">
        <v>47604</v>
      </c>
      <c r="C139" s="47">
        <f t="shared" si="14"/>
        <v>128382245.8933953</v>
      </c>
      <c r="D139" s="47"/>
      <c r="E139" s="41">
        <f>Additions!J175*$C$5</f>
        <v>0</v>
      </c>
      <c r="F139" s="41">
        <f t="shared" ref="F139:F202" si="20">L138*$C$3</f>
        <v>843043.41469996236</v>
      </c>
      <c r="G139" s="41">
        <f t="shared" si="17"/>
        <v>1929969.4273153788</v>
      </c>
      <c r="H139" s="65">
        <f t="shared" si="15"/>
        <v>-1086926.0126154164</v>
      </c>
      <c r="I139" s="65"/>
      <c r="J139" s="24">
        <f t="shared" si="18"/>
        <v>228254.46264923745</v>
      </c>
      <c r="K139" s="69">
        <f t="shared" si="19"/>
        <v>160692.64948893784</v>
      </c>
      <c r="L139" s="47">
        <f t="shared" si="16"/>
        <v>127684266.99291806</v>
      </c>
    </row>
    <row r="140" spans="1:12">
      <c r="A140" s="64">
        <v>169</v>
      </c>
      <c r="B140" s="21">
        <v>47635</v>
      </c>
      <c r="C140" s="47">
        <f t="shared" si="14"/>
        <v>127684266.99291806</v>
      </c>
      <c r="D140" s="47"/>
      <c r="E140" s="41">
        <f>Additions!J176*$C$5</f>
        <v>0</v>
      </c>
      <c r="F140" s="41">
        <f t="shared" si="20"/>
        <v>838460.01992016181</v>
      </c>
      <c r="G140" s="41">
        <f t="shared" si="17"/>
        <v>1929969.4273153788</v>
      </c>
      <c r="H140" s="65">
        <f t="shared" si="15"/>
        <v>-1091509.4073952171</v>
      </c>
      <c r="I140" s="65"/>
      <c r="J140" s="24">
        <f t="shared" si="18"/>
        <v>229216.97555299557</v>
      </c>
      <c r="K140" s="69">
        <f t="shared" si="19"/>
        <v>160692.64948893784</v>
      </c>
      <c r="L140" s="47">
        <f t="shared" si="16"/>
        <v>126982667.21056476</v>
      </c>
    </row>
    <row r="141" spans="1:12">
      <c r="A141" s="64">
        <v>170</v>
      </c>
      <c r="B141" s="21">
        <v>47665</v>
      </c>
      <c r="C141" s="47">
        <f t="shared" si="14"/>
        <v>126982667.21056476</v>
      </c>
      <c r="D141" s="47"/>
      <c r="E141" s="41">
        <f>Additions!J177*$C$5</f>
        <v>0</v>
      </c>
      <c r="F141" s="41">
        <f t="shared" si="20"/>
        <v>833852.8480160418</v>
      </c>
      <c r="G141" s="41">
        <f t="shared" si="17"/>
        <v>1929969.4273153788</v>
      </c>
      <c r="H141" s="65">
        <f t="shared" si="15"/>
        <v>-1096116.579299337</v>
      </c>
      <c r="I141" s="65"/>
      <c r="J141" s="24">
        <f t="shared" si="18"/>
        <v>230184.48165286076</v>
      </c>
      <c r="K141" s="69">
        <f t="shared" si="19"/>
        <v>160692.64948893784</v>
      </c>
      <c r="L141" s="47">
        <f t="shared" si="16"/>
        <v>126277427.76240721</v>
      </c>
    </row>
    <row r="142" spans="1:12">
      <c r="A142" s="64">
        <v>171</v>
      </c>
      <c r="B142" s="21">
        <v>47696</v>
      </c>
      <c r="C142" s="47">
        <f t="shared" si="14"/>
        <v>126277427.76240721</v>
      </c>
      <c r="D142" s="47"/>
      <c r="E142" s="41">
        <f>Additions!J178*$C$5</f>
        <v>0</v>
      </c>
      <c r="F142" s="41">
        <f t="shared" si="20"/>
        <v>829221.77563980722</v>
      </c>
      <c r="G142" s="41">
        <f t="shared" si="17"/>
        <v>1929969.4273153788</v>
      </c>
      <c r="H142" s="65">
        <f t="shared" si="15"/>
        <v>-1100747.6516755717</v>
      </c>
      <c r="I142" s="65"/>
      <c r="J142" s="24">
        <f t="shared" si="18"/>
        <v>231157.00685187004</v>
      </c>
      <c r="K142" s="69">
        <f t="shared" si="19"/>
        <v>160692.64948893784</v>
      </c>
      <c r="L142" s="47">
        <f t="shared" si="16"/>
        <v>125568529.76707244</v>
      </c>
    </row>
    <row r="143" spans="1:12">
      <c r="A143" s="64">
        <v>172</v>
      </c>
      <c r="B143" s="21">
        <v>47727</v>
      </c>
      <c r="C143" s="47">
        <f t="shared" si="14"/>
        <v>125568529.76707244</v>
      </c>
      <c r="D143" s="47"/>
      <c r="E143" s="41">
        <f>Additions!J179*$C$5</f>
        <v>0</v>
      </c>
      <c r="F143" s="41">
        <f t="shared" si="20"/>
        <v>824566.67880377558</v>
      </c>
      <c r="G143" s="41">
        <f t="shared" si="17"/>
        <v>1929969.4273153788</v>
      </c>
      <c r="H143" s="65">
        <f t="shared" si="15"/>
        <v>-1105402.7485116031</v>
      </c>
      <c r="I143" s="65"/>
      <c r="J143" s="24">
        <f t="shared" si="18"/>
        <v>232134.57718743663</v>
      </c>
      <c r="K143" s="69">
        <f t="shared" si="19"/>
        <v>160692.64948893784</v>
      </c>
      <c r="L143" s="47">
        <f t="shared" si="16"/>
        <v>124855954.2452372</v>
      </c>
    </row>
    <row r="144" spans="1:12">
      <c r="A144" s="64">
        <v>173</v>
      </c>
      <c r="B144" s="21">
        <v>47757</v>
      </c>
      <c r="C144" s="47">
        <f t="shared" si="14"/>
        <v>124855954.2452372</v>
      </c>
      <c r="D144" s="47"/>
      <c r="E144" s="41">
        <f>Additions!J180*$C$5</f>
        <v>0</v>
      </c>
      <c r="F144" s="41">
        <f t="shared" si="20"/>
        <v>819887.43287705758</v>
      </c>
      <c r="G144" s="41">
        <f t="shared" si="17"/>
        <v>1929969.4273153788</v>
      </c>
      <c r="H144" s="65">
        <f t="shared" si="15"/>
        <v>-1110081.9944383213</v>
      </c>
      <c r="I144" s="65"/>
      <c r="J144" s="24">
        <f t="shared" si="18"/>
        <v>233117.21883204748</v>
      </c>
      <c r="K144" s="69">
        <f t="shared" si="19"/>
        <v>160692.64948893784</v>
      </c>
      <c r="L144" s="47">
        <f t="shared" si="16"/>
        <v>124139682.11911987</v>
      </c>
    </row>
    <row r="145" spans="1:12">
      <c r="A145" s="64">
        <v>174</v>
      </c>
      <c r="B145" s="21">
        <v>47788</v>
      </c>
      <c r="C145" s="47">
        <f t="shared" si="14"/>
        <v>124139682.11911987</v>
      </c>
      <c r="D145" s="47"/>
      <c r="E145" s="41">
        <f>Additions!J181*$C$5</f>
        <v>0</v>
      </c>
      <c r="F145" s="41">
        <f t="shared" si="20"/>
        <v>815183.91258222039</v>
      </c>
      <c r="G145" s="41">
        <f t="shared" si="17"/>
        <v>1929969.4273153788</v>
      </c>
      <c r="H145" s="65">
        <f t="shared" si="15"/>
        <v>-1114785.5147331585</v>
      </c>
      <c r="I145" s="65"/>
      <c r="J145" s="24">
        <f t="shared" si="18"/>
        <v>234104.95809396327</v>
      </c>
      <c r="K145" s="69">
        <f t="shared" si="19"/>
        <v>160692.64948893784</v>
      </c>
      <c r="L145" s="47">
        <f t="shared" si="16"/>
        <v>123419694.2119696</v>
      </c>
    </row>
    <row r="146" spans="1:12">
      <c r="A146" s="64">
        <v>175</v>
      </c>
      <c r="B146" s="21">
        <v>47818</v>
      </c>
      <c r="C146" s="47">
        <f t="shared" si="14"/>
        <v>123419694.2119696</v>
      </c>
      <c r="D146" s="47"/>
      <c r="E146" s="41">
        <f>Additions!J182*$C$5</f>
        <v>0</v>
      </c>
      <c r="F146" s="41">
        <f t="shared" si="20"/>
        <v>810455.99199193367</v>
      </c>
      <c r="G146" s="41">
        <f t="shared" si="17"/>
        <v>1929969.4273153788</v>
      </c>
      <c r="H146" s="65">
        <f t="shared" si="15"/>
        <v>-1119513.4353234451</v>
      </c>
      <c r="I146" s="65"/>
      <c r="J146" s="24">
        <f t="shared" si="18"/>
        <v>235097.82141792346</v>
      </c>
      <c r="K146" s="69">
        <f t="shared" si="19"/>
        <v>160692.64948893784</v>
      </c>
      <c r="L146" s="47">
        <f t="shared" si="16"/>
        <v>122695971.24755302</v>
      </c>
    </row>
    <row r="147" spans="1:12">
      <c r="A147" s="64">
        <v>176</v>
      </c>
      <c r="B147" s="21">
        <v>47849</v>
      </c>
      <c r="C147" s="47">
        <f t="shared" si="14"/>
        <v>122695971.24755302</v>
      </c>
      <c r="D147" s="47"/>
      <c r="E147" s="41">
        <f>Additions!J183*$C$5</f>
        <v>0</v>
      </c>
      <c r="F147" s="41">
        <f t="shared" si="20"/>
        <v>805703.54452559806</v>
      </c>
      <c r="G147" s="41">
        <f t="shared" si="17"/>
        <v>1929969.4273153788</v>
      </c>
      <c r="H147" s="65">
        <f t="shared" si="15"/>
        <v>-1124265.8827897809</v>
      </c>
      <c r="I147" s="65"/>
      <c r="J147" s="24">
        <f t="shared" si="18"/>
        <v>236095.83538585398</v>
      </c>
      <c r="K147" s="69">
        <f t="shared" si="19"/>
        <v>160692.64948893784</v>
      </c>
      <c r="L147" s="47">
        <f t="shared" si="16"/>
        <v>121968493.84963803</v>
      </c>
    </row>
    <row r="148" spans="1:12">
      <c r="A148" s="64">
        <v>177</v>
      </c>
      <c r="B148" s="21">
        <v>47880</v>
      </c>
      <c r="C148" s="47">
        <f t="shared" si="14"/>
        <v>121968493.84963803</v>
      </c>
      <c r="D148" s="47"/>
      <c r="E148" s="41">
        <f>Additions!J184*$C$5</f>
        <v>0</v>
      </c>
      <c r="F148" s="41">
        <f t="shared" si="20"/>
        <v>800926.44294595637</v>
      </c>
      <c r="G148" s="41">
        <f t="shared" si="17"/>
        <v>1929969.4273153788</v>
      </c>
      <c r="H148" s="65">
        <f t="shared" si="15"/>
        <v>-1129042.9843694223</v>
      </c>
      <c r="I148" s="65"/>
      <c r="J148" s="24">
        <f t="shared" si="18"/>
        <v>237099.02671757867</v>
      </c>
      <c r="K148" s="69">
        <f t="shared" si="19"/>
        <v>160692.64948893784</v>
      </c>
      <c r="L148" s="47">
        <f t="shared" si="16"/>
        <v>121237242.54147512</v>
      </c>
    </row>
    <row r="149" spans="1:12">
      <c r="A149" s="64">
        <v>178</v>
      </c>
      <c r="B149" s="21">
        <v>47908</v>
      </c>
      <c r="C149" s="47">
        <f t="shared" si="14"/>
        <v>121237242.54147512</v>
      </c>
      <c r="D149" s="47"/>
      <c r="E149" s="41">
        <f>Additions!J185*$C$5</f>
        <v>0</v>
      </c>
      <c r="F149" s="41">
        <f t="shared" si="20"/>
        <v>796124.55935568654</v>
      </c>
      <c r="G149" s="41">
        <f t="shared" si="17"/>
        <v>1929969.4273153788</v>
      </c>
      <c r="H149" s="65">
        <f t="shared" si="15"/>
        <v>-1133844.8679596921</v>
      </c>
      <c r="I149" s="65"/>
      <c r="J149" s="24">
        <f t="shared" si="18"/>
        <v>238107.42227153535</v>
      </c>
      <c r="K149" s="69">
        <f t="shared" si="19"/>
        <v>160692.64948893784</v>
      </c>
      <c r="L149" s="47">
        <f t="shared" si="16"/>
        <v>120502197.7452759</v>
      </c>
    </row>
    <row r="150" spans="1:12">
      <c r="A150" s="64">
        <v>179</v>
      </c>
      <c r="B150" s="21">
        <v>47939</v>
      </c>
      <c r="C150" s="47">
        <f t="shared" si="14"/>
        <v>120502197.7452759</v>
      </c>
      <c r="D150" s="47"/>
      <c r="E150" s="41">
        <f>Additions!J186*$C$5</f>
        <v>0</v>
      </c>
      <c r="F150" s="41">
        <f t="shared" si="20"/>
        <v>791297.76519397832</v>
      </c>
      <c r="G150" s="41">
        <f t="shared" si="17"/>
        <v>1929969.4273153788</v>
      </c>
      <c r="H150" s="65">
        <f t="shared" si="15"/>
        <v>-1138671.6621214005</v>
      </c>
      <c r="I150" s="65"/>
      <c r="J150" s="24">
        <f t="shared" si="18"/>
        <v>239121.04904549409</v>
      </c>
      <c r="K150" s="69">
        <f t="shared" si="19"/>
        <v>160692.64948893784</v>
      </c>
      <c r="L150" s="47">
        <f t="shared" si="16"/>
        <v>119763339.78168893</v>
      </c>
    </row>
    <row r="151" spans="1:12">
      <c r="A151" s="64">
        <v>180</v>
      </c>
      <c r="B151" s="21">
        <v>47969</v>
      </c>
      <c r="C151" s="47">
        <f t="shared" si="14"/>
        <v>119763339.78168893</v>
      </c>
      <c r="D151" s="47"/>
      <c r="E151" s="41">
        <f>Additions!J187*$C$5</f>
        <v>0</v>
      </c>
      <c r="F151" s="41">
        <f t="shared" si="20"/>
        <v>786445.93123309058</v>
      </c>
      <c r="G151" s="41">
        <f t="shared" si="17"/>
        <v>1929969.4273153788</v>
      </c>
      <c r="H151" s="65">
        <f t="shared" si="15"/>
        <v>-1143523.4960822882</v>
      </c>
      <c r="I151" s="65"/>
      <c r="J151" s="24">
        <f t="shared" si="18"/>
        <v>240139.93417728052</v>
      </c>
      <c r="K151" s="69">
        <f t="shared" si="19"/>
        <v>160692.64948893784</v>
      </c>
      <c r="L151" s="47">
        <f t="shared" si="16"/>
        <v>119020648.86927286</v>
      </c>
    </row>
    <row r="152" spans="1:12">
      <c r="A152" s="64">
        <v>181</v>
      </c>
      <c r="B152" s="21">
        <v>48000</v>
      </c>
      <c r="C152" s="47">
        <f t="shared" si="14"/>
        <v>119020648.86927286</v>
      </c>
      <c r="D152" s="47"/>
      <c r="E152" s="41">
        <f>Additions!J188*$C$5</f>
        <v>0</v>
      </c>
      <c r="F152" s="41">
        <f t="shared" si="20"/>
        <v>781568.92757489171</v>
      </c>
      <c r="G152" s="41">
        <f t="shared" si="17"/>
        <v>1929969.4273153788</v>
      </c>
      <c r="H152" s="65">
        <f t="shared" si="15"/>
        <v>-1148400.499740487</v>
      </c>
      <c r="I152" s="65"/>
      <c r="J152" s="24">
        <f t="shared" si="18"/>
        <v>241164.10494550224</v>
      </c>
      <c r="K152" s="69">
        <f t="shared" si="19"/>
        <v>160692.64948893784</v>
      </c>
      <c r="L152" s="47">
        <f t="shared" si="16"/>
        <v>118274105.1239668</v>
      </c>
    </row>
    <row r="153" spans="1:12">
      <c r="A153" s="64">
        <v>182</v>
      </c>
      <c r="B153" s="21">
        <v>48030</v>
      </c>
      <c r="C153" s="47">
        <f t="shared" si="14"/>
        <v>118274105.1239668</v>
      </c>
      <c r="D153" s="47"/>
      <c r="E153" s="41">
        <f>Additions!J189*$C$5</f>
        <v>0</v>
      </c>
      <c r="F153" s="41">
        <f t="shared" si="20"/>
        <v>776666.6236473819</v>
      </c>
      <c r="G153" s="41">
        <f t="shared" si="17"/>
        <v>1929969.4273153788</v>
      </c>
      <c r="H153" s="65">
        <f t="shared" si="15"/>
        <v>-1153302.803667997</v>
      </c>
      <c r="I153" s="65"/>
      <c r="J153" s="24">
        <f t="shared" si="18"/>
        <v>242193.58877027937</v>
      </c>
      <c r="K153" s="69">
        <f t="shared" si="19"/>
        <v>160692.64948893784</v>
      </c>
      <c r="L153" s="47">
        <f t="shared" si="16"/>
        <v>117523688.55855802</v>
      </c>
    </row>
    <row r="154" spans="1:12">
      <c r="A154" s="64">
        <v>183</v>
      </c>
      <c r="B154" s="21">
        <v>48061</v>
      </c>
      <c r="C154" s="47">
        <f t="shared" si="14"/>
        <v>117523688.55855802</v>
      </c>
      <c r="D154" s="47"/>
      <c r="E154" s="41">
        <f>Additions!J190*$C$5</f>
        <v>0</v>
      </c>
      <c r="F154" s="41">
        <f t="shared" si="20"/>
        <v>771738.88820119761</v>
      </c>
      <c r="G154" s="41">
        <f t="shared" si="17"/>
        <v>1929969.4273153788</v>
      </c>
      <c r="H154" s="65">
        <f t="shared" si="15"/>
        <v>-1158230.5391141812</v>
      </c>
      <c r="I154" s="65"/>
      <c r="J154" s="24">
        <f t="shared" si="18"/>
        <v>243228.41321397803</v>
      </c>
      <c r="K154" s="69">
        <f t="shared" si="19"/>
        <v>160692.64948893784</v>
      </c>
      <c r="L154" s="47">
        <f t="shared" si="16"/>
        <v>116769379.08214675</v>
      </c>
    </row>
    <row r="155" spans="1:12">
      <c r="A155" s="64">
        <v>184</v>
      </c>
      <c r="B155" s="21">
        <v>48092</v>
      </c>
      <c r="C155" s="47">
        <f t="shared" si="14"/>
        <v>116769379.08214675</v>
      </c>
      <c r="D155" s="47"/>
      <c r="E155" s="41">
        <f>Additions!J191*$C$5</f>
        <v>0</v>
      </c>
      <c r="F155" s="41">
        <f t="shared" si="20"/>
        <v>766785.5893060969</v>
      </c>
      <c r="G155" s="41">
        <f t="shared" si="17"/>
        <v>1929969.4273153788</v>
      </c>
      <c r="H155" s="65">
        <f t="shared" si="15"/>
        <v>-1163183.838009282</v>
      </c>
      <c r="I155" s="65"/>
      <c r="J155" s="24">
        <f t="shared" si="18"/>
        <v>244268.60598194922</v>
      </c>
      <c r="K155" s="69">
        <f t="shared" si="19"/>
        <v>160692.64948893784</v>
      </c>
      <c r="L155" s="47">
        <f t="shared" si="16"/>
        <v>116011156.49960835</v>
      </c>
    </row>
    <row r="156" spans="1:12">
      <c r="A156" s="64">
        <v>185</v>
      </c>
      <c r="B156" s="21">
        <v>48122</v>
      </c>
      <c r="C156" s="47">
        <f t="shared" si="14"/>
        <v>116011156.49960835</v>
      </c>
      <c r="D156" s="47"/>
      <c r="E156" s="41">
        <f>Additions!J192*$C$5</f>
        <v>0</v>
      </c>
      <c r="F156" s="41">
        <f t="shared" si="20"/>
        <v>761806.59434742806</v>
      </c>
      <c r="G156" s="41">
        <f t="shared" si="17"/>
        <v>1929969.4273153788</v>
      </c>
      <c r="H156" s="65">
        <f t="shared" si="15"/>
        <v>-1168162.8329679507</v>
      </c>
      <c r="I156" s="65"/>
      <c r="J156" s="24">
        <f t="shared" si="18"/>
        <v>245314.19492326965</v>
      </c>
      <c r="K156" s="69">
        <f t="shared" si="19"/>
        <v>160692.64948893784</v>
      </c>
      <c r="L156" s="47">
        <f t="shared" si="16"/>
        <v>115249000.51105261</v>
      </c>
    </row>
    <row r="157" spans="1:12">
      <c r="A157" s="64">
        <v>186</v>
      </c>
      <c r="B157" s="21">
        <v>48153</v>
      </c>
      <c r="C157" s="47">
        <f t="shared" si="14"/>
        <v>115249000.51105261</v>
      </c>
      <c r="D157" s="47"/>
      <c r="E157" s="41">
        <f>Additions!J193*$C$5</f>
        <v>0</v>
      </c>
      <c r="F157" s="41">
        <f t="shared" si="20"/>
        <v>756801.77002257877</v>
      </c>
      <c r="G157" s="41">
        <f t="shared" si="17"/>
        <v>1929969.4273153788</v>
      </c>
      <c r="H157" s="65">
        <f t="shared" si="15"/>
        <v>-1173167.6572928</v>
      </c>
      <c r="I157" s="65"/>
      <c r="J157" s="24">
        <f t="shared" si="18"/>
        <v>246365.208031488</v>
      </c>
      <c r="K157" s="69">
        <f t="shared" si="19"/>
        <v>160692.64948893784</v>
      </c>
      <c r="L157" s="47">
        <f t="shared" si="16"/>
        <v>114482890.71128024</v>
      </c>
    </row>
    <row r="158" spans="1:12">
      <c r="A158" s="64">
        <v>187</v>
      </c>
      <c r="B158" s="21">
        <v>48183</v>
      </c>
      <c r="C158" s="47">
        <f t="shared" si="14"/>
        <v>114482890.71128024</v>
      </c>
      <c r="D158" s="47"/>
      <c r="E158" s="41">
        <f>Additions!J194*$C$5</f>
        <v>0</v>
      </c>
      <c r="F158" s="41">
        <f t="shared" si="20"/>
        <v>751770.98233740684</v>
      </c>
      <c r="G158" s="41">
        <f t="shared" si="17"/>
        <v>1929969.4273153788</v>
      </c>
      <c r="H158" s="65">
        <f t="shared" si="15"/>
        <v>-1178198.444977972</v>
      </c>
      <c r="I158" s="65"/>
      <c r="J158" s="24">
        <f t="shared" si="18"/>
        <v>247421.67344537409</v>
      </c>
      <c r="K158" s="69">
        <f t="shared" si="19"/>
        <v>160692.64948893784</v>
      </c>
      <c r="L158" s="47">
        <f t="shared" si="16"/>
        <v>113712806.58923657</v>
      </c>
    </row>
    <row r="159" spans="1:12">
      <c r="A159" s="64">
        <v>188</v>
      </c>
      <c r="B159" s="21">
        <v>48214</v>
      </c>
      <c r="C159" s="47">
        <f t="shared" si="14"/>
        <v>113712806.58923657</v>
      </c>
      <c r="D159" s="47"/>
      <c r="E159" s="41">
        <f>Additions!J195*$C$5</f>
        <v>0</v>
      </c>
      <c r="F159" s="41">
        <f t="shared" si="20"/>
        <v>746714.09660265339</v>
      </c>
      <c r="G159" s="41">
        <f t="shared" si="17"/>
        <v>1929969.4273153788</v>
      </c>
      <c r="H159" s="65">
        <f t="shared" si="15"/>
        <v>-1183255.3307127254</v>
      </c>
      <c r="I159" s="65"/>
      <c r="J159" s="24">
        <f t="shared" si="18"/>
        <v>248483.61944967232</v>
      </c>
      <c r="K159" s="69">
        <f t="shared" si="19"/>
        <v>160692.64948893784</v>
      </c>
      <c r="L159" s="47">
        <f t="shared" si="16"/>
        <v>112938727.52746245</v>
      </c>
    </row>
    <row r="160" spans="1:12">
      <c r="A160" s="64">
        <v>189</v>
      </c>
      <c r="B160" s="21">
        <v>48245</v>
      </c>
      <c r="C160" s="47">
        <f t="shared" si="14"/>
        <v>112938727.52746245</v>
      </c>
      <c r="D160" s="47"/>
      <c r="E160" s="41">
        <f>Additions!J196*$C$5</f>
        <v>0</v>
      </c>
      <c r="F160" s="41">
        <f t="shared" si="20"/>
        <v>741630.97743033664</v>
      </c>
      <c r="G160" s="41">
        <f t="shared" si="17"/>
        <v>1929969.4273153788</v>
      </c>
      <c r="H160" s="65">
        <f t="shared" si="15"/>
        <v>-1188338.4498850422</v>
      </c>
      <c r="I160" s="65"/>
      <c r="J160" s="24">
        <f t="shared" si="18"/>
        <v>249551.07447585886</v>
      </c>
      <c r="K160" s="69">
        <f t="shared" si="19"/>
        <v>160692.64948893784</v>
      </c>
      <c r="L160" s="47">
        <f t="shared" si="16"/>
        <v>112160632.80154221</v>
      </c>
    </row>
    <row r="161" spans="1:12">
      <c r="A161" s="64">
        <v>190</v>
      </c>
      <c r="B161" s="21">
        <v>48274</v>
      </c>
      <c r="C161" s="47">
        <f t="shared" si="14"/>
        <v>112160632.80154221</v>
      </c>
      <c r="D161" s="47"/>
      <c r="E161" s="41">
        <f>Additions!J197*$C$5</f>
        <v>0</v>
      </c>
      <c r="F161" s="41">
        <f t="shared" si="20"/>
        <v>736521.48873012711</v>
      </c>
      <c r="G161" s="41">
        <f t="shared" si="17"/>
        <v>1929969.4273153788</v>
      </c>
      <c r="H161" s="65">
        <f t="shared" si="15"/>
        <v>-1193447.9385852516</v>
      </c>
      <c r="I161" s="65"/>
      <c r="J161" s="24">
        <f t="shared" si="18"/>
        <v>250624.06710290283</v>
      </c>
      <c r="K161" s="69">
        <f t="shared" si="19"/>
        <v>160692.64948893784</v>
      </c>
      <c r="L161" s="47">
        <f t="shared" si="16"/>
        <v>111378501.57954881</v>
      </c>
    </row>
    <row r="162" spans="1:12">
      <c r="A162" s="64">
        <v>191</v>
      </c>
      <c r="B162" s="21">
        <v>48305</v>
      </c>
      <c r="C162" s="47">
        <f t="shared" si="14"/>
        <v>111378501.57954881</v>
      </c>
      <c r="D162" s="47"/>
      <c r="E162" s="41">
        <f>Additions!J198*$C$5</f>
        <v>0</v>
      </c>
      <c r="F162" s="41">
        <f t="shared" si="20"/>
        <v>731385.49370570376</v>
      </c>
      <c r="G162" s="41">
        <f t="shared" si="17"/>
        <v>1929969.4273153788</v>
      </c>
      <c r="H162" s="65">
        <f t="shared" si="15"/>
        <v>-1198583.9336096752</v>
      </c>
      <c r="I162" s="65"/>
      <c r="J162" s="24">
        <f t="shared" si="18"/>
        <v>251702.62605803178</v>
      </c>
      <c r="K162" s="69">
        <f t="shared" si="19"/>
        <v>160692.64948893784</v>
      </c>
      <c r="L162" s="47">
        <f t="shared" si="16"/>
        <v>110592312.92148609</v>
      </c>
    </row>
    <row r="163" spans="1:12">
      <c r="A163" s="64">
        <v>192</v>
      </c>
      <c r="B163" s="21">
        <v>48335</v>
      </c>
      <c r="C163" s="47">
        <f t="shared" si="14"/>
        <v>110592312.92148609</v>
      </c>
      <c r="D163" s="47"/>
      <c r="E163" s="41">
        <f>Additions!J199*$C$5</f>
        <v>0</v>
      </c>
      <c r="F163" s="41">
        <f t="shared" si="20"/>
        <v>726222.85485109198</v>
      </c>
      <c r="G163" s="41">
        <f t="shared" si="17"/>
        <v>1929969.4273153788</v>
      </c>
      <c r="H163" s="65">
        <f t="shared" si="15"/>
        <v>-1203746.5724642868</v>
      </c>
      <c r="I163" s="65"/>
      <c r="J163" s="24">
        <f t="shared" si="18"/>
        <v>252786.78021750023</v>
      </c>
      <c r="K163" s="69">
        <f t="shared" si="19"/>
        <v>160692.64948893784</v>
      </c>
      <c r="L163" s="47">
        <f t="shared" si="16"/>
        <v>109802045.77872825</v>
      </c>
    </row>
    <row r="164" spans="1:12">
      <c r="A164" s="64">
        <v>193</v>
      </c>
      <c r="B164" s="21">
        <v>48366</v>
      </c>
      <c r="C164" s="47">
        <f t="shared" si="14"/>
        <v>109802045.77872825</v>
      </c>
      <c r="D164" s="47"/>
      <c r="E164" s="41">
        <f>Additions!J200*$C$5</f>
        <v>0</v>
      </c>
      <c r="F164" s="41">
        <f t="shared" si="20"/>
        <v>721033.43394698203</v>
      </c>
      <c r="G164" s="41">
        <f t="shared" si="17"/>
        <v>1929969.4273153788</v>
      </c>
      <c r="H164" s="65">
        <f t="shared" si="15"/>
        <v>-1208935.9933683968</v>
      </c>
      <c r="I164" s="65"/>
      <c r="J164" s="24">
        <f t="shared" si="18"/>
        <v>253876.55860736332</v>
      </c>
      <c r="K164" s="69">
        <f t="shared" si="19"/>
        <v>160692.64948893784</v>
      </c>
      <c r="L164" s="47">
        <f t="shared" si="16"/>
        <v>109007678.99345616</v>
      </c>
    </row>
    <row r="165" spans="1:12">
      <c r="A165" s="64">
        <v>194</v>
      </c>
      <c r="B165" s="21">
        <v>48396</v>
      </c>
      <c r="C165" s="47">
        <f t="shared" si="14"/>
        <v>109007678.99345616</v>
      </c>
      <c r="D165" s="47"/>
      <c r="E165" s="41">
        <f>Additions!J201*$C$5</f>
        <v>0</v>
      </c>
      <c r="F165" s="41">
        <f t="shared" si="20"/>
        <v>715817.09205702867</v>
      </c>
      <c r="G165" s="41">
        <f t="shared" si="17"/>
        <v>1929969.4273153788</v>
      </c>
      <c r="H165" s="65">
        <f t="shared" si="15"/>
        <v>-1214152.3352583502</v>
      </c>
      <c r="I165" s="65"/>
      <c r="J165" s="24">
        <f t="shared" si="18"/>
        <v>254971.99040425353</v>
      </c>
      <c r="K165" s="69">
        <f t="shared" si="19"/>
        <v>160692.64948893784</v>
      </c>
      <c r="L165" s="47">
        <f t="shared" si="16"/>
        <v>108209191.29809099</v>
      </c>
    </row>
    <row r="166" spans="1:12">
      <c r="A166" s="64">
        <v>195</v>
      </c>
      <c r="B166" s="21">
        <v>48427</v>
      </c>
      <c r="C166" s="47">
        <f t="shared" si="14"/>
        <v>108209191.29809099</v>
      </c>
      <c r="D166" s="47"/>
      <c r="E166" s="41">
        <f>Additions!J202*$C$5</f>
        <v>0</v>
      </c>
      <c r="F166" s="41">
        <f t="shared" si="20"/>
        <v>710573.68952413078</v>
      </c>
      <c r="G166" s="41">
        <f t="shared" si="17"/>
        <v>1929969.4273153788</v>
      </c>
      <c r="H166" s="65">
        <f t="shared" si="15"/>
        <v>-1219395.7377912481</v>
      </c>
      <c r="I166" s="65"/>
      <c r="J166" s="24">
        <f t="shared" si="18"/>
        <v>256073.1049361621</v>
      </c>
      <c r="K166" s="69">
        <f t="shared" si="19"/>
        <v>160692.64948893784</v>
      </c>
      <c r="L166" s="47">
        <f t="shared" si="16"/>
        <v>107406561.31472485</v>
      </c>
    </row>
    <row r="167" spans="1:12">
      <c r="A167" s="64">
        <v>196</v>
      </c>
      <c r="B167" s="21">
        <v>48458</v>
      </c>
      <c r="C167" s="47">
        <f t="shared" si="14"/>
        <v>107406561.31472485</v>
      </c>
      <c r="D167" s="47"/>
      <c r="E167" s="41">
        <f>Additions!J203*$C$5</f>
        <v>0</v>
      </c>
      <c r="F167" s="41">
        <f t="shared" si="20"/>
        <v>705303.08596669312</v>
      </c>
      <c r="G167" s="41">
        <f t="shared" si="17"/>
        <v>1929969.4273153788</v>
      </c>
      <c r="H167" s="65">
        <f t="shared" si="15"/>
        <v>-1224666.3413486858</v>
      </c>
      <c r="I167" s="65"/>
      <c r="J167" s="24">
        <f t="shared" si="18"/>
        <v>257179.93168322401</v>
      </c>
      <c r="K167" s="69">
        <f t="shared" si="19"/>
        <v>160692.64948893784</v>
      </c>
      <c r="L167" s="47">
        <f t="shared" si="16"/>
        <v>106599767.55454832</v>
      </c>
    </row>
    <row r="168" spans="1:12">
      <c r="A168" s="64">
        <v>197</v>
      </c>
      <c r="B168" s="21">
        <v>48488</v>
      </c>
      <c r="C168" s="47">
        <f t="shared" si="14"/>
        <v>106599767.55454832</v>
      </c>
      <c r="D168" s="47"/>
      <c r="E168" s="41">
        <f>Additions!J204*$C$5</f>
        <v>0</v>
      </c>
      <c r="F168" s="41">
        <f t="shared" si="20"/>
        <v>700005.1402748673</v>
      </c>
      <c r="G168" s="41">
        <f t="shared" si="17"/>
        <v>1929969.4273153788</v>
      </c>
      <c r="H168" s="65">
        <f t="shared" si="15"/>
        <v>-1229964.2870405116</v>
      </c>
      <c r="I168" s="65"/>
      <c r="J168" s="24">
        <f t="shared" si="18"/>
        <v>258292.50027850742</v>
      </c>
      <c r="K168" s="69">
        <f t="shared" si="19"/>
        <v>160692.64948893784</v>
      </c>
      <c r="L168" s="47">
        <f t="shared" si="16"/>
        <v>105788788.41727525</v>
      </c>
    </row>
    <row r="169" spans="1:12">
      <c r="A169" s="64">
        <v>198</v>
      </c>
      <c r="B169" s="21">
        <v>48519</v>
      </c>
      <c r="C169" s="47">
        <f t="shared" si="14"/>
        <v>105788788.41727525</v>
      </c>
      <c r="D169" s="47"/>
      <c r="E169" s="41">
        <f>Additions!J205*$C$5</f>
        <v>0</v>
      </c>
      <c r="F169" s="41">
        <f t="shared" si="20"/>
        <v>694679.71060677408</v>
      </c>
      <c r="G169" s="41">
        <f t="shared" si="17"/>
        <v>1929969.4273153788</v>
      </c>
      <c r="H169" s="65">
        <f t="shared" si="15"/>
        <v>-1235289.7167086047</v>
      </c>
      <c r="I169" s="65"/>
      <c r="J169" s="24">
        <f t="shared" si="18"/>
        <v>259410.84050880698</v>
      </c>
      <c r="K169" s="69">
        <f t="shared" si="19"/>
        <v>160692.64948893784</v>
      </c>
      <c r="L169" s="47">
        <f t="shared" si="16"/>
        <v>104973602.19056438</v>
      </c>
    </row>
    <row r="170" spans="1:12">
      <c r="A170" s="64">
        <v>199</v>
      </c>
      <c r="B170" s="21">
        <v>48549</v>
      </c>
      <c r="C170" s="47">
        <f t="shared" si="14"/>
        <v>104973602.19056438</v>
      </c>
      <c r="D170" s="47"/>
      <c r="E170" s="41">
        <f>Additions!J206*$C$5</f>
        <v>0</v>
      </c>
      <c r="F170" s="41">
        <f t="shared" si="20"/>
        <v>689326.65438470605</v>
      </c>
      <c r="G170" s="41">
        <f t="shared" si="17"/>
        <v>1929969.4273153788</v>
      </c>
      <c r="H170" s="65">
        <f t="shared" si="15"/>
        <v>-1240642.7729306729</v>
      </c>
      <c r="I170" s="65"/>
      <c r="J170" s="24">
        <f t="shared" si="18"/>
        <v>260534.9823154413</v>
      </c>
      <c r="K170" s="69">
        <f t="shared" si="19"/>
        <v>160692.64948893784</v>
      </c>
      <c r="L170" s="47">
        <f t="shared" si="16"/>
        <v>104154187.04943807</v>
      </c>
    </row>
    <row r="171" spans="1:12">
      <c r="A171" s="64">
        <v>200</v>
      </c>
      <c r="B171" s="21">
        <v>48580</v>
      </c>
      <c r="C171" s="47">
        <f t="shared" si="14"/>
        <v>104154187.04943807</v>
      </c>
      <c r="D171" s="47"/>
      <c r="E171" s="41">
        <f>Additions!J207*$C$5</f>
        <v>0</v>
      </c>
      <c r="F171" s="41">
        <f t="shared" si="20"/>
        <v>683945.82829131</v>
      </c>
      <c r="G171" s="41">
        <f t="shared" si="17"/>
        <v>1929969.4273153788</v>
      </c>
      <c r="H171" s="65">
        <f t="shared" si="15"/>
        <v>-1246023.5990240688</v>
      </c>
      <c r="I171" s="65"/>
      <c r="J171" s="24">
        <f t="shared" si="18"/>
        <v>261664.95579505444</v>
      </c>
      <c r="K171" s="69">
        <f t="shared" si="19"/>
        <v>160692.64948893784</v>
      </c>
      <c r="L171" s="47">
        <f t="shared" si="16"/>
        <v>103330521.05569799</v>
      </c>
    </row>
    <row r="172" spans="1:12">
      <c r="A172" s="64">
        <v>201</v>
      </c>
      <c r="B172" s="21">
        <v>48611</v>
      </c>
      <c r="C172" s="47">
        <f t="shared" si="14"/>
        <v>103330521.05569799</v>
      </c>
      <c r="D172" s="47"/>
      <c r="E172" s="41">
        <f>Additions!J208*$C$5</f>
        <v>0</v>
      </c>
      <c r="F172" s="41">
        <f t="shared" si="20"/>
        <v>678537.08826575009</v>
      </c>
      <c r="G172" s="41">
        <f t="shared" si="17"/>
        <v>1929969.4273153788</v>
      </c>
      <c r="H172" s="65">
        <f t="shared" si="15"/>
        <v>-1251432.3390496287</v>
      </c>
      <c r="I172" s="65"/>
      <c r="J172" s="24">
        <f t="shared" si="18"/>
        <v>262800.79120042204</v>
      </c>
      <c r="K172" s="69">
        <f t="shared" si="19"/>
        <v>160692.64948893784</v>
      </c>
      <c r="L172" s="47">
        <f t="shared" si="16"/>
        <v>102502582.15733773</v>
      </c>
    </row>
    <row r="173" spans="1:12">
      <c r="A173" s="64">
        <v>202</v>
      </c>
      <c r="B173" s="21">
        <v>48639</v>
      </c>
      <c r="C173" s="47">
        <f t="shared" si="14"/>
        <v>102502582.15733773</v>
      </c>
      <c r="D173" s="47"/>
      <c r="E173" s="41">
        <f>Additions!J209*$C$5</f>
        <v>0</v>
      </c>
      <c r="F173" s="41">
        <f t="shared" si="20"/>
        <v>673100.28949985094</v>
      </c>
      <c r="G173" s="41">
        <f t="shared" si="17"/>
        <v>1929969.4273153788</v>
      </c>
      <c r="H173" s="65">
        <f t="shared" si="15"/>
        <v>-1256869.1378155279</v>
      </c>
      <c r="I173" s="65"/>
      <c r="J173" s="24">
        <f t="shared" si="18"/>
        <v>263942.51894126082</v>
      </c>
      <c r="K173" s="69">
        <f t="shared" si="19"/>
        <v>160692.64948893784</v>
      </c>
      <c r="L173" s="47">
        <f t="shared" si="16"/>
        <v>101670348.18795238</v>
      </c>
    </row>
    <row r="174" spans="1:12">
      <c r="A174" s="64">
        <v>203</v>
      </c>
      <c r="B174" s="21">
        <v>48670</v>
      </c>
      <c r="C174" s="47">
        <f t="shared" si="14"/>
        <v>101670348.18795238</v>
      </c>
      <c r="D174" s="47"/>
      <c r="E174" s="41">
        <f>Additions!J210*$C$5</f>
        <v>0</v>
      </c>
      <c r="F174" s="41">
        <f t="shared" si="20"/>
        <v>667635.28643422062</v>
      </c>
      <c r="G174" s="41">
        <f t="shared" si="17"/>
        <v>1929969.4273153788</v>
      </c>
      <c r="H174" s="65">
        <f t="shared" si="15"/>
        <v>-1262334.1408811582</v>
      </c>
      <c r="I174" s="65"/>
      <c r="J174" s="24">
        <f t="shared" si="18"/>
        <v>265090.16958504322</v>
      </c>
      <c r="K174" s="69">
        <f t="shared" si="19"/>
        <v>160692.64948893784</v>
      </c>
      <c r="L174" s="47">
        <f t="shared" si="16"/>
        <v>100833796.86614521</v>
      </c>
    </row>
    <row r="175" spans="1:12">
      <c r="A175" s="64">
        <v>204</v>
      </c>
      <c r="B175" s="21">
        <v>48700</v>
      </c>
      <c r="C175" s="47">
        <f t="shared" si="14"/>
        <v>100833796.86614521</v>
      </c>
      <c r="D175" s="47"/>
      <c r="E175" s="41">
        <f>Additions!J211*$C$5</f>
        <v>0</v>
      </c>
      <c r="F175" s="41">
        <f t="shared" si="20"/>
        <v>662141.9327543535</v>
      </c>
      <c r="G175" s="41">
        <f t="shared" si="17"/>
        <v>1929969.4273153788</v>
      </c>
      <c r="H175" s="65">
        <f t="shared" si="15"/>
        <v>-1267827.4945610254</v>
      </c>
      <c r="I175" s="65"/>
      <c r="J175" s="24">
        <f t="shared" si="18"/>
        <v>266243.77385781531</v>
      </c>
      <c r="K175" s="69">
        <f t="shared" si="19"/>
        <v>160692.64948893784</v>
      </c>
      <c r="L175" s="47">
        <f t="shared" si="16"/>
        <v>99992905.794930935</v>
      </c>
    </row>
    <row r="176" spans="1:12">
      <c r="A176" s="64">
        <v>205</v>
      </c>
      <c r="B176" s="21">
        <v>48731</v>
      </c>
      <c r="C176" s="47">
        <f t="shared" si="14"/>
        <v>99992905.794930935</v>
      </c>
      <c r="D176" s="47"/>
      <c r="E176" s="41">
        <f>Additions!J212*$C$5</f>
        <v>0</v>
      </c>
      <c r="F176" s="41">
        <f t="shared" si="20"/>
        <v>656620.08138671308</v>
      </c>
      <c r="G176" s="41">
        <f t="shared" si="17"/>
        <v>1929969.4273153788</v>
      </c>
      <c r="H176" s="65">
        <f t="shared" si="15"/>
        <v>-1273349.3459286657</v>
      </c>
      <c r="I176" s="65"/>
      <c r="J176" s="24">
        <f t="shared" si="18"/>
        <v>267403.36264501978</v>
      </c>
      <c r="K176" s="69">
        <f t="shared" si="19"/>
        <v>160692.64948893784</v>
      </c>
      <c r="L176" s="47">
        <f t="shared" si="16"/>
        <v>99147652.461136222</v>
      </c>
    </row>
    <row r="177" spans="1:12">
      <c r="A177" s="64">
        <v>206</v>
      </c>
      <c r="B177" s="21">
        <v>48761</v>
      </c>
      <c r="C177" s="47">
        <f t="shared" si="14"/>
        <v>99147652.461136222</v>
      </c>
      <c r="D177" s="47"/>
      <c r="E177" s="41">
        <f>Additions!J213*$C$5</f>
        <v>0</v>
      </c>
      <c r="F177" s="41">
        <f t="shared" si="20"/>
        <v>651069.58449479449</v>
      </c>
      <c r="G177" s="41">
        <f t="shared" si="17"/>
        <v>1929969.4273153788</v>
      </c>
      <c r="H177" s="65">
        <f t="shared" si="15"/>
        <v>-1278899.8428205843</v>
      </c>
      <c r="I177" s="65"/>
      <c r="J177" s="24">
        <f t="shared" si="18"/>
        <v>268568.9669923227</v>
      </c>
      <c r="K177" s="69">
        <f t="shared" si="19"/>
        <v>160692.64948893784</v>
      </c>
      <c r="L177" s="47">
        <f t="shared" si="16"/>
        <v>98298014.234796897</v>
      </c>
    </row>
    <row r="178" spans="1:12">
      <c r="A178" s="64">
        <v>207</v>
      </c>
      <c r="B178" s="21">
        <v>48792</v>
      </c>
      <c r="C178" s="47">
        <f t="shared" si="14"/>
        <v>98298014.234796897</v>
      </c>
      <c r="D178" s="47"/>
      <c r="E178" s="41">
        <f>Additions!J214*$C$5</f>
        <v>0</v>
      </c>
      <c r="F178" s="41">
        <f t="shared" si="20"/>
        <v>645490.2934751662</v>
      </c>
      <c r="G178" s="41">
        <f t="shared" si="17"/>
        <v>1929969.4273153788</v>
      </c>
      <c r="H178" s="65">
        <f t="shared" si="15"/>
        <v>-1284479.1338402126</v>
      </c>
      <c r="I178" s="65"/>
      <c r="J178" s="24">
        <f t="shared" si="18"/>
        <v>269740.61810644466</v>
      </c>
      <c r="K178" s="69">
        <f t="shared" si="19"/>
        <v>160692.64948893784</v>
      </c>
      <c r="L178" s="47">
        <f t="shared" si="16"/>
        <v>97443968.368552059</v>
      </c>
    </row>
    <row r="179" spans="1:12">
      <c r="A179" s="64">
        <v>208</v>
      </c>
      <c r="B179" s="21">
        <v>48823</v>
      </c>
      <c r="C179" s="47">
        <f t="shared" si="14"/>
        <v>97443968.368552059</v>
      </c>
      <c r="D179" s="47"/>
      <c r="E179" s="41">
        <f>Additions!J215*$C$5</f>
        <v>0</v>
      </c>
      <c r="F179" s="41">
        <f t="shared" si="20"/>
        <v>639882.05895349174</v>
      </c>
      <c r="G179" s="41">
        <f t="shared" si="17"/>
        <v>1929969.4273153788</v>
      </c>
      <c r="H179" s="65">
        <f t="shared" si="15"/>
        <v>-1290087.3683618871</v>
      </c>
      <c r="I179" s="65"/>
      <c r="J179" s="24">
        <f t="shared" si="18"/>
        <v>270918.34735599626</v>
      </c>
      <c r="K179" s="69">
        <f t="shared" si="19"/>
        <v>160692.64948893784</v>
      </c>
      <c r="L179" s="47">
        <f t="shared" si="16"/>
        <v>96585491.997035101</v>
      </c>
    </row>
    <row r="180" spans="1:12">
      <c r="A180" s="64">
        <v>209</v>
      </c>
      <c r="B180" s="21">
        <v>48853</v>
      </c>
      <c r="C180" s="47">
        <f t="shared" si="14"/>
        <v>96585491.997035101</v>
      </c>
      <c r="D180" s="47"/>
      <c r="E180" s="41">
        <f>Additions!J216*$C$5</f>
        <v>0</v>
      </c>
      <c r="F180" s="41">
        <f t="shared" si="20"/>
        <v>634244.73078053037</v>
      </c>
      <c r="G180" s="41">
        <f t="shared" si="17"/>
        <v>1929969.4273153788</v>
      </c>
      <c r="H180" s="65">
        <f t="shared" si="15"/>
        <v>-1295724.6965348483</v>
      </c>
      <c r="I180" s="65"/>
      <c r="J180" s="24">
        <f t="shared" si="18"/>
        <v>272102.18627231813</v>
      </c>
      <c r="K180" s="69">
        <f t="shared" si="19"/>
        <v>160692.64948893784</v>
      </c>
      <c r="L180" s="47">
        <f t="shared" si="16"/>
        <v>95722562.136261508</v>
      </c>
    </row>
    <row r="181" spans="1:12">
      <c r="A181" s="64">
        <v>210</v>
      </c>
      <c r="B181" s="21">
        <v>48884</v>
      </c>
      <c r="C181" s="47">
        <f t="shared" si="14"/>
        <v>95722562.136261508</v>
      </c>
      <c r="D181" s="47"/>
      <c r="E181" s="41">
        <f>Additions!J217*$C$5</f>
        <v>0</v>
      </c>
      <c r="F181" s="41">
        <f t="shared" si="20"/>
        <v>628578.15802811715</v>
      </c>
      <c r="G181" s="41">
        <f t="shared" si="17"/>
        <v>1929969.4273153788</v>
      </c>
      <c r="H181" s="65">
        <f t="shared" si="15"/>
        <v>-1301391.2692872616</v>
      </c>
      <c r="I181" s="65"/>
      <c r="J181" s="24">
        <f t="shared" si="18"/>
        <v>273292.16655032494</v>
      </c>
      <c r="K181" s="69">
        <f t="shared" si="19"/>
        <v>160692.64948893784</v>
      </c>
      <c r="L181" s="47">
        <f t="shared" si="16"/>
        <v>94855155.683013499</v>
      </c>
    </row>
    <row r="182" spans="1:12">
      <c r="A182" s="64">
        <v>211</v>
      </c>
      <c r="B182" s="21">
        <v>48914</v>
      </c>
      <c r="C182" s="47">
        <f t="shared" si="14"/>
        <v>94855155.683013499</v>
      </c>
      <c r="D182" s="47"/>
      <c r="E182" s="41">
        <f>Additions!J218*$C$5</f>
        <v>0</v>
      </c>
      <c r="F182" s="41">
        <f t="shared" si="20"/>
        <v>622882.1889851219</v>
      </c>
      <c r="G182" s="41">
        <f t="shared" si="17"/>
        <v>1929969.4273153788</v>
      </c>
      <c r="H182" s="65">
        <f t="shared" si="15"/>
        <v>-1307087.2383302569</v>
      </c>
      <c r="I182" s="65"/>
      <c r="J182" s="24">
        <f t="shared" si="18"/>
        <v>274488.32004935393</v>
      </c>
      <c r="K182" s="69">
        <f t="shared" si="19"/>
        <v>160692.64948893784</v>
      </c>
      <c r="L182" s="47">
        <f t="shared" si="16"/>
        <v>93983249.41422154</v>
      </c>
    </row>
    <row r="183" spans="1:12">
      <c r="A183" s="64">
        <v>212</v>
      </c>
      <c r="B183" s="21">
        <v>48945</v>
      </c>
      <c r="C183" s="47">
        <f t="shared" si="14"/>
        <v>93983249.41422154</v>
      </c>
      <c r="D183" s="47"/>
      <c r="E183" s="41">
        <f>Additions!J219*$C$5</f>
        <v>0</v>
      </c>
      <c r="F183" s="41">
        <f t="shared" si="20"/>
        <v>617156.6711533881</v>
      </c>
      <c r="G183" s="41">
        <f t="shared" si="17"/>
        <v>1929969.4273153788</v>
      </c>
      <c r="H183" s="65">
        <f t="shared" si="15"/>
        <v>-1312812.7561619906</v>
      </c>
      <c r="I183" s="65"/>
      <c r="J183" s="24">
        <f t="shared" si="18"/>
        <v>275690.67879401799</v>
      </c>
      <c r="K183" s="69">
        <f t="shared" si="19"/>
        <v>160692.64948893784</v>
      </c>
      <c r="L183" s="47">
        <f t="shared" si="16"/>
        <v>93106819.98634249</v>
      </c>
    </row>
    <row r="184" spans="1:12">
      <c r="A184" s="64">
        <v>213</v>
      </c>
      <c r="B184" s="21">
        <v>48976</v>
      </c>
      <c r="C184" s="47">
        <f t="shared" si="14"/>
        <v>93106819.98634249</v>
      </c>
      <c r="D184" s="47"/>
      <c r="E184" s="41">
        <f>Additions!J220*$C$5</f>
        <v>0</v>
      </c>
      <c r="F184" s="41">
        <f t="shared" si="20"/>
        <v>611401.451243649</v>
      </c>
      <c r="G184" s="41">
        <f t="shared" si="17"/>
        <v>1929969.4273153788</v>
      </c>
      <c r="H184" s="65">
        <f t="shared" si="15"/>
        <v>-1318567.9760717298</v>
      </c>
      <c r="I184" s="65"/>
      <c r="J184" s="24">
        <f t="shared" si="18"/>
        <v>276899.27497506322</v>
      </c>
      <c r="K184" s="69">
        <f t="shared" si="19"/>
        <v>160692.64948893784</v>
      </c>
      <c r="L184" s="47">
        <f t="shared" si="16"/>
        <v>92225843.934734762</v>
      </c>
    </row>
    <row r="185" spans="1:12">
      <c r="A185" s="64">
        <v>214</v>
      </c>
      <c r="B185" s="21">
        <v>49004</v>
      </c>
      <c r="C185" s="47">
        <f t="shared" si="14"/>
        <v>92225843.934734762</v>
      </c>
      <c r="D185" s="47"/>
      <c r="E185" s="41">
        <f>Additions!J221*$C$5</f>
        <v>0</v>
      </c>
      <c r="F185" s="41">
        <f t="shared" si="20"/>
        <v>605616.37517142482</v>
      </c>
      <c r="G185" s="41">
        <f t="shared" si="17"/>
        <v>1929969.4273153788</v>
      </c>
      <c r="H185" s="65">
        <f t="shared" si="15"/>
        <v>-1324353.052143954</v>
      </c>
      <c r="I185" s="65"/>
      <c r="J185" s="24">
        <f t="shared" si="18"/>
        <v>278114.1409502303</v>
      </c>
      <c r="K185" s="69">
        <f t="shared" si="19"/>
        <v>160692.64948893784</v>
      </c>
      <c r="L185" s="47">
        <f t="shared" si="16"/>
        <v>91340297.673029974</v>
      </c>
    </row>
    <row r="186" spans="1:12">
      <c r="A186" s="64">
        <v>215</v>
      </c>
      <c r="B186" s="21">
        <v>49035</v>
      </c>
      <c r="C186" s="47">
        <f t="shared" si="14"/>
        <v>91340297.673029974</v>
      </c>
      <c r="D186" s="47"/>
      <c r="E186" s="41">
        <f>Additions!J222*$C$5</f>
        <v>0</v>
      </c>
      <c r="F186" s="41">
        <f t="shared" si="20"/>
        <v>599801.28805289674</v>
      </c>
      <c r="G186" s="41">
        <f t="shared" si="17"/>
        <v>1929969.4273153788</v>
      </c>
      <c r="H186" s="65">
        <f t="shared" si="15"/>
        <v>-1330168.1392624821</v>
      </c>
      <c r="I186" s="65"/>
      <c r="J186" s="24">
        <f t="shared" si="18"/>
        <v>279335.3092451212</v>
      </c>
      <c r="K186" s="69">
        <f t="shared" si="19"/>
        <v>160692.64948893784</v>
      </c>
      <c r="L186" s="47">
        <f t="shared" si="16"/>
        <v>90450157.492501557</v>
      </c>
    </row>
    <row r="187" spans="1:12">
      <c r="A187" s="64">
        <v>216</v>
      </c>
      <c r="B187" s="21">
        <v>49065</v>
      </c>
      <c r="C187" s="47">
        <f t="shared" si="14"/>
        <v>90450157.492501557</v>
      </c>
      <c r="D187" s="47"/>
      <c r="E187" s="41">
        <f>Additions!J223*$C$5</f>
        <v>0</v>
      </c>
      <c r="F187" s="41">
        <f t="shared" si="20"/>
        <v>593956.03420076019</v>
      </c>
      <c r="G187" s="41">
        <f t="shared" si="17"/>
        <v>1929969.4273153788</v>
      </c>
      <c r="H187" s="65">
        <f t="shared" si="15"/>
        <v>-1336013.3931146185</v>
      </c>
      <c r="I187" s="65"/>
      <c r="J187" s="24">
        <f t="shared" si="18"/>
        <v>280562.81255406985</v>
      </c>
      <c r="K187" s="69">
        <f t="shared" si="19"/>
        <v>160692.64948893784</v>
      </c>
      <c r="L187" s="47">
        <f t="shared" si="16"/>
        <v>89555399.561429948</v>
      </c>
    </row>
    <row r="188" spans="1:12">
      <c r="A188" s="64">
        <v>217</v>
      </c>
      <c r="B188" s="21">
        <v>49096</v>
      </c>
      <c r="C188" s="47">
        <f t="shared" si="14"/>
        <v>89555399.561429948</v>
      </c>
      <c r="D188" s="47"/>
      <c r="E188" s="41">
        <f>Additions!J224*$C$5</f>
        <v>0</v>
      </c>
      <c r="F188" s="41">
        <f t="shared" si="20"/>
        <v>588080.45712005661</v>
      </c>
      <c r="G188" s="41">
        <f t="shared" si="17"/>
        <v>1929969.4273153788</v>
      </c>
      <c r="H188" s="65">
        <f t="shared" si="15"/>
        <v>-1341888.9701953223</v>
      </c>
      <c r="I188" s="65"/>
      <c r="J188" s="24">
        <f t="shared" si="18"/>
        <v>281796.68374101765</v>
      </c>
      <c r="K188" s="69">
        <f t="shared" si="19"/>
        <v>160692.64948893784</v>
      </c>
      <c r="L188" s="47">
        <f t="shared" si="16"/>
        <v>88655999.924464583</v>
      </c>
    </row>
    <row r="189" spans="1:12">
      <c r="A189" s="64">
        <v>218</v>
      </c>
      <c r="B189" s="21">
        <v>49126</v>
      </c>
      <c r="C189" s="47">
        <f t="shared" si="14"/>
        <v>88655999.924464583</v>
      </c>
      <c r="D189" s="47"/>
      <c r="E189" s="41">
        <f>Additions!J225*$C$5</f>
        <v>0</v>
      </c>
      <c r="F189" s="41">
        <f t="shared" si="20"/>
        <v>582174.39950398402</v>
      </c>
      <c r="G189" s="41">
        <f t="shared" si="17"/>
        <v>1929969.4273153788</v>
      </c>
      <c r="H189" s="65">
        <f t="shared" si="15"/>
        <v>-1347795.0278113948</v>
      </c>
      <c r="I189" s="65"/>
      <c r="J189" s="24">
        <f t="shared" si="18"/>
        <v>283036.95584039291</v>
      </c>
      <c r="K189" s="69">
        <f t="shared" si="19"/>
        <v>160692.64948893784</v>
      </c>
      <c r="L189" s="47">
        <f t="shared" si="16"/>
        <v>87751934.501982525</v>
      </c>
    </row>
    <row r="190" spans="1:12">
      <c r="A190" s="64">
        <v>219</v>
      </c>
      <c r="B190" s="21">
        <v>49157</v>
      </c>
      <c r="C190" s="47">
        <f t="shared" ref="C190:C253" si="21">L189</f>
        <v>87751934.501982525</v>
      </c>
      <c r="D190" s="47"/>
      <c r="E190" s="41">
        <f>Additions!J226*$C$5</f>
        <v>0</v>
      </c>
      <c r="F190" s="41">
        <f t="shared" si="20"/>
        <v>576237.7032296852</v>
      </c>
      <c r="G190" s="41">
        <f t="shared" si="17"/>
        <v>1929969.4273153788</v>
      </c>
      <c r="H190" s="65">
        <f t="shared" ref="H190:H253" si="22">E190+F190-G190</f>
        <v>-1353731.7240856937</v>
      </c>
      <c r="I190" s="65"/>
      <c r="J190" s="24">
        <f t="shared" si="18"/>
        <v>284283.66205799568</v>
      </c>
      <c r="K190" s="69">
        <f t="shared" si="19"/>
        <v>160692.64948893784</v>
      </c>
      <c r="L190" s="47">
        <f t="shared" ref="L190:L253" si="23">C190+E190+F190-G190+J190+K190</f>
        <v>86843179.089443758</v>
      </c>
    </row>
    <row r="191" spans="1:12">
      <c r="A191" s="64">
        <v>220</v>
      </c>
      <c r="B191" s="21">
        <v>49188</v>
      </c>
      <c r="C191" s="47">
        <f t="shared" si="21"/>
        <v>86843179.089443758</v>
      </c>
      <c r="D191" s="47"/>
      <c r="E191" s="41">
        <f>Additions!J227*$C$5</f>
        <v>0</v>
      </c>
      <c r="F191" s="41">
        <f t="shared" si="20"/>
        <v>570270.2093540139</v>
      </c>
      <c r="G191" s="41">
        <f t="shared" ref="G191:G254" si="24">G190</f>
        <v>1929969.4273153788</v>
      </c>
      <c r="H191" s="65">
        <f t="shared" si="22"/>
        <v>-1359699.2179613649</v>
      </c>
      <c r="I191" s="65"/>
      <c r="J191" s="24">
        <f t="shared" ref="J191:J254" si="25">-H191*0.21</f>
        <v>285536.83577188663</v>
      </c>
      <c r="K191" s="69">
        <f t="shared" si="19"/>
        <v>160692.64948893784</v>
      </c>
      <c r="L191" s="47">
        <f t="shared" si="23"/>
        <v>85929709.356743217</v>
      </c>
    </row>
    <row r="192" spans="1:12">
      <c r="A192" s="64">
        <v>221</v>
      </c>
      <c r="B192" s="21">
        <v>49218</v>
      </c>
      <c r="C192" s="47">
        <f t="shared" si="21"/>
        <v>85929709.356743217</v>
      </c>
      <c r="D192" s="47"/>
      <c r="E192" s="41">
        <f>Additions!J228*$C$5</f>
        <v>0</v>
      </c>
      <c r="F192" s="41">
        <f t="shared" si="20"/>
        <v>564271.75810928037</v>
      </c>
      <c r="G192" s="41">
        <f t="shared" si="24"/>
        <v>1929969.4273153788</v>
      </c>
      <c r="H192" s="65">
        <f t="shared" si="22"/>
        <v>-1365697.6692060984</v>
      </c>
      <c r="I192" s="65"/>
      <c r="J192" s="24">
        <f t="shared" si="25"/>
        <v>286796.51053328067</v>
      </c>
      <c r="K192" s="69">
        <f t="shared" si="19"/>
        <v>160692.64948893784</v>
      </c>
      <c r="L192" s="47">
        <f t="shared" si="23"/>
        <v>85011500.847559348</v>
      </c>
    </row>
    <row r="193" spans="1:12">
      <c r="A193" s="64">
        <v>222</v>
      </c>
      <c r="B193" s="21">
        <v>49249</v>
      </c>
      <c r="C193" s="47">
        <f t="shared" si="21"/>
        <v>85011500.847559348</v>
      </c>
      <c r="D193" s="47"/>
      <c r="E193" s="41">
        <f>Additions!J229*$C$5</f>
        <v>0</v>
      </c>
      <c r="F193" s="41">
        <f t="shared" si="20"/>
        <v>558242.18889897293</v>
      </c>
      <c r="G193" s="41">
        <f t="shared" si="24"/>
        <v>1929969.4273153788</v>
      </c>
      <c r="H193" s="65">
        <f t="shared" si="22"/>
        <v>-1371727.2384164059</v>
      </c>
      <c r="I193" s="65"/>
      <c r="J193" s="24">
        <f t="shared" si="25"/>
        <v>288062.72006744525</v>
      </c>
      <c r="K193" s="69">
        <f t="shared" si="19"/>
        <v>160692.64948893784</v>
      </c>
      <c r="L193" s="47">
        <f t="shared" si="23"/>
        <v>84088528.978699312</v>
      </c>
    </row>
    <row r="194" spans="1:12">
      <c r="A194" s="64">
        <v>223</v>
      </c>
      <c r="B194" s="21">
        <v>49279</v>
      </c>
      <c r="C194" s="47">
        <f t="shared" si="21"/>
        <v>84088528.978699312</v>
      </c>
      <c r="D194" s="47"/>
      <c r="E194" s="41">
        <f>Additions!J230*$C$5</f>
        <v>0</v>
      </c>
      <c r="F194" s="41">
        <f t="shared" si="20"/>
        <v>552181.34029345878</v>
      </c>
      <c r="G194" s="41">
        <f t="shared" si="24"/>
        <v>1929969.4273153788</v>
      </c>
      <c r="H194" s="65">
        <f t="shared" si="22"/>
        <v>-1377788.0870219199</v>
      </c>
      <c r="I194" s="65"/>
      <c r="J194" s="24">
        <f t="shared" si="25"/>
        <v>289335.49827460316</v>
      </c>
      <c r="K194" s="69">
        <f t="shared" si="19"/>
        <v>160692.64948893784</v>
      </c>
      <c r="L194" s="47">
        <f t="shared" si="23"/>
        <v>83160769.03944093</v>
      </c>
    </row>
    <row r="195" spans="1:12">
      <c r="A195" s="64">
        <v>224</v>
      </c>
      <c r="B195" s="21">
        <v>49310</v>
      </c>
      <c r="C195" s="47">
        <f t="shared" si="21"/>
        <v>83160769.03944093</v>
      </c>
      <c r="D195" s="47"/>
      <c r="E195" s="41">
        <f>Additions!J231*$C$5</f>
        <v>0</v>
      </c>
      <c r="F195" s="41">
        <f t="shared" si="20"/>
        <v>546089.05002566206</v>
      </c>
      <c r="G195" s="41">
        <f t="shared" si="24"/>
        <v>1929969.4273153788</v>
      </c>
      <c r="H195" s="65">
        <f t="shared" si="22"/>
        <v>-1383880.3772897166</v>
      </c>
      <c r="I195" s="65"/>
      <c r="J195" s="24">
        <f t="shared" si="25"/>
        <v>290614.87923084048</v>
      </c>
      <c r="K195" s="69">
        <f t="shared" si="19"/>
        <v>160692.64948893784</v>
      </c>
      <c r="L195" s="47">
        <f t="shared" si="23"/>
        <v>82228196.190870985</v>
      </c>
    </row>
    <row r="196" spans="1:12">
      <c r="A196" s="64">
        <v>225</v>
      </c>
      <c r="B196" s="21">
        <v>49341</v>
      </c>
      <c r="C196" s="47">
        <f t="shared" si="21"/>
        <v>82228196.190870985</v>
      </c>
      <c r="D196" s="47"/>
      <c r="E196" s="41">
        <f>Additions!J232*$C$5</f>
        <v>0</v>
      </c>
      <c r="F196" s="41">
        <f t="shared" si="20"/>
        <v>539965.15498671937</v>
      </c>
      <c r="G196" s="41">
        <f t="shared" si="24"/>
        <v>1929969.4273153788</v>
      </c>
      <c r="H196" s="65">
        <f t="shared" si="22"/>
        <v>-1390004.2723286594</v>
      </c>
      <c r="I196" s="65"/>
      <c r="J196" s="24">
        <f t="shared" si="25"/>
        <v>291900.89718901849</v>
      </c>
      <c r="K196" s="69">
        <f t="shared" ref="K196:K206" si="26">$L$3</f>
        <v>160692.64948893784</v>
      </c>
      <c r="L196" s="47">
        <f t="shared" si="23"/>
        <v>81290785.465220287</v>
      </c>
    </row>
    <row r="197" spans="1:12">
      <c r="A197" s="64">
        <v>226</v>
      </c>
      <c r="B197" s="21">
        <v>49369</v>
      </c>
      <c r="C197" s="47">
        <f t="shared" si="21"/>
        <v>81290785.465220287</v>
      </c>
      <c r="D197" s="47"/>
      <c r="E197" s="41">
        <f>Additions!J233*$C$5</f>
        <v>0</v>
      </c>
      <c r="F197" s="41">
        <f t="shared" si="20"/>
        <v>533809.49122161313</v>
      </c>
      <c r="G197" s="41">
        <f t="shared" si="24"/>
        <v>1929969.4273153788</v>
      </c>
      <c r="H197" s="65">
        <f t="shared" si="22"/>
        <v>-1396159.9360937658</v>
      </c>
      <c r="I197" s="65"/>
      <c r="J197" s="24">
        <f t="shared" si="25"/>
        <v>293193.5865796908</v>
      </c>
      <c r="K197" s="69">
        <f t="shared" si="26"/>
        <v>160692.64948893784</v>
      </c>
      <c r="L197" s="47">
        <f t="shared" si="23"/>
        <v>80348511.765195146</v>
      </c>
    </row>
    <row r="198" spans="1:12">
      <c r="A198" s="64">
        <v>227</v>
      </c>
      <c r="B198" s="21">
        <v>49400</v>
      </c>
      <c r="C198" s="47">
        <f t="shared" si="21"/>
        <v>80348511.765195146</v>
      </c>
      <c r="D198" s="47"/>
      <c r="E198" s="41">
        <f>Additions!J234*$C$5</f>
        <v>0</v>
      </c>
      <c r="F198" s="41">
        <f t="shared" si="20"/>
        <v>527621.89392478135</v>
      </c>
      <c r="G198" s="41">
        <f t="shared" si="24"/>
        <v>1929969.4273153788</v>
      </c>
      <c r="H198" s="65">
        <f t="shared" si="22"/>
        <v>-1402347.5333905974</v>
      </c>
      <c r="I198" s="65"/>
      <c r="J198" s="24">
        <f t="shared" si="25"/>
        <v>294492.98201202543</v>
      </c>
      <c r="K198" s="69">
        <f t="shared" si="26"/>
        <v>160692.64948893784</v>
      </c>
      <c r="L198" s="47">
        <f t="shared" si="23"/>
        <v>79401349.863305509</v>
      </c>
    </row>
    <row r="199" spans="1:12">
      <c r="A199" s="64">
        <v>228</v>
      </c>
      <c r="B199" s="21">
        <v>49430</v>
      </c>
      <c r="C199" s="47">
        <f t="shared" si="21"/>
        <v>79401349.863305509</v>
      </c>
      <c r="D199" s="47"/>
      <c r="E199" s="41">
        <f>Additions!J235*$C$5</f>
        <v>0</v>
      </c>
      <c r="F199" s="41">
        <f t="shared" si="20"/>
        <v>521402.1974357061</v>
      </c>
      <c r="G199" s="41">
        <f t="shared" si="24"/>
        <v>1929969.4273153788</v>
      </c>
      <c r="H199" s="65">
        <f t="shared" si="22"/>
        <v>-1408567.2298796726</v>
      </c>
      <c r="I199" s="65"/>
      <c r="J199" s="24">
        <f t="shared" si="25"/>
        <v>295799.11827473127</v>
      </c>
      <c r="K199" s="69">
        <f t="shared" si="26"/>
        <v>160692.64948893784</v>
      </c>
      <c r="L199" s="47">
        <f t="shared" si="23"/>
        <v>78449274.401189506</v>
      </c>
    </row>
    <row r="200" spans="1:12">
      <c r="A200" s="64">
        <v>229</v>
      </c>
      <c r="B200" s="21">
        <v>49461</v>
      </c>
      <c r="C200" s="47">
        <f t="shared" si="21"/>
        <v>78449274.401189506</v>
      </c>
      <c r="D200" s="47"/>
      <c r="E200" s="41">
        <f>Additions!J236*$C$5</f>
        <v>0</v>
      </c>
      <c r="F200" s="41">
        <f t="shared" si="20"/>
        <v>515150.23523447767</v>
      </c>
      <c r="G200" s="41">
        <f t="shared" si="24"/>
        <v>1929969.4273153788</v>
      </c>
      <c r="H200" s="65">
        <f t="shared" si="22"/>
        <v>-1414819.192080901</v>
      </c>
      <c r="I200" s="65"/>
      <c r="J200" s="24">
        <f t="shared" si="25"/>
        <v>297112.03033698921</v>
      </c>
      <c r="K200" s="69">
        <f t="shared" si="26"/>
        <v>160692.64948893784</v>
      </c>
      <c r="L200" s="47">
        <f t="shared" si="23"/>
        <v>77492259.888934538</v>
      </c>
    </row>
    <row r="201" spans="1:12">
      <c r="A201" s="64">
        <v>230</v>
      </c>
      <c r="B201" s="21">
        <v>49491</v>
      </c>
      <c r="C201" s="47">
        <f t="shared" si="21"/>
        <v>77492259.888934538</v>
      </c>
      <c r="D201" s="47"/>
      <c r="E201" s="41">
        <f>Additions!J237*$C$5</f>
        <v>0</v>
      </c>
      <c r="F201" s="41">
        <f t="shared" si="20"/>
        <v>508865.83993733674</v>
      </c>
      <c r="G201" s="41">
        <f t="shared" si="24"/>
        <v>1929969.4273153788</v>
      </c>
      <c r="H201" s="65">
        <f t="shared" si="22"/>
        <v>-1421103.5873780421</v>
      </c>
      <c r="I201" s="65"/>
      <c r="J201" s="24">
        <f t="shared" si="25"/>
        <v>298431.75334938883</v>
      </c>
      <c r="K201" s="69">
        <f t="shared" si="26"/>
        <v>160692.64948893784</v>
      </c>
      <c r="L201" s="47">
        <f t="shared" si="23"/>
        <v>76530280.704394832</v>
      </c>
    </row>
    <row r="202" spans="1:12">
      <c r="A202" s="64">
        <v>231</v>
      </c>
      <c r="B202" s="21">
        <v>49522</v>
      </c>
      <c r="C202" s="47">
        <f t="shared" si="21"/>
        <v>76530280.704394832</v>
      </c>
      <c r="D202" s="47"/>
      <c r="E202" s="41">
        <f>Additions!J238*$C$5</f>
        <v>0</v>
      </c>
      <c r="F202" s="41">
        <f t="shared" si="20"/>
        <v>502548.84329219267</v>
      </c>
      <c r="G202" s="41">
        <f t="shared" si="24"/>
        <v>1929969.4273153788</v>
      </c>
      <c r="H202" s="65">
        <f t="shared" si="22"/>
        <v>-1427420.584023186</v>
      </c>
      <c r="I202" s="65"/>
      <c r="J202" s="24">
        <f t="shared" si="25"/>
        <v>299758.32264486904</v>
      </c>
      <c r="K202" s="69">
        <f t="shared" si="26"/>
        <v>160692.64948893784</v>
      </c>
      <c r="L202" s="47">
        <f t="shared" si="23"/>
        <v>75563311.092505455</v>
      </c>
    </row>
    <row r="203" spans="1:12">
      <c r="A203" s="64">
        <v>232</v>
      </c>
      <c r="B203" s="21">
        <v>49553</v>
      </c>
      <c r="C203" s="47">
        <f t="shared" si="21"/>
        <v>75563311.092505455</v>
      </c>
      <c r="D203" s="47"/>
      <c r="E203" s="41">
        <f>Additions!J239*$C$5</f>
        <v>0</v>
      </c>
      <c r="F203" s="41">
        <f t="shared" ref="F203:F260" si="27">L202*$C$3</f>
        <v>496199.07617411908</v>
      </c>
      <c r="G203" s="41">
        <f t="shared" si="24"/>
        <v>1929969.4273153788</v>
      </c>
      <c r="H203" s="65">
        <f t="shared" si="22"/>
        <v>-1433770.3511412598</v>
      </c>
      <c r="I203" s="65"/>
      <c r="J203" s="24">
        <f t="shared" si="25"/>
        <v>301091.77373966452</v>
      </c>
      <c r="K203" s="69">
        <f t="shared" si="26"/>
        <v>160692.64948893784</v>
      </c>
      <c r="L203" s="47">
        <f t="shared" si="23"/>
        <v>74591325.164592803</v>
      </c>
    </row>
    <row r="204" spans="1:12">
      <c r="A204" s="64">
        <v>233</v>
      </c>
      <c r="B204" s="21">
        <v>49583</v>
      </c>
      <c r="C204" s="47">
        <f t="shared" si="21"/>
        <v>74591325.164592803</v>
      </c>
      <c r="D204" s="47"/>
      <c r="E204" s="41">
        <f>Additions!J240*$C$5</f>
        <v>0</v>
      </c>
      <c r="F204" s="41">
        <f t="shared" si="27"/>
        <v>489816.36858082603</v>
      </c>
      <c r="G204" s="41">
        <f t="shared" si="24"/>
        <v>1929969.4273153788</v>
      </c>
      <c r="H204" s="65">
        <f t="shared" si="22"/>
        <v>-1440153.0587345527</v>
      </c>
      <c r="I204" s="65"/>
      <c r="J204" s="24">
        <f t="shared" si="25"/>
        <v>302432.14233425603</v>
      </c>
      <c r="K204" s="69">
        <f t="shared" si="26"/>
        <v>160692.64948893784</v>
      </c>
      <c r="L204" s="47">
        <f t="shared" si="23"/>
        <v>73614296.897681445</v>
      </c>
    </row>
    <row r="205" spans="1:12">
      <c r="A205" s="64">
        <v>234</v>
      </c>
      <c r="B205" s="21">
        <v>49614</v>
      </c>
      <c r="C205" s="47">
        <f t="shared" si="21"/>
        <v>73614296.897681445</v>
      </c>
      <c r="D205" s="47"/>
      <c r="E205" s="41">
        <f>Additions!J241*$C$5</f>
        <v>0</v>
      </c>
      <c r="F205" s="41">
        <f t="shared" si="27"/>
        <v>483400.5496281081</v>
      </c>
      <c r="G205" s="41">
        <f t="shared" si="24"/>
        <v>1929969.4273153788</v>
      </c>
      <c r="H205" s="65">
        <f t="shared" si="22"/>
        <v>-1446568.8776872708</v>
      </c>
      <c r="I205" s="65"/>
      <c r="J205" s="24">
        <f t="shared" si="25"/>
        <v>303779.46431432682</v>
      </c>
      <c r="K205" s="69">
        <f t="shared" si="26"/>
        <v>160692.64948893784</v>
      </c>
      <c r="L205" s="47">
        <f t="shared" si="23"/>
        <v>72632200.133797437</v>
      </c>
    </row>
    <row r="206" spans="1:12">
      <c r="A206" s="64">
        <v>235</v>
      </c>
      <c r="B206" s="21">
        <v>49644</v>
      </c>
      <c r="C206" s="47">
        <f t="shared" si="21"/>
        <v>72632200.133797437</v>
      </c>
      <c r="D206" s="47"/>
      <c r="E206" s="41">
        <f>Additions!J242*$C$5</f>
        <v>0</v>
      </c>
      <c r="F206" s="41">
        <f t="shared" si="27"/>
        <v>476951.4475452698</v>
      </c>
      <c r="G206" s="41">
        <f t="shared" si="24"/>
        <v>1929969.4273153788</v>
      </c>
      <c r="H206" s="65">
        <f t="shared" si="22"/>
        <v>-1453017.9797701091</v>
      </c>
      <c r="I206" s="65"/>
      <c r="J206" s="24">
        <f t="shared" si="25"/>
        <v>305133.77575172292</v>
      </c>
      <c r="K206" s="69">
        <f t="shared" si="26"/>
        <v>160692.64948893784</v>
      </c>
      <c r="L206" s="47">
        <f t="shared" si="23"/>
        <v>71645008.579267994</v>
      </c>
    </row>
    <row r="207" spans="1:12">
      <c r="A207" s="64">
        <v>236</v>
      </c>
      <c r="B207" s="21">
        <v>49675</v>
      </c>
      <c r="C207" s="47">
        <f t="shared" si="21"/>
        <v>71645008.579267994</v>
      </c>
      <c r="D207" s="47"/>
      <c r="E207" s="41">
        <f>Additions!J243*$C$5</f>
        <v>0</v>
      </c>
      <c r="F207" s="41">
        <f t="shared" si="27"/>
        <v>470468.88967052643</v>
      </c>
      <c r="G207" s="41">
        <f t="shared" si="24"/>
        <v>1929969.4273153788</v>
      </c>
      <c r="H207" s="65">
        <f t="shared" si="22"/>
        <v>-1459500.5376448524</v>
      </c>
      <c r="I207" s="65"/>
      <c r="J207" s="24">
        <f t="shared" si="25"/>
        <v>306495.11290541902</v>
      </c>
      <c r="K207" s="24"/>
      <c r="L207" s="47">
        <f t="shared" si="23"/>
        <v>70492003.154528543</v>
      </c>
    </row>
    <row r="208" spans="1:12">
      <c r="A208" s="64">
        <v>237</v>
      </c>
      <c r="B208" s="21">
        <v>49706</v>
      </c>
      <c r="C208" s="47">
        <f t="shared" si="21"/>
        <v>70492003.154528543</v>
      </c>
      <c r="D208" s="47"/>
      <c r="E208" s="41">
        <f>Additions!J244*$C$5</f>
        <v>0</v>
      </c>
      <c r="F208" s="41">
        <f t="shared" si="27"/>
        <v>462897.48738140403</v>
      </c>
      <c r="G208" s="41">
        <f t="shared" si="24"/>
        <v>1929969.4273153788</v>
      </c>
      <c r="H208" s="65">
        <f t="shared" si="22"/>
        <v>-1467071.9399339748</v>
      </c>
      <c r="I208" s="65"/>
      <c r="J208" s="24">
        <f t="shared" si="25"/>
        <v>308085.10738613468</v>
      </c>
      <c r="K208" s="24"/>
      <c r="L208" s="47">
        <f t="shared" si="23"/>
        <v>69333016.3219807</v>
      </c>
    </row>
    <row r="209" spans="1:12">
      <c r="A209" s="64">
        <v>238</v>
      </c>
      <c r="B209" s="21">
        <v>49735</v>
      </c>
      <c r="C209" s="47">
        <f t="shared" si="21"/>
        <v>69333016.3219807</v>
      </c>
      <c r="D209" s="47"/>
      <c r="E209" s="41">
        <f>Additions!J245*$C$5</f>
        <v>0</v>
      </c>
      <c r="F209" s="41">
        <f t="shared" si="27"/>
        <v>455286.80718100653</v>
      </c>
      <c r="G209" s="41">
        <f t="shared" si="24"/>
        <v>1929969.4273153788</v>
      </c>
      <c r="H209" s="65">
        <f t="shared" si="22"/>
        <v>-1474682.6201343723</v>
      </c>
      <c r="I209" s="65"/>
      <c r="J209" s="24">
        <f t="shared" si="25"/>
        <v>309683.35022821819</v>
      </c>
      <c r="K209" s="24"/>
      <c r="L209" s="47">
        <f t="shared" si="23"/>
        <v>68168017.052074537</v>
      </c>
    </row>
    <row r="210" spans="1:12">
      <c r="A210" s="64">
        <v>239</v>
      </c>
      <c r="B210" s="21">
        <v>49766</v>
      </c>
      <c r="C210" s="47">
        <f t="shared" si="21"/>
        <v>68168017.052074537</v>
      </c>
      <c r="D210" s="47"/>
      <c r="E210" s="41">
        <f>Additions!J246*$C$5</f>
        <v>0</v>
      </c>
      <c r="F210" s="41">
        <f t="shared" si="27"/>
        <v>447636.64530862274</v>
      </c>
      <c r="G210" s="41">
        <f t="shared" si="24"/>
        <v>1929969.4273153788</v>
      </c>
      <c r="H210" s="65">
        <f t="shared" si="22"/>
        <v>-1482332.7820067559</v>
      </c>
      <c r="I210" s="65"/>
      <c r="J210" s="24">
        <f t="shared" si="25"/>
        <v>311289.88422141876</v>
      </c>
      <c r="K210" s="24"/>
      <c r="L210" s="47">
        <f t="shared" si="23"/>
        <v>66996974.154289208</v>
      </c>
    </row>
    <row r="211" spans="1:12">
      <c r="A211" s="64">
        <v>240</v>
      </c>
      <c r="B211" s="21">
        <v>49796</v>
      </c>
      <c r="C211" s="47">
        <f t="shared" si="21"/>
        <v>66996974.154289208</v>
      </c>
      <c r="D211" s="47"/>
      <c r="E211" s="41">
        <f>Additions!J247*$C$5</f>
        <v>0</v>
      </c>
      <c r="F211" s="41">
        <f t="shared" si="27"/>
        <v>439946.79694649909</v>
      </c>
      <c r="G211" s="41">
        <f t="shared" si="24"/>
        <v>1929969.4273153788</v>
      </c>
      <c r="H211" s="65">
        <f t="shared" si="22"/>
        <v>-1490022.6303688798</v>
      </c>
      <c r="I211" s="65"/>
      <c r="J211" s="24">
        <f t="shared" si="25"/>
        <v>312904.75237746473</v>
      </c>
      <c r="K211" s="24"/>
      <c r="L211" s="47">
        <f t="shared" si="23"/>
        <v>65819856.2762978</v>
      </c>
    </row>
    <row r="212" spans="1:12">
      <c r="A212" s="64">
        <v>241</v>
      </c>
      <c r="B212" s="21">
        <v>49827</v>
      </c>
      <c r="C212" s="47">
        <f t="shared" si="21"/>
        <v>65819856.2762978</v>
      </c>
      <c r="D212" s="47"/>
      <c r="E212" s="41">
        <f>Additions!J248*$C$5</f>
        <v>0</v>
      </c>
      <c r="F212" s="41">
        <f t="shared" si="27"/>
        <v>432217.05621435551</v>
      </c>
      <c r="G212" s="41">
        <f t="shared" si="24"/>
        <v>1929969.4273153788</v>
      </c>
      <c r="H212" s="65">
        <f t="shared" si="22"/>
        <v>-1497752.3711010232</v>
      </c>
      <c r="I212" s="65"/>
      <c r="J212" s="24">
        <f t="shared" si="25"/>
        <v>314527.99793121486</v>
      </c>
      <c r="K212" s="24"/>
      <c r="L212" s="47">
        <f t="shared" si="23"/>
        <v>64636631.903127991</v>
      </c>
    </row>
    <row r="213" spans="1:12">
      <c r="A213" s="64">
        <v>242</v>
      </c>
      <c r="B213" s="21">
        <v>49857</v>
      </c>
      <c r="C213" s="47">
        <f t="shared" si="21"/>
        <v>64636631.903127991</v>
      </c>
      <c r="D213" s="47"/>
      <c r="E213" s="41">
        <f>Additions!J249*$C$5</f>
        <v>0</v>
      </c>
      <c r="F213" s="41">
        <f t="shared" si="27"/>
        <v>424447.21616387379</v>
      </c>
      <c r="G213" s="41">
        <f t="shared" si="24"/>
        <v>1929969.4273153788</v>
      </c>
      <c r="H213" s="65">
        <f t="shared" si="22"/>
        <v>-1505522.2111515049</v>
      </c>
      <c r="I213" s="65"/>
      <c r="J213" s="24">
        <f t="shared" si="25"/>
        <v>316159.66434181604</v>
      </c>
      <c r="K213" s="24"/>
      <c r="L213" s="47">
        <f t="shared" si="23"/>
        <v>63447269.356318302</v>
      </c>
    </row>
    <row r="214" spans="1:12">
      <c r="A214" s="64">
        <v>243</v>
      </c>
      <c r="B214" s="21">
        <v>49888</v>
      </c>
      <c r="C214" s="47">
        <f t="shared" si="21"/>
        <v>63447269.356318302</v>
      </c>
      <c r="D214" s="47"/>
      <c r="E214" s="41">
        <f>Additions!J250*$C$5</f>
        <v>0</v>
      </c>
      <c r="F214" s="41">
        <f t="shared" si="27"/>
        <v>416637.06877315679</v>
      </c>
      <c r="G214" s="41">
        <f t="shared" si="24"/>
        <v>1929969.4273153788</v>
      </c>
      <c r="H214" s="65">
        <f t="shared" si="22"/>
        <v>-1513332.3585422221</v>
      </c>
      <c r="I214" s="65"/>
      <c r="J214" s="24">
        <f t="shared" si="25"/>
        <v>317799.7952938666</v>
      </c>
      <c r="K214" s="24"/>
      <c r="L214" s="47">
        <f t="shared" si="23"/>
        <v>62251736.793069951</v>
      </c>
    </row>
    <row r="215" spans="1:12">
      <c r="A215" s="64">
        <v>244</v>
      </c>
      <c r="B215" s="21">
        <v>49919</v>
      </c>
      <c r="C215" s="47">
        <f t="shared" si="21"/>
        <v>62251736.793069951</v>
      </c>
      <c r="D215" s="47"/>
      <c r="E215" s="41">
        <f>Additions!J251*$C$5</f>
        <v>0</v>
      </c>
      <c r="F215" s="41">
        <f t="shared" si="27"/>
        <v>408786.4049411593</v>
      </c>
      <c r="G215" s="41">
        <f t="shared" si="24"/>
        <v>1929969.4273153788</v>
      </c>
      <c r="H215" s="65">
        <f t="shared" si="22"/>
        <v>-1521183.0223742195</v>
      </c>
      <c r="I215" s="65"/>
      <c r="J215" s="24">
        <f t="shared" si="25"/>
        <v>319448.43469858606</v>
      </c>
      <c r="K215" s="24"/>
      <c r="L215" s="47">
        <f t="shared" si="23"/>
        <v>61050002.20539432</v>
      </c>
    </row>
    <row r="216" spans="1:12">
      <c r="A216" s="64">
        <v>245</v>
      </c>
      <c r="B216" s="21">
        <v>49949</v>
      </c>
      <c r="C216" s="47">
        <f t="shared" si="21"/>
        <v>61050002.20539432</v>
      </c>
      <c r="D216" s="47"/>
      <c r="E216" s="41">
        <f>Additions!J252*$C$5</f>
        <v>0</v>
      </c>
      <c r="F216" s="41">
        <f t="shared" si="27"/>
        <v>400895.01448208932</v>
      </c>
      <c r="G216" s="41">
        <f t="shared" si="24"/>
        <v>1929969.4273153788</v>
      </c>
      <c r="H216" s="65">
        <f t="shared" si="22"/>
        <v>-1529074.4128332895</v>
      </c>
      <c r="I216" s="65"/>
      <c r="J216" s="24">
        <f t="shared" si="25"/>
        <v>321105.62669499079</v>
      </c>
      <c r="K216" s="24"/>
      <c r="L216" s="47">
        <f t="shared" si="23"/>
        <v>59842033.419256024</v>
      </c>
    </row>
    <row r="217" spans="1:12">
      <c r="A217" s="64">
        <v>246</v>
      </c>
      <c r="B217" s="21">
        <v>49980</v>
      </c>
      <c r="C217" s="47">
        <f t="shared" si="21"/>
        <v>59842033.419256024</v>
      </c>
      <c r="D217" s="47"/>
      <c r="E217" s="41">
        <f>Additions!J253*$C$5</f>
        <v>0</v>
      </c>
      <c r="F217" s="41">
        <f t="shared" si="27"/>
        <v>392962.68611978117</v>
      </c>
      <c r="G217" s="41">
        <f t="shared" si="24"/>
        <v>1929969.4273153788</v>
      </c>
      <c r="H217" s="65">
        <f t="shared" si="22"/>
        <v>-1537006.7411955977</v>
      </c>
      <c r="I217" s="65"/>
      <c r="J217" s="24">
        <f t="shared" si="25"/>
        <v>322771.41565107548</v>
      </c>
      <c r="K217" s="24"/>
      <c r="L217" s="47">
        <f t="shared" si="23"/>
        <v>58627798.093711503</v>
      </c>
    </row>
    <row r="218" spans="1:12">
      <c r="A218" s="64">
        <v>247</v>
      </c>
      <c r="B218" s="21">
        <v>50010</v>
      </c>
      <c r="C218" s="47">
        <f t="shared" si="21"/>
        <v>58627798.093711503</v>
      </c>
      <c r="D218" s="47"/>
      <c r="E218" s="41">
        <f>Additions!J254*$C$5</f>
        <v>0</v>
      </c>
      <c r="F218" s="41">
        <f t="shared" si="27"/>
        <v>384989.20748203882</v>
      </c>
      <c r="G218" s="41">
        <f t="shared" si="24"/>
        <v>1929969.4273153788</v>
      </c>
      <c r="H218" s="65">
        <f t="shared" si="22"/>
        <v>-1544980.21983334</v>
      </c>
      <c r="I218" s="65"/>
      <c r="J218" s="24">
        <f t="shared" si="25"/>
        <v>324445.84616500139</v>
      </c>
      <c r="K218" s="24"/>
      <c r="L218" s="47">
        <f t="shared" si="23"/>
        <v>57407263.720043167</v>
      </c>
    </row>
    <row r="219" spans="1:12">
      <c r="A219" s="64">
        <v>248</v>
      </c>
      <c r="B219" s="21">
        <v>50041</v>
      </c>
      <c r="C219" s="47">
        <f t="shared" si="21"/>
        <v>57407263.720043167</v>
      </c>
      <c r="D219" s="47"/>
      <c r="E219" s="41">
        <f>Additions!J255*$C$5</f>
        <v>0</v>
      </c>
      <c r="F219" s="41">
        <f t="shared" si="27"/>
        <v>376974.36509495007</v>
      </c>
      <c r="G219" s="41">
        <f t="shared" si="24"/>
        <v>1929969.4273153788</v>
      </c>
      <c r="H219" s="65">
        <f t="shared" si="22"/>
        <v>-1552995.0622204286</v>
      </c>
      <c r="I219" s="65"/>
      <c r="J219" s="24">
        <f t="shared" si="25"/>
        <v>326128.96306629002</v>
      </c>
      <c r="K219" s="24"/>
      <c r="L219" s="47">
        <f t="shared" si="23"/>
        <v>56180397.62088903</v>
      </c>
    </row>
    <row r="220" spans="1:12">
      <c r="A220" s="64">
        <v>249</v>
      </c>
      <c r="B220" s="21">
        <v>50072</v>
      </c>
      <c r="C220" s="47">
        <f t="shared" si="21"/>
        <v>56180397.62088903</v>
      </c>
      <c r="D220" s="47"/>
      <c r="E220" s="41">
        <f>Additions!J256*$C$5</f>
        <v>0</v>
      </c>
      <c r="F220" s="41">
        <f t="shared" si="27"/>
        <v>368917.94437717128</v>
      </c>
      <c r="G220" s="41">
        <f t="shared" si="24"/>
        <v>1929969.4273153788</v>
      </c>
      <c r="H220" s="65">
        <f t="shared" si="22"/>
        <v>-1561051.4829382075</v>
      </c>
      <c r="I220" s="65"/>
      <c r="J220" s="24">
        <f t="shared" si="25"/>
        <v>327820.81141702353</v>
      </c>
      <c r="K220" s="24"/>
      <c r="L220" s="47">
        <f t="shared" si="23"/>
        <v>54947166.949367844</v>
      </c>
    </row>
    <row r="221" spans="1:12">
      <c r="A221" s="64">
        <v>250</v>
      </c>
      <c r="B221" s="21">
        <v>50100</v>
      </c>
      <c r="C221" s="47">
        <f t="shared" si="21"/>
        <v>54947166.949367844</v>
      </c>
      <c r="D221" s="47"/>
      <c r="E221" s="41">
        <f>Additions!J257*$C$5</f>
        <v>0</v>
      </c>
      <c r="F221" s="41">
        <f t="shared" si="27"/>
        <v>360819.72963418212</v>
      </c>
      <c r="G221" s="41">
        <f t="shared" si="24"/>
        <v>1929969.4273153788</v>
      </c>
      <c r="H221" s="65">
        <f t="shared" si="22"/>
        <v>-1569149.6976811967</v>
      </c>
      <c r="I221" s="65"/>
      <c r="J221" s="24">
        <f t="shared" si="25"/>
        <v>329521.43651305127</v>
      </c>
      <c r="K221" s="24"/>
      <c r="L221" s="47">
        <f t="shared" si="23"/>
        <v>53707538.688199699</v>
      </c>
    </row>
    <row r="222" spans="1:12">
      <c r="A222" s="64">
        <v>251</v>
      </c>
      <c r="B222" s="21">
        <v>50131</v>
      </c>
      <c r="C222" s="47">
        <f t="shared" si="21"/>
        <v>53707538.688199699</v>
      </c>
      <c r="D222" s="47"/>
      <c r="E222" s="41">
        <f>Additions!J258*$C$5</f>
        <v>0</v>
      </c>
      <c r="F222" s="41">
        <f t="shared" si="27"/>
        <v>352679.5040525113</v>
      </c>
      <c r="G222" s="41">
        <f t="shared" si="24"/>
        <v>1929969.4273153788</v>
      </c>
      <c r="H222" s="65">
        <f t="shared" si="22"/>
        <v>-1577289.9232628676</v>
      </c>
      <c r="I222" s="65"/>
      <c r="J222" s="24">
        <f t="shared" si="25"/>
        <v>331230.88388520217</v>
      </c>
      <c r="K222" s="24"/>
      <c r="L222" s="47">
        <f t="shared" si="23"/>
        <v>52461479.648822039</v>
      </c>
    </row>
    <row r="223" spans="1:12">
      <c r="A223" s="64">
        <v>252</v>
      </c>
      <c r="B223" s="21">
        <v>50161</v>
      </c>
      <c r="C223" s="47">
        <f t="shared" si="21"/>
        <v>52461479.648822039</v>
      </c>
      <c r="D223" s="47"/>
      <c r="E223" s="41">
        <f>Additions!J259*$C$5</f>
        <v>0</v>
      </c>
      <c r="F223" s="41">
        <f t="shared" si="27"/>
        <v>344497.04969393136</v>
      </c>
      <c r="G223" s="41">
        <f t="shared" si="24"/>
        <v>1929969.4273153788</v>
      </c>
      <c r="H223" s="65">
        <f t="shared" si="22"/>
        <v>-1585472.3776214474</v>
      </c>
      <c r="I223" s="65"/>
      <c r="J223" s="24">
        <f t="shared" si="25"/>
        <v>332949.19930050394</v>
      </c>
      <c r="K223" s="24"/>
      <c r="L223" s="47">
        <f t="shared" si="23"/>
        <v>51208956.470501103</v>
      </c>
    </row>
    <row r="224" spans="1:12">
      <c r="A224" s="64">
        <v>253</v>
      </c>
      <c r="B224" s="21">
        <v>50192</v>
      </c>
      <c r="C224" s="47">
        <f t="shared" si="21"/>
        <v>51208956.470501103</v>
      </c>
      <c r="D224" s="47"/>
      <c r="E224" s="41">
        <f>Additions!J260*$C$5</f>
        <v>0</v>
      </c>
      <c r="F224" s="41">
        <f t="shared" si="27"/>
        <v>336272.14748962387</v>
      </c>
      <c r="G224" s="41">
        <f t="shared" si="24"/>
        <v>1929969.4273153788</v>
      </c>
      <c r="H224" s="65">
        <f t="shared" si="22"/>
        <v>-1593697.2798257549</v>
      </c>
      <c r="I224" s="65"/>
      <c r="J224" s="24">
        <f t="shared" si="25"/>
        <v>334676.4287634085</v>
      </c>
      <c r="K224" s="24"/>
      <c r="L224" s="47">
        <f t="shared" si="23"/>
        <v>49949935.61943876</v>
      </c>
    </row>
    <row r="225" spans="1:12">
      <c r="A225" s="64">
        <v>254</v>
      </c>
      <c r="B225" s="21">
        <v>50222</v>
      </c>
      <c r="C225" s="47">
        <f t="shared" si="21"/>
        <v>49949935.61943876</v>
      </c>
      <c r="D225" s="47"/>
      <c r="E225" s="41">
        <f>Additions!J261*$C$5</f>
        <v>0</v>
      </c>
      <c r="F225" s="41">
        <f t="shared" si="27"/>
        <v>328004.57723431446</v>
      </c>
      <c r="G225" s="41">
        <f t="shared" si="24"/>
        <v>1929969.4273153788</v>
      </c>
      <c r="H225" s="65">
        <f t="shared" si="22"/>
        <v>-1601964.8500810643</v>
      </c>
      <c r="I225" s="65"/>
      <c r="J225" s="24">
        <f t="shared" si="25"/>
        <v>336412.61851702351</v>
      </c>
      <c r="K225" s="24"/>
      <c r="L225" s="47">
        <f t="shared" si="23"/>
        <v>48684383.387874722</v>
      </c>
    </row>
    <row r="226" spans="1:12">
      <c r="A226" s="64">
        <v>255</v>
      </c>
      <c r="B226" s="21">
        <v>50253</v>
      </c>
      <c r="C226" s="47">
        <f t="shared" si="21"/>
        <v>48684383.387874722</v>
      </c>
      <c r="D226" s="47"/>
      <c r="E226" s="41">
        <f>Additions!J262*$C$5</f>
        <v>0</v>
      </c>
      <c r="F226" s="41">
        <f t="shared" si="27"/>
        <v>319694.11758037732</v>
      </c>
      <c r="G226" s="41">
        <f t="shared" si="24"/>
        <v>1929969.4273153788</v>
      </c>
      <c r="H226" s="65">
        <f t="shared" si="22"/>
        <v>-1610275.3097350015</v>
      </c>
      <c r="I226" s="65"/>
      <c r="J226" s="24">
        <f t="shared" si="25"/>
        <v>338157.81504435028</v>
      </c>
      <c r="K226" s="24"/>
      <c r="L226" s="47">
        <f t="shared" si="23"/>
        <v>47412265.893184073</v>
      </c>
    </row>
    <row r="227" spans="1:12">
      <c r="A227" s="64">
        <v>256</v>
      </c>
      <c r="B227" s="21">
        <v>50284</v>
      </c>
      <c r="C227" s="47">
        <f t="shared" si="21"/>
        <v>47412265.893184073</v>
      </c>
      <c r="D227" s="47"/>
      <c r="E227" s="41">
        <f>Additions!J263*$C$5</f>
        <v>0</v>
      </c>
      <c r="F227" s="41">
        <f t="shared" si="27"/>
        <v>311340.54603190871</v>
      </c>
      <c r="G227" s="41">
        <f t="shared" si="24"/>
        <v>1929969.4273153788</v>
      </c>
      <c r="H227" s="65">
        <f t="shared" si="22"/>
        <v>-1618628.88128347</v>
      </c>
      <c r="I227" s="65"/>
      <c r="J227" s="24">
        <f t="shared" si="25"/>
        <v>339912.0650695287</v>
      </c>
      <c r="K227" s="24"/>
      <c r="L227" s="47">
        <f t="shared" si="23"/>
        <v>46133549.07697013</v>
      </c>
    </row>
    <row r="228" spans="1:12">
      <c r="A228" s="64">
        <v>257</v>
      </c>
      <c r="B228" s="21">
        <v>50314</v>
      </c>
      <c r="C228" s="47">
        <f t="shared" si="21"/>
        <v>46133549.07697013</v>
      </c>
      <c r="D228" s="47"/>
      <c r="E228" s="41">
        <f>Additions!J264*$C$5</f>
        <v>0</v>
      </c>
      <c r="F228" s="41">
        <f t="shared" si="27"/>
        <v>302943.63893877051</v>
      </c>
      <c r="G228" s="41">
        <f t="shared" si="24"/>
        <v>1929969.4273153788</v>
      </c>
      <c r="H228" s="65">
        <f t="shared" si="22"/>
        <v>-1627025.7883766084</v>
      </c>
      <c r="I228" s="65"/>
      <c r="J228" s="24">
        <f t="shared" si="25"/>
        <v>341675.41555908776</v>
      </c>
      <c r="K228" s="24"/>
      <c r="L228" s="47">
        <f t="shared" si="23"/>
        <v>44848198.704152614</v>
      </c>
    </row>
    <row r="229" spans="1:12">
      <c r="A229" s="64">
        <v>258</v>
      </c>
      <c r="B229" s="21">
        <v>50345</v>
      </c>
      <c r="C229" s="47">
        <f t="shared" si="21"/>
        <v>44848198.704152614</v>
      </c>
      <c r="D229" s="47"/>
      <c r="E229" s="41">
        <f>Additions!J265*$C$5</f>
        <v>0</v>
      </c>
      <c r="F229" s="41">
        <f t="shared" si="27"/>
        <v>294503.17149060214</v>
      </c>
      <c r="G229" s="41">
        <f t="shared" si="24"/>
        <v>1929969.4273153788</v>
      </c>
      <c r="H229" s="65">
        <f t="shared" si="22"/>
        <v>-1635466.2558247766</v>
      </c>
      <c r="I229" s="65"/>
      <c r="J229" s="24">
        <f t="shared" si="25"/>
        <v>343447.91372320306</v>
      </c>
      <c r="K229" s="24"/>
      <c r="L229" s="47">
        <f t="shared" si="23"/>
        <v>43556180.36205104</v>
      </c>
    </row>
    <row r="230" spans="1:12">
      <c r="A230" s="64">
        <v>259</v>
      </c>
      <c r="B230" s="21">
        <v>50375</v>
      </c>
      <c r="C230" s="47">
        <f t="shared" si="21"/>
        <v>43556180.36205104</v>
      </c>
      <c r="D230" s="47"/>
      <c r="E230" s="41">
        <f>Additions!J266*$C$5</f>
        <v>0</v>
      </c>
      <c r="F230" s="41">
        <f t="shared" si="27"/>
        <v>286018.91771080182</v>
      </c>
      <c r="G230" s="41">
        <f t="shared" si="24"/>
        <v>1929969.4273153788</v>
      </c>
      <c r="H230" s="65">
        <f t="shared" si="22"/>
        <v>-1643950.509604577</v>
      </c>
      <c r="I230" s="65"/>
      <c r="J230" s="24">
        <f t="shared" si="25"/>
        <v>345229.60701696115</v>
      </c>
      <c r="K230" s="24"/>
      <c r="L230" s="47">
        <f t="shared" si="23"/>
        <v>42257459.459463425</v>
      </c>
    </row>
    <row r="231" spans="1:12">
      <c r="A231" s="64">
        <v>260</v>
      </c>
      <c r="B231" s="21">
        <v>50406</v>
      </c>
      <c r="C231" s="47">
        <f t="shared" si="21"/>
        <v>42257459.459463425</v>
      </c>
      <c r="D231" s="47"/>
      <c r="E231" s="41">
        <f>Additions!J267*$C$5</f>
        <v>0</v>
      </c>
      <c r="F231" s="41">
        <f t="shared" si="27"/>
        <v>277490.65045047645</v>
      </c>
      <c r="G231" s="41">
        <f t="shared" si="24"/>
        <v>1929969.4273153788</v>
      </c>
      <c r="H231" s="65">
        <f t="shared" si="22"/>
        <v>-1652478.7768649023</v>
      </c>
      <c r="I231" s="65"/>
      <c r="J231" s="24">
        <f t="shared" si="25"/>
        <v>347020.54314162949</v>
      </c>
      <c r="K231" s="24"/>
      <c r="L231" s="47">
        <f t="shared" si="23"/>
        <v>40952001.22574015</v>
      </c>
    </row>
    <row r="232" spans="1:12">
      <c r="A232" s="64">
        <v>261</v>
      </c>
      <c r="B232" s="21">
        <v>50437</v>
      </c>
      <c r="C232" s="47">
        <f t="shared" si="21"/>
        <v>40952001.22574015</v>
      </c>
      <c r="D232" s="47"/>
      <c r="E232" s="41">
        <f>Additions!J268*$C$5</f>
        <v>0</v>
      </c>
      <c r="F232" s="41">
        <f t="shared" si="27"/>
        <v>268918.14138236031</v>
      </c>
      <c r="G232" s="41">
        <f t="shared" si="24"/>
        <v>1929969.4273153788</v>
      </c>
      <c r="H232" s="65">
        <f t="shared" si="22"/>
        <v>-1661051.2859330184</v>
      </c>
      <c r="I232" s="65"/>
      <c r="J232" s="24">
        <f t="shared" si="25"/>
        <v>348820.77004593384</v>
      </c>
      <c r="K232" s="24"/>
      <c r="L232" s="47">
        <f t="shared" si="23"/>
        <v>39639770.709853068</v>
      </c>
    </row>
    <row r="233" spans="1:12">
      <c r="A233" s="64">
        <v>262</v>
      </c>
      <c r="B233" s="21">
        <v>50465</v>
      </c>
      <c r="C233" s="47">
        <f t="shared" si="21"/>
        <v>39639770.709853068</v>
      </c>
      <c r="D233" s="47"/>
      <c r="E233" s="41">
        <f>Additions!J269*$C$5</f>
        <v>0</v>
      </c>
      <c r="F233" s="41">
        <f t="shared" si="27"/>
        <v>260301.16099470179</v>
      </c>
      <c r="G233" s="41">
        <f t="shared" si="24"/>
        <v>1929969.4273153788</v>
      </c>
      <c r="H233" s="65">
        <f t="shared" si="22"/>
        <v>-1669668.266320677</v>
      </c>
      <c r="I233" s="65"/>
      <c r="J233" s="24">
        <f t="shared" si="25"/>
        <v>350630.33592734218</v>
      </c>
      <c r="K233" s="24"/>
      <c r="L233" s="47">
        <f t="shared" si="23"/>
        <v>38320732.779459737</v>
      </c>
    </row>
    <row r="234" spans="1:12">
      <c r="A234" s="64">
        <v>263</v>
      </c>
      <c r="B234" s="21">
        <v>50496</v>
      </c>
      <c r="C234" s="47">
        <f t="shared" si="21"/>
        <v>38320732.779459737</v>
      </c>
      <c r="D234" s="47"/>
      <c r="E234" s="41">
        <f>Additions!J270*$C$5</f>
        <v>0</v>
      </c>
      <c r="F234" s="41">
        <f t="shared" si="27"/>
        <v>251639.47858511892</v>
      </c>
      <c r="G234" s="41">
        <f t="shared" si="24"/>
        <v>1929969.4273153788</v>
      </c>
      <c r="H234" s="65">
        <f t="shared" si="22"/>
        <v>-1678329.9487302599</v>
      </c>
      <c r="I234" s="65"/>
      <c r="J234" s="24">
        <f t="shared" si="25"/>
        <v>352449.28923335456</v>
      </c>
      <c r="K234" s="24"/>
      <c r="L234" s="47">
        <f t="shared" si="23"/>
        <v>36994852.119962834</v>
      </c>
    </row>
    <row r="235" spans="1:12">
      <c r="A235" s="64">
        <v>264</v>
      </c>
      <c r="B235" s="21">
        <v>50526</v>
      </c>
      <c r="C235" s="47">
        <f t="shared" si="21"/>
        <v>36994852.119962834</v>
      </c>
      <c r="D235" s="47"/>
      <c r="E235" s="41">
        <f>Additions!J271*$C$5</f>
        <v>0</v>
      </c>
      <c r="F235" s="41">
        <f t="shared" si="27"/>
        <v>242932.86225442259</v>
      </c>
      <c r="G235" s="41">
        <f t="shared" si="24"/>
        <v>1929969.4273153788</v>
      </c>
      <c r="H235" s="65">
        <f t="shared" si="22"/>
        <v>-1687036.5650609562</v>
      </c>
      <c r="I235" s="65"/>
      <c r="J235" s="24">
        <f t="shared" si="25"/>
        <v>354277.67866280075</v>
      </c>
      <c r="K235" s="24"/>
      <c r="L235" s="47">
        <f t="shared" si="23"/>
        <v>35662093.233564682</v>
      </c>
    </row>
    <row r="236" spans="1:12">
      <c r="A236" s="64">
        <v>265</v>
      </c>
      <c r="B236" s="21">
        <v>50557</v>
      </c>
      <c r="C236" s="47">
        <f t="shared" si="21"/>
        <v>35662093.233564682</v>
      </c>
      <c r="D236" s="47"/>
      <c r="E236" s="41">
        <f>Additions!J272*$C$5</f>
        <v>0</v>
      </c>
      <c r="F236" s="41">
        <f t="shared" si="27"/>
        <v>234181.07890040806</v>
      </c>
      <c r="G236" s="41">
        <f t="shared" si="24"/>
        <v>1929969.4273153788</v>
      </c>
      <c r="H236" s="65">
        <f t="shared" si="22"/>
        <v>-1695788.3484149708</v>
      </c>
      <c r="I236" s="65"/>
      <c r="J236" s="24">
        <f t="shared" si="25"/>
        <v>356115.55316714384</v>
      </c>
      <c r="K236" s="24"/>
      <c r="L236" s="47">
        <f t="shared" si="23"/>
        <v>34322420.438316859</v>
      </c>
    </row>
    <row r="237" spans="1:12">
      <c r="A237" s="64">
        <v>266</v>
      </c>
      <c r="B237" s="21">
        <v>50587</v>
      </c>
      <c r="C237" s="47">
        <f t="shared" si="21"/>
        <v>34322420.438316859</v>
      </c>
      <c r="D237" s="47"/>
      <c r="E237" s="41">
        <f>Additions!J273*$C$5</f>
        <v>0</v>
      </c>
      <c r="F237" s="41">
        <f t="shared" si="27"/>
        <v>225383.89421161401</v>
      </c>
      <c r="G237" s="41">
        <f t="shared" si="24"/>
        <v>1929969.4273153788</v>
      </c>
      <c r="H237" s="65">
        <f t="shared" si="22"/>
        <v>-1704585.5331037648</v>
      </c>
      <c r="I237" s="65"/>
      <c r="J237" s="24">
        <f t="shared" si="25"/>
        <v>357962.96195179061</v>
      </c>
      <c r="K237" s="24"/>
      <c r="L237" s="47">
        <f t="shared" si="23"/>
        <v>32975797.867164884</v>
      </c>
    </row>
    <row r="238" spans="1:12">
      <c r="A238" s="64">
        <v>267</v>
      </c>
      <c r="B238" s="21">
        <v>50618</v>
      </c>
      <c r="C238" s="47">
        <f t="shared" si="21"/>
        <v>32975797.867164884</v>
      </c>
      <c r="D238" s="47"/>
      <c r="E238" s="41">
        <f>Additions!J274*$C$5</f>
        <v>0</v>
      </c>
      <c r="F238" s="41">
        <f t="shared" si="27"/>
        <v>216541.07266104937</v>
      </c>
      <c r="G238" s="41">
        <f t="shared" si="24"/>
        <v>1929969.4273153788</v>
      </c>
      <c r="H238" s="65">
        <f t="shared" si="22"/>
        <v>-1713428.3546543294</v>
      </c>
      <c r="I238" s="65"/>
      <c r="J238" s="24">
        <f t="shared" si="25"/>
        <v>359819.95447740913</v>
      </c>
      <c r="K238" s="24"/>
      <c r="L238" s="47">
        <f t="shared" si="23"/>
        <v>31622189.466987964</v>
      </c>
    </row>
    <row r="239" spans="1:12">
      <c r="A239" s="64">
        <v>268</v>
      </c>
      <c r="B239" s="21">
        <v>50649</v>
      </c>
      <c r="C239" s="47">
        <f t="shared" si="21"/>
        <v>31622189.466987964</v>
      </c>
      <c r="D239" s="47"/>
      <c r="E239" s="41">
        <f>Additions!J275*$C$5</f>
        <v>0</v>
      </c>
      <c r="F239" s="41">
        <f t="shared" si="27"/>
        <v>207652.3774998876</v>
      </c>
      <c r="G239" s="41">
        <f t="shared" si="24"/>
        <v>1929969.4273153788</v>
      </c>
      <c r="H239" s="65">
        <f t="shared" si="22"/>
        <v>-1722317.0498154913</v>
      </c>
      <c r="I239" s="65"/>
      <c r="J239" s="24">
        <f t="shared" si="25"/>
        <v>361686.58046125318</v>
      </c>
      <c r="K239" s="24"/>
      <c r="L239" s="47">
        <f t="shared" si="23"/>
        <v>30261558.997633722</v>
      </c>
    </row>
    <row r="240" spans="1:12">
      <c r="A240" s="64">
        <v>269</v>
      </c>
      <c r="B240" s="21">
        <v>50679</v>
      </c>
      <c r="C240" s="47">
        <f t="shared" si="21"/>
        <v>30261558.997633722</v>
      </c>
      <c r="D240" s="47"/>
      <c r="E240" s="41">
        <f>Additions!J276*$C$5</f>
        <v>0</v>
      </c>
      <c r="F240" s="41">
        <f t="shared" si="27"/>
        <v>198717.57075112808</v>
      </c>
      <c r="G240" s="41">
        <f t="shared" si="24"/>
        <v>1929969.4273153788</v>
      </c>
      <c r="H240" s="65">
        <f t="shared" si="22"/>
        <v>-1731251.8565642508</v>
      </c>
      <c r="I240" s="65"/>
      <c r="J240" s="24">
        <f t="shared" si="25"/>
        <v>363562.88987849263</v>
      </c>
      <c r="K240" s="24"/>
      <c r="L240" s="47">
        <f t="shared" si="23"/>
        <v>28893870.030947961</v>
      </c>
    </row>
    <row r="241" spans="1:12">
      <c r="A241" s="64">
        <v>270</v>
      </c>
      <c r="B241" s="21">
        <v>50710</v>
      </c>
      <c r="C241" s="47">
        <f t="shared" si="21"/>
        <v>28893870.030947961</v>
      </c>
      <c r="D241" s="47"/>
      <c r="E241" s="41">
        <f>Additions!J277*$C$5</f>
        <v>0</v>
      </c>
      <c r="F241" s="41">
        <f t="shared" si="27"/>
        <v>189736.41320322492</v>
      </c>
      <c r="G241" s="41">
        <f t="shared" si="24"/>
        <v>1929969.4273153788</v>
      </c>
      <c r="H241" s="65">
        <f t="shared" si="22"/>
        <v>-1740233.0141121538</v>
      </c>
      <c r="I241" s="65"/>
      <c r="J241" s="24">
        <f t="shared" si="25"/>
        <v>365448.9329635523</v>
      </c>
      <c r="K241" s="24"/>
      <c r="L241" s="47">
        <f t="shared" si="23"/>
        <v>27519085.949799359</v>
      </c>
    </row>
    <row r="242" spans="1:12">
      <c r="A242" s="64">
        <v>271</v>
      </c>
      <c r="B242" s="21">
        <v>50740</v>
      </c>
      <c r="C242" s="47">
        <f t="shared" si="21"/>
        <v>27519085.949799359</v>
      </c>
      <c r="D242" s="47"/>
      <c r="E242" s="41">
        <f>Additions!J278*$C$5</f>
        <v>0</v>
      </c>
      <c r="F242" s="41">
        <f t="shared" si="27"/>
        <v>180708.66440368243</v>
      </c>
      <c r="G242" s="41">
        <f t="shared" si="24"/>
        <v>1929969.4273153788</v>
      </c>
      <c r="H242" s="65">
        <f t="shared" si="22"/>
        <v>-1749260.7629116965</v>
      </c>
      <c r="I242" s="65"/>
      <c r="J242" s="24">
        <f t="shared" si="25"/>
        <v>367344.76021145622</v>
      </c>
      <c r="K242" s="24"/>
      <c r="L242" s="47">
        <f t="shared" si="23"/>
        <v>26137169.947099116</v>
      </c>
    </row>
    <row r="243" spans="1:12">
      <c r="A243" s="64">
        <v>272</v>
      </c>
      <c r="B243" s="21">
        <v>50771</v>
      </c>
      <c r="C243" s="47">
        <f t="shared" si="21"/>
        <v>26137169.947099116</v>
      </c>
      <c r="D243" s="47"/>
      <c r="E243" s="41">
        <f>Additions!J279*$C$5</f>
        <v>0</v>
      </c>
      <c r="F243" s="41">
        <f t="shared" si="27"/>
        <v>171634.08265261751</v>
      </c>
      <c r="G243" s="41">
        <f t="shared" si="24"/>
        <v>1929969.4273153788</v>
      </c>
      <c r="H243" s="65">
        <f t="shared" si="22"/>
        <v>-1758335.3446627613</v>
      </c>
      <c r="I243" s="65"/>
      <c r="J243" s="24">
        <f t="shared" si="25"/>
        <v>369250.42237917986</v>
      </c>
      <c r="K243" s="24"/>
      <c r="L243" s="47">
        <f t="shared" si="23"/>
        <v>24748085.024815533</v>
      </c>
    </row>
    <row r="244" spans="1:12">
      <c r="A244" s="64">
        <v>273</v>
      </c>
      <c r="B244" s="21">
        <v>50802</v>
      </c>
      <c r="C244" s="47">
        <f t="shared" si="21"/>
        <v>24748085.024815533</v>
      </c>
      <c r="D244" s="47"/>
      <c r="E244" s="41">
        <f>Additions!J280*$C$5</f>
        <v>0</v>
      </c>
      <c r="F244" s="41">
        <f t="shared" si="27"/>
        <v>162512.42499628864</v>
      </c>
      <c r="G244" s="41">
        <f t="shared" si="24"/>
        <v>1929969.4273153788</v>
      </c>
      <c r="H244" s="65">
        <f t="shared" si="22"/>
        <v>-1767457.0023190901</v>
      </c>
      <c r="I244" s="65"/>
      <c r="J244" s="24">
        <f t="shared" si="25"/>
        <v>371165.97048700892</v>
      </c>
      <c r="K244" s="24"/>
      <c r="L244" s="47">
        <f t="shared" si="23"/>
        <v>23351793.992983453</v>
      </c>
    </row>
    <row r="245" spans="1:12">
      <c r="A245" s="64">
        <v>274</v>
      </c>
      <c r="B245" s="21">
        <v>50830</v>
      </c>
      <c r="C245" s="47">
        <f t="shared" si="21"/>
        <v>23351793.992983453</v>
      </c>
      <c r="D245" s="47"/>
      <c r="E245" s="41">
        <f>Additions!J281*$C$5</f>
        <v>0</v>
      </c>
      <c r="F245" s="41">
        <f t="shared" si="27"/>
        <v>153343.44722059133</v>
      </c>
      <c r="G245" s="41">
        <f t="shared" si="24"/>
        <v>1929969.4273153788</v>
      </c>
      <c r="H245" s="65">
        <f t="shared" si="22"/>
        <v>-1776625.9800947874</v>
      </c>
      <c r="I245" s="65"/>
      <c r="J245" s="24">
        <f t="shared" si="25"/>
        <v>373091.45581990533</v>
      </c>
      <c r="K245" s="24"/>
      <c r="L245" s="47">
        <f t="shared" si="23"/>
        <v>21948259.468708567</v>
      </c>
    </row>
    <row r="246" spans="1:12">
      <c r="A246" s="64">
        <v>275</v>
      </c>
      <c r="B246" s="21">
        <v>50861</v>
      </c>
      <c r="C246" s="47">
        <f t="shared" si="21"/>
        <v>21948259.468708567</v>
      </c>
      <c r="D246" s="47"/>
      <c r="E246" s="41">
        <f>Additions!J282*$C$5</f>
        <v>0</v>
      </c>
      <c r="F246" s="41">
        <f t="shared" si="27"/>
        <v>144126.90384451958</v>
      </c>
      <c r="G246" s="41">
        <f t="shared" si="24"/>
        <v>1929969.4273153788</v>
      </c>
      <c r="H246" s="65">
        <f t="shared" si="22"/>
        <v>-1785842.5234708593</v>
      </c>
      <c r="I246" s="65"/>
      <c r="J246" s="24">
        <f t="shared" si="25"/>
        <v>375026.92992888042</v>
      </c>
      <c r="K246" s="24"/>
      <c r="L246" s="47">
        <f t="shared" si="23"/>
        <v>20537443.875166588</v>
      </c>
    </row>
    <row r="247" spans="1:12">
      <c r="A247" s="64">
        <v>276</v>
      </c>
      <c r="B247" s="21">
        <v>50891</v>
      </c>
      <c r="C247" s="47">
        <f t="shared" si="21"/>
        <v>20537443.875166588</v>
      </c>
      <c r="D247" s="47"/>
      <c r="E247" s="41">
        <f>Additions!J283*$C$5</f>
        <v>0</v>
      </c>
      <c r="F247" s="41">
        <f t="shared" si="27"/>
        <v>134862.54811359392</v>
      </c>
      <c r="G247" s="41">
        <f t="shared" si="24"/>
        <v>1929969.4273153788</v>
      </c>
      <c r="H247" s="65">
        <f t="shared" si="22"/>
        <v>-1795106.879201785</v>
      </c>
      <c r="I247" s="65"/>
      <c r="J247" s="24">
        <f t="shared" si="25"/>
        <v>376972.44463237486</v>
      </c>
      <c r="K247" s="24"/>
      <c r="L247" s="47">
        <f t="shared" si="23"/>
        <v>19119309.440597177</v>
      </c>
    </row>
    <row r="248" spans="1:12">
      <c r="A248" s="64">
        <v>277</v>
      </c>
      <c r="B248" s="21">
        <v>50922</v>
      </c>
      <c r="C248" s="47">
        <f t="shared" si="21"/>
        <v>19119309.440597177</v>
      </c>
      <c r="D248" s="47"/>
      <c r="E248" s="41">
        <f>Additions!J284*$C$5</f>
        <v>0</v>
      </c>
      <c r="F248" s="41">
        <f t="shared" si="27"/>
        <v>125550.13199325478</v>
      </c>
      <c r="G248" s="41">
        <f t="shared" si="24"/>
        <v>1929969.4273153788</v>
      </c>
      <c r="H248" s="65">
        <f t="shared" si="22"/>
        <v>-1804419.2953221239</v>
      </c>
      <c r="I248" s="65"/>
      <c r="J248" s="24">
        <f t="shared" si="25"/>
        <v>378928.05201764603</v>
      </c>
      <c r="K248" s="24"/>
      <c r="L248" s="47">
        <f t="shared" si="23"/>
        <v>17693818.1972927</v>
      </c>
    </row>
    <row r="249" spans="1:12">
      <c r="A249" s="64">
        <v>278</v>
      </c>
      <c r="B249" s="21">
        <v>50952</v>
      </c>
      <c r="C249" s="47">
        <f t="shared" si="21"/>
        <v>17693818.1972927</v>
      </c>
      <c r="D249" s="47"/>
      <c r="E249" s="41">
        <f>Additions!J285*$C$5</f>
        <v>0</v>
      </c>
      <c r="F249" s="41">
        <f t="shared" si="27"/>
        <v>116189.40616222205</v>
      </c>
      <c r="G249" s="41">
        <f t="shared" si="24"/>
        <v>1929969.4273153788</v>
      </c>
      <c r="H249" s="65">
        <f t="shared" si="22"/>
        <v>-1813780.0211531566</v>
      </c>
      <c r="I249" s="65"/>
      <c r="J249" s="24">
        <f t="shared" si="25"/>
        <v>380893.80444216286</v>
      </c>
      <c r="K249" s="24"/>
      <c r="L249" s="47">
        <f t="shared" si="23"/>
        <v>16260931.980581706</v>
      </c>
    </row>
    <row r="250" spans="1:12">
      <c r="A250" s="64">
        <v>279</v>
      </c>
      <c r="B250" s="21">
        <v>50983</v>
      </c>
      <c r="C250" s="47">
        <f t="shared" si="21"/>
        <v>16260931.980581706</v>
      </c>
      <c r="D250" s="47"/>
      <c r="E250" s="41">
        <f>Additions!J286*$C$5</f>
        <v>0</v>
      </c>
      <c r="F250" s="41">
        <f t="shared" si="27"/>
        <v>106780.12000581986</v>
      </c>
      <c r="G250" s="41">
        <f t="shared" si="24"/>
        <v>1929969.4273153788</v>
      </c>
      <c r="H250" s="65">
        <f t="shared" si="22"/>
        <v>-1823189.3073095588</v>
      </c>
      <c r="I250" s="65"/>
      <c r="J250" s="24">
        <f t="shared" si="25"/>
        <v>382869.75453500735</v>
      </c>
      <c r="K250" s="24"/>
      <c r="L250" s="47">
        <f t="shared" si="23"/>
        <v>14820612.427807156</v>
      </c>
    </row>
    <row r="251" spans="1:12">
      <c r="A251" s="64">
        <v>280</v>
      </c>
      <c r="B251" s="21">
        <v>51014</v>
      </c>
      <c r="C251" s="47">
        <f t="shared" si="21"/>
        <v>14820612.427807156</v>
      </c>
      <c r="D251" s="47"/>
      <c r="E251" s="41">
        <f>Additions!J287*$C$5</f>
        <v>0</v>
      </c>
      <c r="F251" s="41">
        <f t="shared" si="27"/>
        <v>97322.021609266987</v>
      </c>
      <c r="G251" s="41">
        <f t="shared" si="24"/>
        <v>1929969.4273153788</v>
      </c>
      <c r="H251" s="65">
        <f t="shared" si="22"/>
        <v>-1832647.4057061118</v>
      </c>
      <c r="I251" s="65"/>
      <c r="J251" s="24">
        <f t="shared" si="25"/>
        <v>384855.95519828348</v>
      </c>
      <c r="K251" s="24"/>
      <c r="L251" s="47">
        <f t="shared" si="23"/>
        <v>13372820.977299329</v>
      </c>
    </row>
    <row r="252" spans="1:12">
      <c r="A252" s="64">
        <v>281</v>
      </c>
      <c r="B252" s="21">
        <v>51044</v>
      </c>
      <c r="C252" s="47">
        <f t="shared" si="21"/>
        <v>13372820.977299329</v>
      </c>
      <c r="D252" s="47"/>
      <c r="E252" s="41">
        <f>Additions!J288*$C$5</f>
        <v>0</v>
      </c>
      <c r="F252" s="41">
        <f t="shared" si="27"/>
        <v>87814.857750932249</v>
      </c>
      <c r="G252" s="41">
        <f t="shared" si="24"/>
        <v>1929969.4273153788</v>
      </c>
      <c r="H252" s="65">
        <f t="shared" si="22"/>
        <v>-1842154.5695644466</v>
      </c>
      <c r="I252" s="65"/>
      <c r="J252" s="24">
        <f t="shared" si="25"/>
        <v>386852.45960853377</v>
      </c>
      <c r="K252" s="24"/>
      <c r="L252" s="47">
        <f t="shared" si="23"/>
        <v>11917518.867343416</v>
      </c>
    </row>
    <row r="253" spans="1:12">
      <c r="A253" s="64">
        <v>282</v>
      </c>
      <c r="B253" s="21">
        <v>51075</v>
      </c>
      <c r="C253" s="47">
        <f t="shared" si="21"/>
        <v>11917518.867343416</v>
      </c>
      <c r="D253" s="47"/>
      <c r="E253" s="41">
        <f>Additions!J289*$C$5</f>
        <v>0</v>
      </c>
      <c r="F253" s="41">
        <f t="shared" si="27"/>
        <v>78258.373895555094</v>
      </c>
      <c r="G253" s="41">
        <f t="shared" si="24"/>
        <v>1929969.4273153788</v>
      </c>
      <c r="H253" s="65">
        <f t="shared" si="22"/>
        <v>-1851711.0534198238</v>
      </c>
      <c r="I253" s="65"/>
      <c r="J253" s="24">
        <f t="shared" si="25"/>
        <v>388859.32121816295</v>
      </c>
      <c r="K253" s="24"/>
      <c r="L253" s="47">
        <f t="shared" si="23"/>
        <v>10454667.135141756</v>
      </c>
    </row>
    <row r="254" spans="1:12">
      <c r="A254" s="64">
        <v>283</v>
      </c>
      <c r="B254" s="21">
        <v>51105</v>
      </c>
      <c r="C254" s="47">
        <f t="shared" ref="C254:C260" si="28">L253</f>
        <v>10454667.135141756</v>
      </c>
      <c r="D254" s="47"/>
      <c r="E254" s="41">
        <f>Additions!J290*$C$5</f>
        <v>0</v>
      </c>
      <c r="F254" s="41">
        <f t="shared" si="27"/>
        <v>68652.314187430864</v>
      </c>
      <c r="G254" s="41">
        <f t="shared" si="24"/>
        <v>1929969.4273153788</v>
      </c>
      <c r="H254" s="65">
        <f t="shared" ref="H254:H260" si="29">E254+F254-G254</f>
        <v>-1861317.113127948</v>
      </c>
      <c r="I254" s="65"/>
      <c r="J254" s="24">
        <f t="shared" si="25"/>
        <v>390876.59375686909</v>
      </c>
      <c r="K254" s="24"/>
      <c r="L254" s="47">
        <f t="shared" ref="L254:L260" si="30">C254+E254+F254-G254+J254+K254</f>
        <v>8984226.615770679</v>
      </c>
    </row>
    <row r="255" spans="1:12">
      <c r="A255" s="64">
        <v>284</v>
      </c>
      <c r="B255" s="21">
        <v>51136</v>
      </c>
      <c r="C255" s="47">
        <f t="shared" si="28"/>
        <v>8984226.615770679</v>
      </c>
      <c r="D255" s="47"/>
      <c r="E255" s="41">
        <f>Additions!J291*$C$5</f>
        <v>0</v>
      </c>
      <c r="F255" s="41">
        <f t="shared" si="27"/>
        <v>58996.421443560786</v>
      </c>
      <c r="G255" s="41">
        <f t="shared" ref="G255:G260" si="31">G254</f>
        <v>1929969.4273153788</v>
      </c>
      <c r="H255" s="65">
        <f t="shared" si="29"/>
        <v>-1870973.0058718179</v>
      </c>
      <c r="I255" s="65"/>
      <c r="J255" s="24">
        <f t="shared" ref="J255:J260" si="32">-H255*0.21</f>
        <v>392904.33123308176</v>
      </c>
      <c r="K255" s="24"/>
      <c r="L255" s="47">
        <f t="shared" si="30"/>
        <v>7506157.9411319429</v>
      </c>
    </row>
    <row r="256" spans="1:12">
      <c r="A256" s="64">
        <v>285</v>
      </c>
      <c r="B256" s="21">
        <v>51167</v>
      </c>
      <c r="C256" s="47">
        <f t="shared" si="28"/>
        <v>7506157.9411319429</v>
      </c>
      <c r="D256" s="47"/>
      <c r="E256" s="41">
        <f>Additions!J292*$C$5</f>
        <v>0</v>
      </c>
      <c r="F256" s="41">
        <f t="shared" si="27"/>
        <v>49290.437146766417</v>
      </c>
      <c r="G256" s="41">
        <f t="shared" si="31"/>
        <v>1929969.4273153788</v>
      </c>
      <c r="H256" s="65">
        <f t="shared" si="29"/>
        <v>-1880678.9901686125</v>
      </c>
      <c r="I256" s="65"/>
      <c r="J256" s="24">
        <f t="shared" si="32"/>
        <v>394942.58793540858</v>
      </c>
      <c r="K256" s="24"/>
      <c r="L256" s="47">
        <f t="shared" si="30"/>
        <v>6020421.538898739</v>
      </c>
    </row>
    <row r="257" spans="1:12">
      <c r="A257" s="64">
        <v>286</v>
      </c>
      <c r="B257" s="21">
        <v>51196</v>
      </c>
      <c r="C257" s="47">
        <f t="shared" si="28"/>
        <v>6020421.538898739</v>
      </c>
      <c r="D257" s="47"/>
      <c r="E257" s="41">
        <f>Additions!J293*$C$5</f>
        <v>0</v>
      </c>
      <c r="F257" s="41">
        <f t="shared" si="27"/>
        <v>39534.101438768383</v>
      </c>
      <c r="G257" s="41">
        <f t="shared" si="31"/>
        <v>1929969.4273153788</v>
      </c>
      <c r="H257" s="65">
        <f t="shared" si="29"/>
        <v>-1890435.3258766104</v>
      </c>
      <c r="I257" s="65"/>
      <c r="J257" s="24">
        <f t="shared" si="32"/>
        <v>396991.41843408818</v>
      </c>
      <c r="K257" s="24"/>
      <c r="L257" s="47">
        <f t="shared" si="30"/>
        <v>4526977.6314562168</v>
      </c>
    </row>
    <row r="258" spans="1:12">
      <c r="A258" s="64">
        <v>287</v>
      </c>
      <c r="B258" s="21">
        <v>51227</v>
      </c>
      <c r="C258" s="47">
        <f t="shared" si="28"/>
        <v>4526977.6314562168</v>
      </c>
      <c r="D258" s="47"/>
      <c r="E258" s="41">
        <f>Additions!J294*$C$5</f>
        <v>0</v>
      </c>
      <c r="F258" s="41">
        <f t="shared" si="27"/>
        <v>29727.153113229153</v>
      </c>
      <c r="G258" s="41">
        <f t="shared" si="31"/>
        <v>1929969.4273153788</v>
      </c>
      <c r="H258" s="65">
        <f t="shared" si="29"/>
        <v>-1900242.2742021496</v>
      </c>
      <c r="I258" s="65"/>
      <c r="J258" s="24">
        <f t="shared" si="32"/>
        <v>399050.87758245139</v>
      </c>
      <c r="K258" s="24"/>
      <c r="L258" s="47">
        <f t="shared" si="30"/>
        <v>3025786.2348365188</v>
      </c>
    </row>
    <row r="259" spans="1:12">
      <c r="A259" s="64">
        <v>288</v>
      </c>
      <c r="B259" s="21">
        <v>51257</v>
      </c>
      <c r="C259" s="47">
        <f t="shared" si="28"/>
        <v>3025786.2348365188</v>
      </c>
      <c r="D259" s="47"/>
      <c r="E259" s="41">
        <f>Additions!J295*$C$5</f>
        <v>0</v>
      </c>
      <c r="F259" s="41">
        <f t="shared" si="27"/>
        <v>19869.329608759803</v>
      </c>
      <c r="G259" s="41">
        <f t="shared" si="31"/>
        <v>1929969.4273153788</v>
      </c>
      <c r="H259" s="65">
        <f t="shared" si="29"/>
        <v>-1910100.097706619</v>
      </c>
      <c r="I259" s="65"/>
      <c r="J259" s="24">
        <f t="shared" si="32"/>
        <v>401121.02051838994</v>
      </c>
      <c r="K259" s="24"/>
      <c r="L259" s="47">
        <f t="shared" si="30"/>
        <v>1516807.1576482898</v>
      </c>
    </row>
    <row r="260" spans="1:12">
      <c r="A260" s="64">
        <v>289</v>
      </c>
      <c r="B260" s="21">
        <v>51288</v>
      </c>
      <c r="C260" s="47">
        <f t="shared" si="28"/>
        <v>1516807.1576482898</v>
      </c>
      <c r="D260" s="47"/>
      <c r="E260" s="41">
        <f>Additions!J296*$C$5</f>
        <v>0</v>
      </c>
      <c r="F260" s="41">
        <f t="shared" si="27"/>
        <v>9960.3670018904359</v>
      </c>
      <c r="G260" s="41">
        <f t="shared" si="31"/>
        <v>1929969.4273153788</v>
      </c>
      <c r="H260" s="65">
        <f t="shared" si="29"/>
        <v>-1920009.0603134884</v>
      </c>
      <c r="I260" s="65"/>
      <c r="J260" s="24">
        <f t="shared" si="32"/>
        <v>403201.90266583255</v>
      </c>
      <c r="K260" s="24"/>
      <c r="L260" s="47">
        <f t="shared" si="30"/>
        <v>6.33997842669487E-7</v>
      </c>
    </row>
    <row r="261" spans="1:12">
      <c r="B261" s="21" t="s">
        <v>62</v>
      </c>
      <c r="C261" s="47"/>
      <c r="D261" s="47"/>
      <c r="E261" s="41">
        <f>SUM(E8:E260)</f>
        <v>0</v>
      </c>
      <c r="F261" s="41">
        <f>SUM(F8:F260)</f>
        <v>200175833.92460746</v>
      </c>
      <c r="G261" s="48">
        <f>SUM(G8:G260)</f>
        <v>486352295.68347323</v>
      </c>
      <c r="H261" s="39">
        <f>SUM(H8:H260)</f>
        <v>-286176461.7588681</v>
      </c>
      <c r="I261" s="39"/>
      <c r="J261" s="23">
        <f>SUM(J8:J260)</f>
        <v>-8.5827196016907692E-7</v>
      </c>
      <c r="K261" s="23">
        <f>SUM(K8:K260)</f>
        <v>-9.540235623717308E-8</v>
      </c>
      <c r="L261" s="64" t="s">
        <v>69</v>
      </c>
    </row>
    <row r="262" spans="1:12">
      <c r="A262" s="64" t="s">
        <v>73</v>
      </c>
    </row>
    <row r="263" spans="1:12">
      <c r="G263" s="48">
        <f>-H261+F261</f>
        <v>486352295.68347555</v>
      </c>
    </row>
  </sheetData>
  <mergeCells count="2">
    <mergeCell ref="E5:H5"/>
    <mergeCell ref="N6:Q6"/>
  </mergeCells>
  <pageMargins left="0.2" right="0.2" top="0.5" bottom="0.5" header="0.3" footer="0.3"/>
  <pageSetup scale="50" firstPageNumber="6" fitToHeight="4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zoomScale="64" zoomScaleNormal="64" workbookViewId="0">
      <selection activeCell="G46" sqref="G46"/>
    </sheetView>
  </sheetViews>
  <sheetFormatPr defaultColWidth="9.140625" defaultRowHeight="15"/>
  <cols>
    <col min="1" max="1" width="9.85546875" style="64" customWidth="1"/>
    <col min="2" max="2" width="35.140625" style="64" bestFit="1" customWidth="1"/>
    <col min="3" max="3" width="28" style="64" bestFit="1" customWidth="1"/>
    <col min="4" max="4" width="2.7109375" style="64" customWidth="1"/>
    <col min="5" max="5" width="26.28515625" style="64" customWidth="1"/>
    <col min="6" max="6" width="19.42578125" style="64" customWidth="1"/>
    <col min="7" max="7" width="23.42578125" style="64" bestFit="1" customWidth="1"/>
    <col min="8" max="9" width="24" style="44" bestFit="1" customWidth="1"/>
    <col min="10" max="10" width="3" style="44" customWidth="1"/>
    <col min="11" max="11" width="24.85546875" style="44" bestFit="1" customWidth="1"/>
    <col min="12" max="12" width="22.5703125" style="44" bestFit="1" customWidth="1"/>
    <col min="13" max="13" width="23.42578125" style="64" bestFit="1" customWidth="1"/>
    <col min="14" max="14" width="20.5703125" style="64" bestFit="1" customWidth="1"/>
    <col min="15" max="16384" width="9.140625" style="64"/>
  </cols>
  <sheetData>
    <row r="1" spans="1:14">
      <c r="B1" s="64" t="s">
        <v>68</v>
      </c>
      <c r="E1" s="64" t="s">
        <v>136</v>
      </c>
      <c r="F1" s="64" t="s">
        <v>137</v>
      </c>
    </row>
    <row r="2" spans="1:14">
      <c r="B2" s="64" t="s">
        <v>58</v>
      </c>
      <c r="C2" s="49">
        <v>0.10128</v>
      </c>
      <c r="D2" s="49"/>
      <c r="E2" s="49">
        <v>7.8799999999999995E-2</v>
      </c>
      <c r="G2" s="50"/>
      <c r="H2" s="51"/>
    </row>
    <row r="3" spans="1:14">
      <c r="B3" s="64" t="s">
        <v>63</v>
      </c>
      <c r="C3" s="49">
        <f>C2/12</f>
        <v>8.4399999999999996E-3</v>
      </c>
      <c r="D3" s="49"/>
      <c r="E3" s="49">
        <f>E2/12</f>
        <v>6.566666666666666E-3</v>
      </c>
    </row>
    <row r="4" spans="1:14">
      <c r="B4" s="64" t="s">
        <v>64</v>
      </c>
      <c r="C4" s="41"/>
      <c r="D4" s="41"/>
      <c r="F4" s="64" t="s">
        <v>138</v>
      </c>
      <c r="K4" s="39"/>
    </row>
    <row r="5" spans="1:14">
      <c r="B5" s="64" t="s">
        <v>80</v>
      </c>
      <c r="C5" s="52">
        <v>0.98599999999999999</v>
      </c>
      <c r="D5" s="53"/>
      <c r="E5" s="52">
        <v>0.98499999999999999</v>
      </c>
      <c r="F5" s="123">
        <v>0.21</v>
      </c>
      <c r="G5" s="52"/>
      <c r="H5" s="52"/>
      <c r="I5" s="52"/>
      <c r="J5" s="109"/>
      <c r="K5" s="54"/>
      <c r="L5" s="54"/>
      <c r="M5" s="40"/>
    </row>
    <row r="6" spans="1:14" ht="105" customHeight="1">
      <c r="A6" s="40" t="s">
        <v>1</v>
      </c>
      <c r="B6" s="40" t="s">
        <v>63</v>
      </c>
      <c r="C6" s="55" t="s">
        <v>72</v>
      </c>
      <c r="D6" s="55"/>
      <c r="E6" s="55" t="s">
        <v>59</v>
      </c>
      <c r="F6" s="55" t="s">
        <v>60</v>
      </c>
      <c r="G6" s="55" t="s">
        <v>83</v>
      </c>
      <c r="H6" s="55" t="s">
        <v>102</v>
      </c>
      <c r="I6" s="55" t="s">
        <v>103</v>
      </c>
      <c r="J6" s="55"/>
      <c r="K6" s="55" t="s">
        <v>84</v>
      </c>
      <c r="L6" s="55" t="s">
        <v>70</v>
      </c>
      <c r="M6" s="55" t="s">
        <v>71</v>
      </c>
      <c r="N6" s="55" t="s">
        <v>79</v>
      </c>
    </row>
    <row r="7" spans="1:14">
      <c r="B7" s="42">
        <v>42185</v>
      </c>
      <c r="C7" s="66"/>
      <c r="D7" s="66"/>
      <c r="I7" s="39">
        <v>193208573.36056</v>
      </c>
      <c r="J7" s="39"/>
      <c r="K7" s="39" t="s">
        <v>2</v>
      </c>
      <c r="L7" s="39">
        <v>-65108222.228076994</v>
      </c>
      <c r="M7" s="47">
        <v>128100351.13248301</v>
      </c>
      <c r="N7" s="47" t="s">
        <v>2</v>
      </c>
    </row>
    <row r="8" spans="1:14">
      <c r="A8" s="64">
        <v>1</v>
      </c>
      <c r="B8" s="18">
        <v>42186</v>
      </c>
      <c r="C8" s="47">
        <v>128100351.13248301</v>
      </c>
      <c r="D8" s="47"/>
      <c r="E8" s="41">
        <f>Additions!J8*$C$5</f>
        <v>2301190.3082599998</v>
      </c>
      <c r="F8" s="41">
        <f>M7*$C$3</f>
        <v>1081166.9635581565</v>
      </c>
      <c r="G8" s="41">
        <v>862519.87</v>
      </c>
      <c r="H8" s="43">
        <f>E8+F8-G8</f>
        <v>2519837.4018181562</v>
      </c>
      <c r="I8" s="65">
        <f>+I7+H8</f>
        <v>195728410.76237816</v>
      </c>
      <c r="J8" s="65"/>
      <c r="K8" s="65">
        <f>-Additions!L8*0.35</f>
        <v>-429968.35</v>
      </c>
      <c r="L8" s="65">
        <f>L7+K8</f>
        <v>-65538190.578076996</v>
      </c>
      <c r="M8" s="47">
        <f t="shared" ref="M8:M13" si="0">C8+E8+F8-G8+K8</f>
        <v>130190220.18430115</v>
      </c>
      <c r="N8" s="48">
        <f>F8-G8</f>
        <v>218647.09355815651</v>
      </c>
    </row>
    <row r="9" spans="1:14">
      <c r="A9" s="64">
        <v>2</v>
      </c>
      <c r="B9" s="18">
        <v>42217</v>
      </c>
      <c r="C9" s="47">
        <f t="shared" ref="C9:C43" si="1">M8</f>
        <v>130190220.18430115</v>
      </c>
      <c r="D9" s="47"/>
      <c r="E9" s="41">
        <f>Additions!J9*$C$5</f>
        <v>816670.2069799999</v>
      </c>
      <c r="F9" s="41">
        <f>M8*$C$3</f>
        <v>1098805.4583555018</v>
      </c>
      <c r="G9" s="41">
        <v>1720480.79</v>
      </c>
      <c r="H9" s="65">
        <f t="shared" ref="H9:H43" si="2">E9+F9-G9</f>
        <v>194994.87533550151</v>
      </c>
      <c r="I9" s="65">
        <f>+I8+H9</f>
        <v>195923405.63771367</v>
      </c>
      <c r="J9" s="65"/>
      <c r="K9" s="65">
        <f>-Additions!L9*0.35</f>
        <v>-292269.25</v>
      </c>
      <c r="L9" s="65">
        <f t="shared" ref="L9:L43" si="3">L8+K9</f>
        <v>-65830459.828076996</v>
      </c>
      <c r="M9" s="47">
        <f t="shared" si="0"/>
        <v>130092945.80963665</v>
      </c>
      <c r="N9" s="48">
        <f t="shared" ref="N9:N38" si="4">F9-G9</f>
        <v>-621675.33164449828</v>
      </c>
    </row>
    <row r="10" spans="1:14">
      <c r="A10" s="64">
        <v>3</v>
      </c>
      <c r="B10" s="18">
        <v>42248</v>
      </c>
      <c r="C10" s="47">
        <f t="shared" si="1"/>
        <v>130092945.80963665</v>
      </c>
      <c r="D10" s="47"/>
      <c r="E10" s="41">
        <f>Additions!J10*$C$5</f>
        <v>988202.21127999993</v>
      </c>
      <c r="F10" s="41">
        <f>M9*$C$3</f>
        <v>1097984.4626333334</v>
      </c>
      <c r="G10" s="41">
        <v>1005141.8</v>
      </c>
      <c r="H10" s="65">
        <f t="shared" si="2"/>
        <v>1081044.8739133333</v>
      </c>
      <c r="I10" s="65">
        <f>+I9+H10</f>
        <v>197004450.51162702</v>
      </c>
      <c r="J10" s="65"/>
      <c r="K10" s="65">
        <f>-Additions!L10*0.35</f>
        <v>-327647.94999999995</v>
      </c>
      <c r="L10" s="65">
        <f t="shared" si="3"/>
        <v>-66158107.778076999</v>
      </c>
      <c r="M10" s="47">
        <f t="shared" si="0"/>
        <v>130846342.73354998</v>
      </c>
      <c r="N10" s="48">
        <f>F10-G10</f>
        <v>92842.662633333355</v>
      </c>
    </row>
    <row r="11" spans="1:14">
      <c r="A11" s="64">
        <v>4</v>
      </c>
      <c r="B11" s="18">
        <v>42278</v>
      </c>
      <c r="C11" s="47">
        <f t="shared" si="1"/>
        <v>130846342.73354998</v>
      </c>
      <c r="D11" s="47"/>
      <c r="E11" s="41">
        <f>Additions!J11*$C$5</f>
        <v>931778.53876000014</v>
      </c>
      <c r="F11" s="41">
        <f>M10*$C$3</f>
        <v>1104343.1326711618</v>
      </c>
      <c r="G11" s="41">
        <v>1310039.17</v>
      </c>
      <c r="H11" s="65">
        <f t="shared" si="2"/>
        <v>726082.501431162</v>
      </c>
      <c r="I11" s="65">
        <f>+I10+H11</f>
        <v>197730533.01305819</v>
      </c>
      <c r="J11" s="65"/>
      <c r="K11" s="65">
        <f>-Additions!L11*0.35</f>
        <v>-337002.75</v>
      </c>
      <c r="L11" s="65">
        <f t="shared" si="3"/>
        <v>-66495110.528076999</v>
      </c>
      <c r="M11" s="47">
        <f t="shared" si="0"/>
        <v>131235422.48498115</v>
      </c>
      <c r="N11" s="48">
        <f t="shared" si="4"/>
        <v>-205696.03732883814</v>
      </c>
    </row>
    <row r="12" spans="1:14">
      <c r="A12" s="64">
        <v>5</v>
      </c>
      <c r="B12" s="18">
        <v>42309</v>
      </c>
      <c r="C12" s="47">
        <f t="shared" si="1"/>
        <v>131235422.48498115</v>
      </c>
      <c r="D12" s="47"/>
      <c r="E12" s="41">
        <f>Additions!J12*$C$5</f>
        <v>1928313.1303799998</v>
      </c>
      <c r="F12" s="41">
        <f>M11*$C$3</f>
        <v>1107626.9657732409</v>
      </c>
      <c r="G12" s="41">
        <v>986500.57</v>
      </c>
      <c r="H12" s="43">
        <f>E12+F12-G12</f>
        <v>2049439.5261532408</v>
      </c>
      <c r="I12" s="65">
        <f>+I11+H12</f>
        <v>199779972.53921142</v>
      </c>
      <c r="J12" s="65"/>
      <c r="K12" s="65">
        <f>-Additions!L12*0.35</f>
        <v>-645895.25</v>
      </c>
      <c r="L12" s="65">
        <f t="shared" si="3"/>
        <v>-67141005.778077006</v>
      </c>
      <c r="M12" s="47">
        <f t="shared" si="0"/>
        <v>132638966.76113442</v>
      </c>
      <c r="N12" s="48">
        <f>F12-G12</f>
        <v>121126.39577324095</v>
      </c>
    </row>
    <row r="13" spans="1:14">
      <c r="A13" s="64">
        <v>6</v>
      </c>
      <c r="B13" s="19" t="s">
        <v>119</v>
      </c>
      <c r="C13" s="47">
        <f t="shared" si="1"/>
        <v>132638966.76113442</v>
      </c>
      <c r="D13" s="47"/>
      <c r="E13" s="41">
        <f>Additions!J13*$C$5</f>
        <v>0</v>
      </c>
      <c r="F13" s="41">
        <v>0</v>
      </c>
      <c r="G13" s="41">
        <v>0</v>
      </c>
      <c r="H13" s="43">
        <f>E13+F13-G13</f>
        <v>0</v>
      </c>
      <c r="I13" s="65">
        <f t="shared" ref="I13:I44" si="5">+I12+H13</f>
        <v>199779972.53921142</v>
      </c>
      <c r="J13" s="65"/>
      <c r="K13" s="65">
        <f>-Additions!L13*0.35</f>
        <v>-1365806.4</v>
      </c>
      <c r="L13" s="65">
        <f t="shared" si="3"/>
        <v>-68506812.178077012</v>
      </c>
      <c r="M13" s="47">
        <f t="shared" si="0"/>
        <v>131273160.36113441</v>
      </c>
      <c r="N13" s="48">
        <f>F13-G13</f>
        <v>0</v>
      </c>
    </row>
    <row r="14" spans="1:14">
      <c r="A14" s="64">
        <v>7</v>
      </c>
      <c r="B14" s="18">
        <v>42339</v>
      </c>
      <c r="C14" s="47">
        <f t="shared" si="1"/>
        <v>131273160.36113441</v>
      </c>
      <c r="D14" s="47"/>
      <c r="E14" s="41">
        <f>Additions!J14*$C$5</f>
        <v>2250117.6774600004</v>
      </c>
      <c r="F14" s="41">
        <f>M13*$C$3</f>
        <v>1107945.4734479743</v>
      </c>
      <c r="G14" s="41">
        <v>1275419.93</v>
      </c>
      <c r="H14" s="65">
        <f t="shared" si="2"/>
        <v>2082643.2209079748</v>
      </c>
      <c r="I14" s="65">
        <f t="shared" si="5"/>
        <v>201862615.76011941</v>
      </c>
      <c r="J14" s="65"/>
      <c r="K14" s="65">
        <f>-Additions!L14*0.35</f>
        <v>-794115</v>
      </c>
      <c r="L14" s="65">
        <f t="shared" si="3"/>
        <v>-69300927.178077012</v>
      </c>
      <c r="M14" s="47">
        <f t="shared" ref="M14:M24" si="6">C14+E14+F14-G14+K14</f>
        <v>132561688.58204237</v>
      </c>
      <c r="N14" s="48">
        <f t="shared" si="4"/>
        <v>-167474.45655202563</v>
      </c>
    </row>
    <row r="15" spans="1:14">
      <c r="A15" s="64">
        <v>8</v>
      </c>
      <c r="B15" s="18">
        <v>42370</v>
      </c>
      <c r="C15" s="47">
        <f t="shared" si="1"/>
        <v>132561688.58204237</v>
      </c>
      <c r="D15" s="47"/>
      <c r="E15" s="41">
        <f>Additions!J15*$C$5</f>
        <v>2011546.0147200001</v>
      </c>
      <c r="F15" s="41">
        <f t="shared" ref="F15:F21" si="7">M14*$C$3</f>
        <v>1118820.6516324375</v>
      </c>
      <c r="G15" s="41">
        <v>1595851.46</v>
      </c>
      <c r="H15" s="65">
        <f t="shared" si="2"/>
        <v>1534515.2063524378</v>
      </c>
      <c r="I15" s="65">
        <f t="shared" si="5"/>
        <v>203397130.96647185</v>
      </c>
      <c r="J15" s="65"/>
      <c r="K15" s="65">
        <f>-Additions!L15*0.35</f>
        <v>-740278.7</v>
      </c>
      <c r="L15" s="65">
        <f t="shared" si="3"/>
        <v>-70041205.878077015</v>
      </c>
      <c r="M15" s="47">
        <f t="shared" si="6"/>
        <v>133355925.08839479</v>
      </c>
      <c r="N15" s="48">
        <f t="shared" si="4"/>
        <v>-477030.80836756248</v>
      </c>
    </row>
    <row r="16" spans="1:14">
      <c r="A16" s="64">
        <v>9</v>
      </c>
      <c r="B16" s="18">
        <v>42401</v>
      </c>
      <c r="C16" s="47">
        <f t="shared" si="1"/>
        <v>133355925.08839479</v>
      </c>
      <c r="D16" s="47"/>
      <c r="E16" s="41">
        <f>Additions!J16*$C$5</f>
        <v>2039467.02042</v>
      </c>
      <c r="F16" s="41">
        <f t="shared" si="7"/>
        <v>1125524.007746052</v>
      </c>
      <c r="G16" s="41">
        <v>1526707.51</v>
      </c>
      <c r="H16" s="65">
        <f t="shared" si="2"/>
        <v>1638283.5181660519</v>
      </c>
      <c r="I16" s="65">
        <f t="shared" si="5"/>
        <v>205035414.48463792</v>
      </c>
      <c r="J16" s="65"/>
      <c r="K16" s="65">
        <f>-Additions!L16*0.35</f>
        <v>-714095.2</v>
      </c>
      <c r="L16" s="65">
        <f t="shared" si="3"/>
        <v>-70755301.078077018</v>
      </c>
      <c r="M16" s="47">
        <f t="shared" si="6"/>
        <v>134280113.40656084</v>
      </c>
      <c r="N16" s="48">
        <f t="shared" si="4"/>
        <v>-401183.50225394801</v>
      </c>
    </row>
    <row r="17" spans="1:14">
      <c r="A17" s="64">
        <v>10</v>
      </c>
      <c r="B17" s="18">
        <v>42430</v>
      </c>
      <c r="C17" s="47">
        <f t="shared" si="1"/>
        <v>134280113.40656084</v>
      </c>
      <c r="D17" s="47"/>
      <c r="E17" s="41">
        <f>Additions!J17*$C$5</f>
        <v>3108192.77538</v>
      </c>
      <c r="F17" s="41">
        <f t="shared" si="7"/>
        <v>1133324.1571513733</v>
      </c>
      <c r="G17" s="41">
        <v>1230134.22</v>
      </c>
      <c r="H17" s="65">
        <f t="shared" si="2"/>
        <v>3011382.7125313738</v>
      </c>
      <c r="I17" s="65">
        <f t="shared" si="5"/>
        <v>208046797.1971693</v>
      </c>
      <c r="J17" s="65"/>
      <c r="K17" s="65">
        <f>-Additions!L17*0.35</f>
        <v>-1100389.5</v>
      </c>
      <c r="L17" s="65">
        <f t="shared" si="3"/>
        <v>-71855690.578077018</v>
      </c>
      <c r="M17" s="47">
        <f t="shared" si="6"/>
        <v>136191106.6190922</v>
      </c>
      <c r="N17" s="48">
        <f t="shared" si="4"/>
        <v>-96810.062848626636</v>
      </c>
    </row>
    <row r="18" spans="1:14">
      <c r="A18" s="64">
        <v>11</v>
      </c>
      <c r="B18" s="18">
        <v>42461</v>
      </c>
      <c r="C18" s="47">
        <f t="shared" si="1"/>
        <v>136191106.6190922</v>
      </c>
      <c r="D18" s="47"/>
      <c r="E18" s="41">
        <f>Additions!J18*$C$5</f>
        <v>2238242.7568799998</v>
      </c>
      <c r="F18" s="41">
        <f t="shared" si="7"/>
        <v>1149452.9398651381</v>
      </c>
      <c r="G18" s="41">
        <v>1448879.16</v>
      </c>
      <c r="H18" s="65">
        <f t="shared" si="2"/>
        <v>1938816.5367451378</v>
      </c>
      <c r="I18" s="65">
        <f t="shared" si="5"/>
        <v>209985613.73391443</v>
      </c>
      <c r="J18" s="65"/>
      <c r="K18" s="65">
        <f>-Additions!L18*0.35</f>
        <v>-826144.2</v>
      </c>
      <c r="L18" s="65">
        <f t="shared" si="3"/>
        <v>-72681834.778077021</v>
      </c>
      <c r="M18" s="47">
        <f t="shared" si="6"/>
        <v>137303778.95583734</v>
      </c>
      <c r="N18" s="48">
        <f>F18-G18</f>
        <v>-299426.22013486177</v>
      </c>
    </row>
    <row r="19" spans="1:14">
      <c r="A19" s="64">
        <v>12</v>
      </c>
      <c r="B19" s="18">
        <v>42491</v>
      </c>
      <c r="C19" s="47">
        <f t="shared" si="1"/>
        <v>137303778.95583734</v>
      </c>
      <c r="D19" s="47"/>
      <c r="E19" s="41">
        <f>Additions!J19*$C$5</f>
        <v>2351170.8060200005</v>
      </c>
      <c r="F19" s="41">
        <f t="shared" si="7"/>
        <v>1158843.8943872671</v>
      </c>
      <c r="G19" s="41">
        <v>1111171.07</v>
      </c>
      <c r="H19" s="65">
        <f t="shared" si="2"/>
        <v>2398843.6304072673</v>
      </c>
      <c r="I19" s="65">
        <f t="shared" si="5"/>
        <v>212384457.36432171</v>
      </c>
      <c r="J19" s="65"/>
      <c r="K19" s="65">
        <f>-Additions!L19*0.35</f>
        <v>-842178.75</v>
      </c>
      <c r="L19" s="65">
        <f t="shared" si="3"/>
        <v>-73524013.528077021</v>
      </c>
      <c r="M19" s="47">
        <f t="shared" si="6"/>
        <v>138860443.83624461</v>
      </c>
      <c r="N19" s="48">
        <f>F19-G19</f>
        <v>47672.824387266999</v>
      </c>
    </row>
    <row r="20" spans="1:14">
      <c r="A20" s="64">
        <v>13</v>
      </c>
      <c r="B20" s="18">
        <v>42522</v>
      </c>
      <c r="C20" s="47">
        <f t="shared" si="1"/>
        <v>138860443.83624461</v>
      </c>
      <c r="D20" s="47"/>
      <c r="E20" s="41">
        <f>Additions!J20*$C$5</f>
        <v>921065.09659999993</v>
      </c>
      <c r="F20" s="41">
        <f t="shared" si="7"/>
        <v>1171982.1459779046</v>
      </c>
      <c r="G20" s="41">
        <v>1172648.4099999999</v>
      </c>
      <c r="H20" s="65">
        <f t="shared" si="2"/>
        <v>920398.83257790445</v>
      </c>
      <c r="I20" s="65">
        <f t="shared" si="5"/>
        <v>213304856.19689962</v>
      </c>
      <c r="J20" s="65"/>
      <c r="K20" s="65">
        <f>-Additions!L20*0.35</f>
        <v>-349029.1</v>
      </c>
      <c r="L20" s="65">
        <f t="shared" si="3"/>
        <v>-73873042.628077015</v>
      </c>
      <c r="M20" s="47">
        <f t="shared" si="6"/>
        <v>139431813.56882253</v>
      </c>
      <c r="N20" s="48">
        <f t="shared" si="4"/>
        <v>-666.26402209536172</v>
      </c>
    </row>
    <row r="21" spans="1:14">
      <c r="A21" s="64">
        <v>14</v>
      </c>
      <c r="B21" s="18">
        <v>42552</v>
      </c>
      <c r="C21" s="47">
        <f t="shared" si="1"/>
        <v>139431813.56882253</v>
      </c>
      <c r="D21" s="47"/>
      <c r="E21" s="41">
        <f>Additions!J21*$C$5</f>
        <v>1481327.7487999997</v>
      </c>
      <c r="F21" s="41">
        <f t="shared" si="7"/>
        <v>1176804.5065208622</v>
      </c>
      <c r="G21" s="41">
        <v>1376084.67</v>
      </c>
      <c r="H21" s="65">
        <f t="shared" si="2"/>
        <v>1282047.585320862</v>
      </c>
      <c r="I21" s="65">
        <f t="shared" si="5"/>
        <v>214586903.78222048</v>
      </c>
      <c r="J21" s="65"/>
      <c r="K21" s="65">
        <f>-Additions!L21*0.35</f>
        <v>-533927.79999999993</v>
      </c>
      <c r="L21" s="65">
        <f t="shared" si="3"/>
        <v>-74406970.428077012</v>
      </c>
      <c r="M21" s="47">
        <f t="shared" si="6"/>
        <v>140179933.35414341</v>
      </c>
      <c r="N21" s="48">
        <f t="shared" si="4"/>
        <v>-199280.1634791377</v>
      </c>
    </row>
    <row r="22" spans="1:14">
      <c r="A22" s="64">
        <v>15</v>
      </c>
      <c r="B22" s="18">
        <v>42583</v>
      </c>
      <c r="C22" s="47">
        <f t="shared" si="1"/>
        <v>140179933.35414341</v>
      </c>
      <c r="D22" s="47"/>
      <c r="E22" s="41">
        <f>Additions!J22*$C$5</f>
        <v>4493640.8883199999</v>
      </c>
      <c r="F22" s="41">
        <f t="shared" ref="F22:F37" si="8">M21*$C$3</f>
        <v>1183118.6375089702</v>
      </c>
      <c r="G22" s="41">
        <v>1269969.8899999999</v>
      </c>
      <c r="H22" s="65">
        <f t="shared" si="2"/>
        <v>4406789.6358289709</v>
      </c>
      <c r="I22" s="65">
        <f>+I21+H22</f>
        <v>218993693.41804945</v>
      </c>
      <c r="J22" s="65"/>
      <c r="K22" s="65">
        <f>-Additions!L22*0.35</f>
        <v>-1585094.3499999999</v>
      </c>
      <c r="L22" s="65">
        <f t="shared" si="3"/>
        <v>-75992064.778077006</v>
      </c>
      <c r="M22" s="47">
        <f t="shared" si="6"/>
        <v>143001628.63997239</v>
      </c>
      <c r="N22" s="48">
        <f t="shared" si="4"/>
        <v>-86851.252491029678</v>
      </c>
    </row>
    <row r="23" spans="1:14">
      <c r="A23" s="64">
        <v>16</v>
      </c>
      <c r="B23" s="18">
        <v>42614</v>
      </c>
      <c r="C23" s="47">
        <f t="shared" si="1"/>
        <v>143001628.63997239</v>
      </c>
      <c r="D23" s="47"/>
      <c r="E23" s="41">
        <f>Additions!J23*$C$5</f>
        <v>3388529.81066</v>
      </c>
      <c r="F23" s="41">
        <f t="shared" si="8"/>
        <v>1206933.745721367</v>
      </c>
      <c r="G23" s="41">
        <v>1214458.07</v>
      </c>
      <c r="H23" s="43">
        <f>E23+F23-G23</f>
        <v>3381005.4863813668</v>
      </c>
      <c r="I23" s="65">
        <f>+I22+H23</f>
        <v>222374698.90443081</v>
      </c>
      <c r="J23" s="65"/>
      <c r="K23" s="65">
        <f>-Additions!L23*0.35</f>
        <v>-1188974.8499999999</v>
      </c>
      <c r="L23" s="65">
        <f t="shared" si="3"/>
        <v>-77181039.628077</v>
      </c>
      <c r="M23" s="47">
        <f>C23+E23+F23-G23+K23</f>
        <v>145193659.27635378</v>
      </c>
      <c r="N23" s="48">
        <f t="shared" si="4"/>
        <v>-7524.3242786331102</v>
      </c>
    </row>
    <row r="24" spans="1:14">
      <c r="A24" s="64">
        <v>17</v>
      </c>
      <c r="B24" s="18">
        <v>42644</v>
      </c>
      <c r="C24" s="47">
        <f t="shared" si="1"/>
        <v>145193659.27635378</v>
      </c>
      <c r="D24" s="47"/>
      <c r="E24" s="41">
        <f>Additions!J24*$C$5</f>
        <v>6751667.7253400004</v>
      </c>
      <c r="F24" s="41">
        <f t="shared" si="8"/>
        <v>1225434.4842924259</v>
      </c>
      <c r="G24" s="41">
        <v>1292256.2666471081</v>
      </c>
      <c r="H24" s="65">
        <f t="shared" si="2"/>
        <v>6684845.9429853186</v>
      </c>
      <c r="I24" s="65">
        <f t="shared" si="5"/>
        <v>229059544.84741613</v>
      </c>
      <c r="J24" s="65"/>
      <c r="K24" s="65">
        <f>-Additions!L24*0.35</f>
        <v>-2382525.5999999996</v>
      </c>
      <c r="L24" s="65">
        <f t="shared" si="3"/>
        <v>-79563565.228076994</v>
      </c>
      <c r="M24" s="47">
        <f t="shared" si="6"/>
        <v>149495979.61933911</v>
      </c>
      <c r="N24" s="48">
        <f t="shared" si="4"/>
        <v>-66821.782354682218</v>
      </c>
    </row>
    <row r="25" spans="1:14">
      <c r="A25" s="64">
        <v>18</v>
      </c>
      <c r="B25" s="18">
        <v>42675</v>
      </c>
      <c r="C25" s="47">
        <f t="shared" si="1"/>
        <v>149495979.61933911</v>
      </c>
      <c r="D25" s="47"/>
      <c r="E25" s="41">
        <f>Additions!J25*$C$5</f>
        <v>1883279.6805600002</v>
      </c>
      <c r="F25" s="41">
        <f t="shared" si="8"/>
        <v>1261746.067987222</v>
      </c>
      <c r="G25" s="41">
        <v>1504933.45</v>
      </c>
      <c r="H25" s="65">
        <f t="shared" si="2"/>
        <v>1640092.2985472225</v>
      </c>
      <c r="I25" s="65">
        <f t="shared" si="5"/>
        <v>230699637.14596334</v>
      </c>
      <c r="J25" s="65"/>
      <c r="K25" s="65">
        <f>-Additions!L25*0.35</f>
        <v>-667702.69999999995</v>
      </c>
      <c r="L25" s="65">
        <f t="shared" si="3"/>
        <v>-80231267.928076997</v>
      </c>
      <c r="M25" s="47">
        <f t="shared" ref="M25:M38" si="9">C25+E25+F25-G25+K25</f>
        <v>150468369.21788636</v>
      </c>
      <c r="N25" s="48">
        <f t="shared" si="4"/>
        <v>-243187.38201277796</v>
      </c>
    </row>
    <row r="26" spans="1:14">
      <c r="A26" s="64">
        <v>19</v>
      </c>
      <c r="B26" s="18">
        <v>42705</v>
      </c>
      <c r="C26" s="47">
        <f t="shared" si="1"/>
        <v>150468369.21788636</v>
      </c>
      <c r="D26" s="47"/>
      <c r="E26" s="41">
        <f>Additions!J26*$C$5</f>
        <v>2119436.9349599998</v>
      </c>
      <c r="F26" s="41">
        <f t="shared" si="8"/>
        <v>1269953.0361989609</v>
      </c>
      <c r="G26" s="41">
        <v>1781691.88</v>
      </c>
      <c r="H26" s="65">
        <f t="shared" si="2"/>
        <v>1607698.0911589609</v>
      </c>
      <c r="I26" s="65">
        <f t="shared" si="5"/>
        <v>232307335.2371223</v>
      </c>
      <c r="J26" s="65"/>
      <c r="K26" s="65">
        <f>-Additions!L26*0.35</f>
        <v>-746049.85</v>
      </c>
      <c r="L26" s="65">
        <f t="shared" si="3"/>
        <v>-80977317.778076991</v>
      </c>
      <c r="M26" s="47">
        <f t="shared" si="9"/>
        <v>151330017.45904535</v>
      </c>
      <c r="N26" s="48">
        <f t="shared" si="4"/>
        <v>-511738.84380103904</v>
      </c>
    </row>
    <row r="27" spans="1:14">
      <c r="A27" s="64">
        <v>20</v>
      </c>
      <c r="B27" s="18">
        <v>42736</v>
      </c>
      <c r="C27" s="47">
        <f t="shared" si="1"/>
        <v>151330017.45904535</v>
      </c>
      <c r="D27" s="47"/>
      <c r="E27" s="41">
        <f>Additions!J27*$C$5</f>
        <v>683847.26115999988</v>
      </c>
      <c r="F27" s="41">
        <f t="shared" si="8"/>
        <v>1277225.3473543427</v>
      </c>
      <c r="G27" s="41">
        <v>1685014.4</v>
      </c>
      <c r="H27" s="65">
        <f t="shared" si="2"/>
        <v>276058.20851434255</v>
      </c>
      <c r="I27" s="65">
        <f t="shared" si="5"/>
        <v>232583393.44563663</v>
      </c>
      <c r="J27" s="65"/>
      <c r="K27" s="65">
        <f>-Additions!L27*0.35</f>
        <v>-287343.69999999995</v>
      </c>
      <c r="L27" s="65">
        <f t="shared" si="3"/>
        <v>-81264661.478076994</v>
      </c>
      <c r="M27" s="47">
        <f t="shared" si="9"/>
        <v>151318731.9675597</v>
      </c>
      <c r="N27" s="48">
        <f t="shared" si="4"/>
        <v>-407789.05264565721</v>
      </c>
    </row>
    <row r="28" spans="1:14">
      <c r="A28" s="64">
        <v>21</v>
      </c>
      <c r="B28" s="18">
        <v>42767</v>
      </c>
      <c r="C28" s="47">
        <f t="shared" si="1"/>
        <v>151318731.9675597</v>
      </c>
      <c r="D28" s="47"/>
      <c r="E28" s="41">
        <f>Additions!J28*$C$5</f>
        <v>731186.53113999998</v>
      </c>
      <c r="F28" s="41">
        <f t="shared" si="8"/>
        <v>1277130.0978062039</v>
      </c>
      <c r="G28" s="41">
        <v>1437691.49</v>
      </c>
      <c r="H28" s="65">
        <f t="shared" si="2"/>
        <v>570625.13894620375</v>
      </c>
      <c r="I28" s="65">
        <f t="shared" si="5"/>
        <v>233154018.58458284</v>
      </c>
      <c r="J28" s="65"/>
      <c r="K28" s="65">
        <f>-Additions!L28*0.35</f>
        <v>-259010.84999999998</v>
      </c>
      <c r="L28" s="65">
        <f t="shared" si="3"/>
        <v>-81523672.328076988</v>
      </c>
      <c r="M28" s="47">
        <f t="shared" si="9"/>
        <v>151630346.25650591</v>
      </c>
      <c r="N28" s="48">
        <f t="shared" si="4"/>
        <v>-160561.39219379611</v>
      </c>
    </row>
    <row r="29" spans="1:14">
      <c r="A29" s="64">
        <v>22</v>
      </c>
      <c r="B29" s="18">
        <v>42795</v>
      </c>
      <c r="C29" s="47">
        <f t="shared" si="1"/>
        <v>151630346.25650591</v>
      </c>
      <c r="D29" s="47"/>
      <c r="E29" s="41">
        <f>Additions!J29*$C$5</f>
        <v>1256185.3173200001</v>
      </c>
      <c r="F29" s="41">
        <f t="shared" si="8"/>
        <v>1279760.1224049097</v>
      </c>
      <c r="G29" s="41">
        <v>1758176.78</v>
      </c>
      <c r="H29" s="65">
        <f t="shared" si="2"/>
        <v>777768.65972491005</v>
      </c>
      <c r="I29" s="65">
        <f t="shared" si="5"/>
        <v>233931787.24430776</v>
      </c>
      <c r="J29" s="65"/>
      <c r="K29" s="65">
        <f>-Additions!L29*0.35</f>
        <v>-440934.89999999997</v>
      </c>
      <c r="L29" s="65">
        <f t="shared" si="3"/>
        <v>-81964607.228076994</v>
      </c>
      <c r="M29" s="47">
        <f t="shared" si="9"/>
        <v>151967180.01623079</v>
      </c>
      <c r="N29" s="48">
        <f t="shared" si="4"/>
        <v>-478416.65759509034</v>
      </c>
    </row>
    <row r="30" spans="1:14">
      <c r="A30" s="64">
        <v>23</v>
      </c>
      <c r="B30" s="18">
        <v>42826</v>
      </c>
      <c r="C30" s="47">
        <f t="shared" si="1"/>
        <v>151967180.01623079</v>
      </c>
      <c r="D30" s="47"/>
      <c r="E30" s="41">
        <f>Additions!J30*$C$5</f>
        <v>1197228.9164599997</v>
      </c>
      <c r="F30" s="41">
        <f t="shared" si="8"/>
        <v>1282602.9993369877</v>
      </c>
      <c r="G30" s="41">
        <v>1283647.93</v>
      </c>
      <c r="H30" s="65">
        <f t="shared" si="2"/>
        <v>1196183.9857969878</v>
      </c>
      <c r="I30" s="65">
        <f t="shared" si="5"/>
        <v>235127971.23010474</v>
      </c>
      <c r="J30" s="65"/>
      <c r="K30" s="65">
        <f>-Additions!L30*0.35</f>
        <v>-420022.05</v>
      </c>
      <c r="L30" s="65">
        <f t="shared" si="3"/>
        <v>-82384629.278076991</v>
      </c>
      <c r="M30" s="47">
        <f t="shared" si="9"/>
        <v>152743341.95202777</v>
      </c>
      <c r="N30" s="48">
        <f t="shared" si="4"/>
        <v>-1044.930663012201</v>
      </c>
    </row>
    <row r="31" spans="1:14">
      <c r="A31" s="64">
        <v>24</v>
      </c>
      <c r="B31" s="18">
        <v>42856</v>
      </c>
      <c r="C31" s="47">
        <f t="shared" si="1"/>
        <v>152743341.95202777</v>
      </c>
      <c r="D31" s="47"/>
      <c r="E31" s="41">
        <f>Additions!J31*$C$5</f>
        <v>1908546.05874</v>
      </c>
      <c r="F31" s="41">
        <f t="shared" si="8"/>
        <v>1289153.8060751143</v>
      </c>
      <c r="G31" s="41">
        <v>1711105.88</v>
      </c>
      <c r="H31" s="65">
        <f t="shared" si="2"/>
        <v>1486593.9848151142</v>
      </c>
      <c r="I31" s="65">
        <f t="shared" si="5"/>
        <v>236614565.21491987</v>
      </c>
      <c r="J31" s="65"/>
      <c r="K31" s="65">
        <f>-Additions!L31*0.35</f>
        <v>-670546.44999999995</v>
      </c>
      <c r="L31" s="65">
        <f t="shared" si="3"/>
        <v>-83055175.728076994</v>
      </c>
      <c r="M31" s="47">
        <f t="shared" si="9"/>
        <v>153559389.4868429</v>
      </c>
      <c r="N31" s="48">
        <f t="shared" si="4"/>
        <v>-421952.0739248856</v>
      </c>
    </row>
    <row r="32" spans="1:14">
      <c r="A32" s="64">
        <v>25</v>
      </c>
      <c r="B32" s="58">
        <v>42887</v>
      </c>
      <c r="C32" s="59">
        <f t="shared" si="1"/>
        <v>153559389.4868429</v>
      </c>
      <c r="D32" s="59"/>
      <c r="E32" s="60">
        <f>Additions!J32*$C$5</f>
        <v>1745957.4984199998</v>
      </c>
      <c r="F32" s="60">
        <f t="shared" si="8"/>
        <v>1296041.2472689541</v>
      </c>
      <c r="G32" s="60">
        <v>1076349.01</v>
      </c>
      <c r="H32" s="61">
        <f t="shared" si="2"/>
        <v>1965649.7356889539</v>
      </c>
      <c r="I32" s="61">
        <f t="shared" si="5"/>
        <v>238580214.95060882</v>
      </c>
      <c r="J32" s="61"/>
      <c r="K32" s="61">
        <f>-Additions!L32*0.35</f>
        <v>-615784.75</v>
      </c>
      <c r="L32" s="65">
        <f t="shared" si="3"/>
        <v>-83670960.478076994</v>
      </c>
      <c r="M32" s="59">
        <f t="shared" si="9"/>
        <v>154909254.47253186</v>
      </c>
      <c r="N32" s="62">
        <f t="shared" si="4"/>
        <v>219692.23726895405</v>
      </c>
    </row>
    <row r="33" spans="1:14">
      <c r="A33" s="64">
        <v>26</v>
      </c>
      <c r="B33" s="18">
        <v>42917</v>
      </c>
      <c r="C33" s="59">
        <f t="shared" si="1"/>
        <v>154909254.47253186</v>
      </c>
      <c r="D33" s="59"/>
      <c r="E33" s="60">
        <f>Additions!J33*$C$5</f>
        <v>1429844.8828399999</v>
      </c>
      <c r="F33" s="60">
        <f t="shared" si="8"/>
        <v>1307434.1077481688</v>
      </c>
      <c r="G33" s="60">
        <v>1631830.28</v>
      </c>
      <c r="H33" s="61">
        <f t="shared" si="2"/>
        <v>1105448.7105881686</v>
      </c>
      <c r="I33" s="61">
        <f t="shared" si="5"/>
        <v>239685663.66119698</v>
      </c>
      <c r="J33" s="61"/>
      <c r="K33" s="61">
        <f>-Additions!L33*0.35</f>
        <v>-505377.94999999995</v>
      </c>
      <c r="L33" s="65">
        <f t="shared" si="3"/>
        <v>-84176338.428076997</v>
      </c>
      <c r="M33" s="59">
        <f t="shared" si="9"/>
        <v>155509325.23312005</v>
      </c>
      <c r="N33" s="62">
        <f>F33-G33</f>
        <v>-324396.17225183127</v>
      </c>
    </row>
    <row r="34" spans="1:14">
      <c r="A34" s="64">
        <v>27</v>
      </c>
      <c r="B34" s="58">
        <v>42948</v>
      </c>
      <c r="C34" s="59">
        <f t="shared" si="1"/>
        <v>155509325.23312005</v>
      </c>
      <c r="D34" s="59"/>
      <c r="E34" s="60">
        <f>Additions!J34*$C$5</f>
        <v>2147231.54532</v>
      </c>
      <c r="F34" s="60">
        <f>M33*$C$3</f>
        <v>1312498.7049675332</v>
      </c>
      <c r="G34" s="60">
        <v>1488723.6769534172</v>
      </c>
      <c r="H34" s="61">
        <f t="shared" si="2"/>
        <v>1971006.573334116</v>
      </c>
      <c r="I34" s="61">
        <f>+I33+H34</f>
        <v>241656670.2345311</v>
      </c>
      <c r="J34" s="61"/>
      <c r="K34" s="61">
        <f>-Additions!L34*0.35</f>
        <v>-755804</v>
      </c>
      <c r="L34" s="65">
        <f t="shared" si="3"/>
        <v>-84932142.428076997</v>
      </c>
      <c r="M34" s="59">
        <f t="shared" si="9"/>
        <v>156724527.80645418</v>
      </c>
      <c r="N34" s="62">
        <f t="shared" si="4"/>
        <v>-176224.97198588401</v>
      </c>
    </row>
    <row r="35" spans="1:14">
      <c r="A35" s="64">
        <v>28</v>
      </c>
      <c r="B35" s="18">
        <v>42979</v>
      </c>
      <c r="C35" s="59">
        <f t="shared" si="1"/>
        <v>156724527.80645418</v>
      </c>
      <c r="D35" s="59"/>
      <c r="E35" s="60">
        <f>Additions!J35*$C$5</f>
        <v>1169364.9114199998</v>
      </c>
      <c r="F35" s="60">
        <f t="shared" si="8"/>
        <v>1322755.0146864732</v>
      </c>
      <c r="G35" s="60">
        <v>1278134.6808197035</v>
      </c>
      <c r="H35" s="61">
        <f t="shared" si="2"/>
        <v>1213985.2452867695</v>
      </c>
      <c r="I35" s="61">
        <f t="shared" ref="I35:I40" si="10">+I34+H35</f>
        <v>242870655.47981787</v>
      </c>
      <c r="J35" s="61"/>
      <c r="K35" s="61">
        <f>-Additions!L35*0.35</f>
        <v>-409832.14999999997</v>
      </c>
      <c r="L35" s="65">
        <f t="shared" si="3"/>
        <v>-85341974.578077003</v>
      </c>
      <c r="M35" s="59">
        <f t="shared" si="9"/>
        <v>157528680.90174094</v>
      </c>
      <c r="N35" s="62">
        <f t="shared" si="4"/>
        <v>44620.333866769681</v>
      </c>
    </row>
    <row r="36" spans="1:14">
      <c r="A36" s="64">
        <v>29</v>
      </c>
      <c r="B36" s="58">
        <v>43009</v>
      </c>
      <c r="C36" s="59">
        <f t="shared" si="1"/>
        <v>157528680.90174094</v>
      </c>
      <c r="D36" s="59"/>
      <c r="E36" s="60">
        <f>Additions!J36*$C$5</f>
        <v>2034782.6231599997</v>
      </c>
      <c r="F36" s="60">
        <f t="shared" si="8"/>
        <v>1329542.0668106934</v>
      </c>
      <c r="G36" s="60">
        <v>1394549</v>
      </c>
      <c r="H36" s="61">
        <f t="shared" si="2"/>
        <v>1969775.6899706931</v>
      </c>
      <c r="I36" s="61">
        <f t="shared" si="10"/>
        <v>244840431.16978857</v>
      </c>
      <c r="J36" s="61"/>
      <c r="K36" s="61">
        <f>-Additions!L36*0.35</f>
        <v>-715327.54999999993</v>
      </c>
      <c r="L36" s="65">
        <f t="shared" si="3"/>
        <v>-86057302.128077</v>
      </c>
      <c r="M36" s="59">
        <f t="shared" si="9"/>
        <v>158783129.04171163</v>
      </c>
      <c r="N36" s="62">
        <f t="shared" si="4"/>
        <v>-65006.933189306641</v>
      </c>
    </row>
    <row r="37" spans="1:14">
      <c r="A37" s="64">
        <v>30</v>
      </c>
      <c r="B37" s="18">
        <v>43040</v>
      </c>
      <c r="C37" s="59">
        <f t="shared" si="1"/>
        <v>158783129.04171163</v>
      </c>
      <c r="D37" s="59"/>
      <c r="E37" s="60">
        <f>Additions!J37*$C$5</f>
        <v>2379961.2665200001</v>
      </c>
      <c r="F37" s="60">
        <f t="shared" si="8"/>
        <v>1340129.6091120462</v>
      </c>
      <c r="G37" s="60">
        <v>1715897.25</v>
      </c>
      <c r="H37" s="61">
        <f t="shared" si="2"/>
        <v>2004193.6256320463</v>
      </c>
      <c r="I37" s="61">
        <f t="shared" si="10"/>
        <v>246844624.79542062</v>
      </c>
      <c r="J37" s="61"/>
      <c r="K37" s="61">
        <f>-Additions!L37*0.35</f>
        <v>-843132.14999999991</v>
      </c>
      <c r="L37" s="65">
        <f t="shared" si="3"/>
        <v>-86900434.278077006</v>
      </c>
      <c r="M37" s="59">
        <f t="shared" si="9"/>
        <v>159944190.51734367</v>
      </c>
      <c r="N37" s="62">
        <f t="shared" si="4"/>
        <v>-375767.64088795381</v>
      </c>
    </row>
    <row r="38" spans="1:14">
      <c r="A38" s="64">
        <v>31</v>
      </c>
      <c r="B38" s="58">
        <v>43070</v>
      </c>
      <c r="C38" s="59">
        <f t="shared" si="1"/>
        <v>159944190.51734367</v>
      </c>
      <c r="D38" s="59"/>
      <c r="E38" s="60">
        <f>Additions!J38*$C$5</f>
        <v>1632642.3752599999</v>
      </c>
      <c r="F38" s="60">
        <f>M37*$C$3</f>
        <v>1349928.9679663805</v>
      </c>
      <c r="G38" s="60">
        <v>1901394.07</v>
      </c>
      <c r="H38" s="63">
        <f>E38+F38-G38</f>
        <v>1081177.2732263806</v>
      </c>
      <c r="I38" s="61">
        <f>+I37+H38</f>
        <v>247925802.068647</v>
      </c>
      <c r="J38" s="61"/>
      <c r="K38" s="61">
        <f>-Additions!L38*0.35</f>
        <v>-608088.6</v>
      </c>
      <c r="L38" s="65">
        <f t="shared" si="3"/>
        <v>-87508522.878077</v>
      </c>
      <c r="M38" s="59">
        <f t="shared" si="9"/>
        <v>160417279.19057006</v>
      </c>
      <c r="N38" s="62">
        <f t="shared" si="4"/>
        <v>-551465.10203361954</v>
      </c>
    </row>
    <row r="39" spans="1:14">
      <c r="A39" s="64">
        <v>32</v>
      </c>
      <c r="B39" s="58">
        <v>43101</v>
      </c>
      <c r="C39" s="59">
        <f>M38</f>
        <v>160417279.19057006</v>
      </c>
      <c r="D39" s="59"/>
      <c r="E39" s="60">
        <v>5456358</v>
      </c>
      <c r="F39" s="60">
        <v>1131307.5</v>
      </c>
      <c r="G39" s="60">
        <v>2067567.62</v>
      </c>
      <c r="H39" s="63">
        <f>E39+F39-G39</f>
        <v>4520097.88</v>
      </c>
      <c r="I39" s="61">
        <f>+I38+H39</f>
        <v>252445899.94864699</v>
      </c>
      <c r="J39" s="61"/>
      <c r="K39" s="61">
        <f>-Additions!L39*0.21</f>
        <v>-1196750.6002972256</v>
      </c>
      <c r="L39" s="61">
        <f>L38+K39</f>
        <v>-88705273.478374228</v>
      </c>
      <c r="M39" s="59">
        <f>C39+E39+F39-G39+K39</f>
        <v>163740626.47027284</v>
      </c>
      <c r="N39" s="62">
        <f>F39-G39</f>
        <v>-936260.12000000011</v>
      </c>
    </row>
    <row r="40" spans="1:14">
      <c r="A40" s="64">
        <v>34</v>
      </c>
      <c r="B40" s="58">
        <v>43132</v>
      </c>
      <c r="C40" s="59">
        <f>M39</f>
        <v>163740626.47027284</v>
      </c>
      <c r="D40" s="59"/>
      <c r="E40" s="60">
        <f>Additions!J40*$E$5</f>
        <v>2080173.4615499999</v>
      </c>
      <c r="F40" s="60">
        <f t="shared" ref="F40:F56" si="11">M39*$E$3</f>
        <v>1075230.1138214583</v>
      </c>
      <c r="G40" s="60">
        <v>2036860.09</v>
      </c>
      <c r="H40" s="63">
        <f>E40+F40-G40</f>
        <v>1118543.4853714581</v>
      </c>
      <c r="I40" s="61">
        <f t="shared" si="10"/>
        <v>253564443.43401846</v>
      </c>
      <c r="J40" s="61"/>
      <c r="K40" s="61">
        <f>-Additions!L40*0.21</f>
        <v>-436836.32999999996</v>
      </c>
      <c r="L40" s="65">
        <f t="shared" si="3"/>
        <v>-89142109.808374226</v>
      </c>
      <c r="M40" s="59">
        <f t="shared" ref="M40:M50" si="12">C40+E40+F40-G40+K40</f>
        <v>164422333.62564427</v>
      </c>
      <c r="N40" s="62">
        <f t="shared" ref="N40:N44" si="13">F40-G40</f>
        <v>-961629.97617854178</v>
      </c>
    </row>
    <row r="41" spans="1:14">
      <c r="A41" s="64">
        <v>35</v>
      </c>
      <c r="B41" s="18">
        <v>43160</v>
      </c>
      <c r="C41" s="59">
        <f t="shared" si="1"/>
        <v>164422333.62564427</v>
      </c>
      <c r="D41" s="59"/>
      <c r="E41" s="60">
        <f>Additions!J41*$E$5</f>
        <v>2141640.4461000003</v>
      </c>
      <c r="F41" s="60">
        <f t="shared" si="11"/>
        <v>1079706.6574750638</v>
      </c>
      <c r="G41" s="60">
        <v>1967174.48</v>
      </c>
      <c r="H41" s="61">
        <f t="shared" si="2"/>
        <v>1254172.6235750639</v>
      </c>
      <c r="I41" s="61">
        <f t="shared" si="5"/>
        <v>254818616.05759352</v>
      </c>
      <c r="J41" s="61"/>
      <c r="K41" s="61">
        <f>-Additions!L41*0.21</f>
        <v>-453002.76</v>
      </c>
      <c r="L41" s="65">
        <f>L40+K41</f>
        <v>-89595112.568374231</v>
      </c>
      <c r="M41" s="59">
        <f>C41+E41+F41-G41+K41</f>
        <v>165223503.48921934</v>
      </c>
      <c r="N41" s="62">
        <f t="shared" si="13"/>
        <v>-887467.82252493617</v>
      </c>
    </row>
    <row r="42" spans="1:14">
      <c r="A42" s="64">
        <v>36</v>
      </c>
      <c r="B42" s="58">
        <v>43191</v>
      </c>
      <c r="C42" s="59">
        <f t="shared" si="1"/>
        <v>165223503.48921934</v>
      </c>
      <c r="D42" s="59"/>
      <c r="E42" s="60">
        <f>Additions!J42*$E$5</f>
        <v>1623467.7114500001</v>
      </c>
      <c r="F42" s="60">
        <f t="shared" si="11"/>
        <v>1084967.6729125401</v>
      </c>
      <c r="G42" s="60">
        <v>1630335.143378776</v>
      </c>
      <c r="H42" s="61">
        <f t="shared" si="2"/>
        <v>1078100.2409837642</v>
      </c>
      <c r="I42" s="61">
        <f t="shared" si="5"/>
        <v>255896716.29857728</v>
      </c>
      <c r="J42" s="61"/>
      <c r="K42" s="61">
        <f>-Additions!L42*0.21</f>
        <v>-341820.99</v>
      </c>
      <c r="L42" s="65">
        <f t="shared" si="3"/>
        <v>-89936933.558374226</v>
      </c>
      <c r="M42" s="59">
        <f t="shared" si="12"/>
        <v>165959782.74020311</v>
      </c>
      <c r="N42" s="62">
        <f>F42-G42</f>
        <v>-545367.47046623589</v>
      </c>
    </row>
    <row r="43" spans="1:14">
      <c r="A43" s="64">
        <v>37</v>
      </c>
      <c r="B43" s="18">
        <v>43221</v>
      </c>
      <c r="C43" s="59">
        <f t="shared" si="1"/>
        <v>165959782.74020311</v>
      </c>
      <c r="D43" s="59"/>
      <c r="E43" s="60">
        <f>Additions!J43*$E$5</f>
        <v>3059774.0461499998</v>
      </c>
      <c r="F43" s="60">
        <f t="shared" si="11"/>
        <v>1089802.5733273337</v>
      </c>
      <c r="G43" s="60">
        <v>2220470.4063975154</v>
      </c>
      <c r="H43" s="61">
        <f t="shared" si="2"/>
        <v>1929106.2130798181</v>
      </c>
      <c r="I43" s="61">
        <f t="shared" si="5"/>
        <v>257825822.51165709</v>
      </c>
      <c r="J43" s="61"/>
      <c r="K43" s="61">
        <f>-Additions!L43*0.21</f>
        <v>-684175.79999999993</v>
      </c>
      <c r="L43" s="65">
        <f t="shared" si="3"/>
        <v>-90621109.358374223</v>
      </c>
      <c r="M43" s="59">
        <f t="shared" si="12"/>
        <v>167204713.15328291</v>
      </c>
      <c r="N43" s="62">
        <f t="shared" si="13"/>
        <v>-1130667.8330701818</v>
      </c>
    </row>
    <row r="44" spans="1:14">
      <c r="A44" s="64">
        <v>38</v>
      </c>
      <c r="B44" s="58">
        <v>43252</v>
      </c>
      <c r="C44" s="59">
        <f>M43</f>
        <v>167204713.15328291</v>
      </c>
      <c r="D44" s="59"/>
      <c r="E44" s="60">
        <f>Additions!J44*$E$5</f>
        <v>4218219.7903999994</v>
      </c>
      <c r="F44" s="60">
        <f t="shared" si="11"/>
        <v>1097977.6163732244</v>
      </c>
      <c r="G44" s="60">
        <v>1517739.86</v>
      </c>
      <c r="H44" s="61">
        <f>E44+F44-G44</f>
        <v>3798457.5467732232</v>
      </c>
      <c r="I44" s="61">
        <f t="shared" si="5"/>
        <v>261624280.05843031</v>
      </c>
      <c r="J44" s="61"/>
      <c r="K44" s="61">
        <f>-Additions!L44*0.21</f>
        <v>-885643.28999999992</v>
      </c>
      <c r="L44" s="61">
        <f>L43+K44</f>
        <v>-91506752.64837423</v>
      </c>
      <c r="M44" s="59">
        <f t="shared" si="12"/>
        <v>170117527.41005611</v>
      </c>
      <c r="N44" s="62">
        <f t="shared" si="13"/>
        <v>-419762.24362677569</v>
      </c>
    </row>
    <row r="45" spans="1:14">
      <c r="A45" s="64">
        <v>26</v>
      </c>
      <c r="B45" s="18">
        <v>43282</v>
      </c>
      <c r="C45" s="59">
        <f t="shared" ref="C45:C50" si="14">M44</f>
        <v>170117527.41005611</v>
      </c>
      <c r="D45" s="59"/>
      <c r="E45" s="60">
        <f>Additions!J45*$E$5</f>
        <v>2677689.6108499998</v>
      </c>
      <c r="F45" s="60">
        <f t="shared" si="11"/>
        <v>1117105.0966593684</v>
      </c>
      <c r="G45" s="60">
        <v>1381783.28</v>
      </c>
      <c r="H45" s="61">
        <f t="shared" ref="H45:H49" si="15">E45+F45-G45</f>
        <v>2413011.4275093684</v>
      </c>
      <c r="I45" s="61">
        <f t="shared" ref="I45" si="16">+I44+H45</f>
        <v>264037291.48593968</v>
      </c>
      <c r="J45" s="61"/>
      <c r="K45" s="61">
        <f>-Additions!L45*0.21</f>
        <v>-562541.06999999995</v>
      </c>
      <c r="L45" s="65">
        <f>L44+K45</f>
        <v>-92069293.718374223</v>
      </c>
      <c r="M45" s="59">
        <f t="shared" si="12"/>
        <v>171967997.76756549</v>
      </c>
      <c r="N45" s="62">
        <f>F45-G45</f>
        <v>-264678.18334063166</v>
      </c>
    </row>
    <row r="46" spans="1:14">
      <c r="A46" s="64">
        <v>27</v>
      </c>
      <c r="B46" s="58">
        <v>43313</v>
      </c>
      <c r="C46" s="59">
        <f t="shared" si="14"/>
        <v>171967997.76756549</v>
      </c>
      <c r="D46" s="59"/>
      <c r="E46" s="60">
        <f>Additions!J46*$E$5</f>
        <v>2876807.3509999998</v>
      </c>
      <c r="F46" s="60">
        <f t="shared" si="11"/>
        <v>1129256.51867368</v>
      </c>
      <c r="G46" s="60">
        <v>1727110.15</v>
      </c>
      <c r="H46" s="61">
        <f t="shared" si="15"/>
        <v>2278953.7196736797</v>
      </c>
      <c r="I46" s="61">
        <f>+I45+H46</f>
        <v>266316245.20561337</v>
      </c>
      <c r="J46" s="61"/>
      <c r="K46" s="61">
        <f>-Additions!L46*0.21</f>
        <v>-604077.17999999993</v>
      </c>
      <c r="L46" s="65">
        <f t="shared" ref="L46:L50" si="17">L45+K46</f>
        <v>-92673370.89837423</v>
      </c>
      <c r="M46" s="59">
        <f t="shared" si="12"/>
        <v>173642874.30723917</v>
      </c>
      <c r="N46" s="62">
        <f t="shared" ref="N46:N50" si="18">F46-G46</f>
        <v>-597853.63132631988</v>
      </c>
    </row>
    <row r="47" spans="1:14">
      <c r="A47" s="64">
        <v>28</v>
      </c>
      <c r="B47" s="18">
        <v>43344</v>
      </c>
      <c r="C47" s="59">
        <f t="shared" si="14"/>
        <v>173642874.30723917</v>
      </c>
      <c r="D47" s="59"/>
      <c r="E47" s="60">
        <f>Additions!J47*$E$5</f>
        <v>1205400.63515</v>
      </c>
      <c r="F47" s="60">
        <f t="shared" si="11"/>
        <v>1140254.874617537</v>
      </c>
      <c r="G47" s="60">
        <v>1516986.17</v>
      </c>
      <c r="H47" s="61">
        <f t="shared" si="15"/>
        <v>828669.33976753708</v>
      </c>
      <c r="I47" s="61">
        <f t="shared" ref="I47:I49" si="19">+I46+H47</f>
        <v>267144914.54538092</v>
      </c>
      <c r="J47" s="61"/>
      <c r="K47" s="61">
        <f>-Additions!L47*0.21</f>
        <v>-253769.46</v>
      </c>
      <c r="L47" s="65">
        <f t="shared" si="17"/>
        <v>-92927140.358374223</v>
      </c>
      <c r="M47" s="59">
        <f t="shared" si="12"/>
        <v>174217774.18700671</v>
      </c>
      <c r="N47" s="62">
        <f t="shared" si="18"/>
        <v>-376731.29538246291</v>
      </c>
    </row>
    <row r="48" spans="1:14">
      <c r="A48" s="64">
        <v>29</v>
      </c>
      <c r="B48" s="58">
        <v>43374</v>
      </c>
      <c r="C48" s="59">
        <f t="shared" si="14"/>
        <v>174217774.18700671</v>
      </c>
      <c r="D48" s="59"/>
      <c r="E48" s="60">
        <f>Additions!J48*$E$5</f>
        <v>4248394.4084499991</v>
      </c>
      <c r="F48" s="60">
        <f t="shared" si="11"/>
        <v>1144030.0504946774</v>
      </c>
      <c r="G48" s="60">
        <v>1578465.16</v>
      </c>
      <c r="H48" s="61">
        <f t="shared" si="15"/>
        <v>3813959.2989446763</v>
      </c>
      <c r="I48" s="61">
        <f t="shared" si="19"/>
        <v>270958873.8443256</v>
      </c>
      <c r="J48" s="61"/>
      <c r="K48" s="61">
        <f>-Additions!L48*0.21</f>
        <v>-891972.9</v>
      </c>
      <c r="L48" s="65">
        <f t="shared" si="17"/>
        <v>-93819113.258374229</v>
      </c>
      <c r="M48" s="59">
        <f t="shared" si="12"/>
        <v>177139760.58595139</v>
      </c>
      <c r="N48" s="62">
        <f t="shared" si="18"/>
        <v>-434435.10950532253</v>
      </c>
    </row>
    <row r="49" spans="1:14">
      <c r="A49" s="64">
        <v>30</v>
      </c>
      <c r="B49" s="18">
        <v>43405</v>
      </c>
      <c r="C49" s="59">
        <f>M48</f>
        <v>177139760.58595139</v>
      </c>
      <c r="D49" s="59"/>
      <c r="E49" s="60">
        <f>Additions!J49*$E$5</f>
        <v>3547002.0897500003</v>
      </c>
      <c r="F49" s="60">
        <f t="shared" si="11"/>
        <v>1163217.7611810807</v>
      </c>
      <c r="G49" s="60">
        <v>1733380.19</v>
      </c>
      <c r="H49" s="61">
        <f t="shared" si="15"/>
        <v>2976839.660931081</v>
      </c>
      <c r="I49" s="61">
        <f t="shared" si="19"/>
        <v>273935713.50525671</v>
      </c>
      <c r="J49" s="61"/>
      <c r="K49" s="61">
        <f>-Additions!L49*0.21</f>
        <v>-744446.22</v>
      </c>
      <c r="L49" s="65">
        <f t="shared" si="17"/>
        <v>-94563559.478374228</v>
      </c>
      <c r="M49" s="59">
        <f t="shared" si="12"/>
        <v>179372154.02688247</v>
      </c>
      <c r="N49" s="62">
        <f t="shared" si="18"/>
        <v>-570162.42881891923</v>
      </c>
    </row>
    <row r="50" spans="1:14">
      <c r="A50" s="64">
        <v>31</v>
      </c>
      <c r="B50" s="58">
        <v>43435</v>
      </c>
      <c r="C50" s="59">
        <f t="shared" si="14"/>
        <v>179372154.02688247</v>
      </c>
      <c r="D50" s="59"/>
      <c r="E50" s="60">
        <f>Additions!J50*$E$5</f>
        <v>1358449.5706999998</v>
      </c>
      <c r="F50" s="60">
        <f t="shared" si="11"/>
        <v>1177877.144776528</v>
      </c>
      <c r="G50" s="60">
        <v>1727108.96</v>
      </c>
      <c r="H50" s="63">
        <f>E50+F50-G50</f>
        <v>809217.75547652785</v>
      </c>
      <c r="I50" s="61">
        <f>+I49+H50</f>
        <v>274744931.26073325</v>
      </c>
      <c r="J50" s="61"/>
      <c r="K50" s="61">
        <f>-Additions!L50*0.21</f>
        <v>-300057.65999999997</v>
      </c>
      <c r="L50" s="65">
        <f t="shared" si="17"/>
        <v>-94863617.138374224</v>
      </c>
      <c r="M50" s="59">
        <f t="shared" si="12"/>
        <v>179881314.12235898</v>
      </c>
      <c r="N50" s="62">
        <f t="shared" si="18"/>
        <v>-549231.81522347196</v>
      </c>
    </row>
    <row r="51" spans="1:14">
      <c r="A51" s="64">
        <v>32</v>
      </c>
      <c r="B51" s="18">
        <v>43466</v>
      </c>
      <c r="C51" s="59">
        <f>M50</f>
        <v>179881314.12235898</v>
      </c>
      <c r="D51" s="59"/>
      <c r="E51" s="60">
        <f>Additions!J51*$E$5</f>
        <v>2258713.3401500001</v>
      </c>
      <c r="F51" s="60">
        <f t="shared" si="11"/>
        <v>1181220.6294034906</v>
      </c>
      <c r="G51" s="60">
        <v>2088178.32</v>
      </c>
      <c r="H51" s="63">
        <f>E51+F51-G51</f>
        <v>1351755.6495534906</v>
      </c>
      <c r="I51" s="61">
        <f>+I50+H51</f>
        <v>276096686.91028672</v>
      </c>
      <c r="J51" s="61"/>
      <c r="K51" s="61">
        <f>-Additions!L51*0.21</f>
        <v>-474329.73</v>
      </c>
      <c r="L51" s="61">
        <f>L50+K51</f>
        <v>-95337946.868374228</v>
      </c>
      <c r="M51" s="59">
        <f>C51+E51+F51-G51+K51</f>
        <v>180758740.0419125</v>
      </c>
      <c r="N51" s="62">
        <f>F51-G51</f>
        <v>-906957.69059650949</v>
      </c>
    </row>
    <row r="52" spans="1:14">
      <c r="A52" s="64">
        <v>34</v>
      </c>
      <c r="B52" s="58">
        <v>43497</v>
      </c>
      <c r="C52" s="59">
        <f>M51</f>
        <v>180758740.0419125</v>
      </c>
      <c r="D52" s="59"/>
      <c r="E52" s="60">
        <f>Additions!J52*$E$5</f>
        <v>1283088.4322499998</v>
      </c>
      <c r="F52" s="60">
        <f t="shared" si="11"/>
        <v>1186982.3929418919</v>
      </c>
      <c r="G52" s="60">
        <v>1660066.93</v>
      </c>
      <c r="H52" s="63">
        <f>E52+F52-G52</f>
        <v>810003.89519189182</v>
      </c>
      <c r="I52" s="61">
        <f t="shared" ref="I52:I56" si="20">+I51+H52</f>
        <v>276906690.80547863</v>
      </c>
      <c r="J52" s="61"/>
      <c r="K52" s="61">
        <f>-Additions!L52*0.21</f>
        <v>-269448.48</v>
      </c>
      <c r="L52" s="65">
        <f t="shared" ref="L52" si="21">L51+K52</f>
        <v>-95607395.348374233</v>
      </c>
      <c r="M52" s="59">
        <f t="shared" ref="M52" si="22">C52+E52+F52-G52+K52</f>
        <v>181299295.45710438</v>
      </c>
      <c r="N52" s="62">
        <f t="shared" ref="N52:N53" si="23">F52-G52</f>
        <v>-473084.53705810802</v>
      </c>
    </row>
    <row r="53" spans="1:14">
      <c r="A53" s="64">
        <v>35</v>
      </c>
      <c r="B53" s="18">
        <v>43525</v>
      </c>
      <c r="C53" s="59">
        <f>M52</f>
        <v>181299295.45710438</v>
      </c>
      <c r="D53" s="59"/>
      <c r="E53" s="60">
        <f>Additions!J53*$E$5</f>
        <v>2237364.6175999995</v>
      </c>
      <c r="F53" s="60">
        <f t="shared" si="11"/>
        <v>1190532.0401683187</v>
      </c>
      <c r="G53" s="60">
        <v>1958812.43</v>
      </c>
      <c r="H53" s="61">
        <f t="shared" ref="H53:H55" si="24">E53+F53-G53</f>
        <v>1469084.2277683185</v>
      </c>
      <c r="I53" s="61">
        <f t="shared" si="20"/>
        <v>278375775.03324693</v>
      </c>
      <c r="J53" s="61"/>
      <c r="K53" s="61">
        <f>-Additions!L53*0.21</f>
        <v>-469846.64999999997</v>
      </c>
      <c r="L53" s="65">
        <f>L52+K53</f>
        <v>-96077241.998374239</v>
      </c>
      <c r="M53" s="59">
        <f>C53+E53+F53-G53+K53</f>
        <v>182298533.03487268</v>
      </c>
      <c r="N53" s="62">
        <f t="shared" si="23"/>
        <v>-768280.38983168127</v>
      </c>
    </row>
    <row r="54" spans="1:14">
      <c r="A54" s="64">
        <v>36</v>
      </c>
      <c r="B54" s="58">
        <v>43556</v>
      </c>
      <c r="C54" s="59">
        <f t="shared" ref="C54:C55" si="25">M53</f>
        <v>182298533.03487268</v>
      </c>
      <c r="D54" s="59"/>
      <c r="E54" s="60">
        <f>Additions!J54*$E$5</f>
        <v>2626279.0330499997</v>
      </c>
      <c r="F54" s="60">
        <f t="shared" si="11"/>
        <v>1197093.7002623305</v>
      </c>
      <c r="G54" s="60">
        <v>1378152.46</v>
      </c>
      <c r="H54" s="61">
        <f t="shared" si="24"/>
        <v>2445220.2733123302</v>
      </c>
      <c r="I54" s="61">
        <f t="shared" si="20"/>
        <v>280820995.30655926</v>
      </c>
      <c r="J54" s="61"/>
      <c r="K54" s="61">
        <f>-Additions!L54*0.21</f>
        <v>-551518.59</v>
      </c>
      <c r="L54" s="65">
        <f t="shared" ref="L54:L55" si="26">L53+K54</f>
        <v>-96628760.588374242</v>
      </c>
      <c r="M54" s="59">
        <f t="shared" ref="M54:M56" si="27">C54+E54+F54-G54+K54</f>
        <v>184192234.71818501</v>
      </c>
      <c r="N54" s="62">
        <f>F54-G54</f>
        <v>-181058.75973766949</v>
      </c>
    </row>
    <row r="55" spans="1:14">
      <c r="A55" s="64">
        <v>37</v>
      </c>
      <c r="B55" s="18">
        <v>43586</v>
      </c>
      <c r="C55" s="59">
        <f t="shared" si="25"/>
        <v>184192234.71818501</v>
      </c>
      <c r="D55" s="59"/>
      <c r="E55" s="60">
        <f>Additions!J55*$E$5</f>
        <v>3022645.4856999996</v>
      </c>
      <c r="F55" s="60">
        <f t="shared" si="11"/>
        <v>1209529.0079827481</v>
      </c>
      <c r="G55" s="60">
        <v>1577873.2524418053</v>
      </c>
      <c r="H55" s="61">
        <f t="shared" si="24"/>
        <v>2654301.2412409424</v>
      </c>
      <c r="I55" s="61">
        <f t="shared" si="20"/>
        <v>283475296.54780018</v>
      </c>
      <c r="J55" s="61"/>
      <c r="K55" s="61">
        <f>-Additions!L55*0.21</f>
        <v>-634755.44999999995</v>
      </c>
      <c r="L55" s="65">
        <f t="shared" si="26"/>
        <v>-97263516.038374245</v>
      </c>
      <c r="M55" s="59">
        <f t="shared" si="27"/>
        <v>186211780.509426</v>
      </c>
      <c r="N55" s="62">
        <f t="shared" ref="N55:N56" si="28">F55-G55</f>
        <v>-368344.24445905723</v>
      </c>
    </row>
    <row r="56" spans="1:14">
      <c r="A56" s="64">
        <v>38</v>
      </c>
      <c r="B56" s="58">
        <v>43617</v>
      </c>
      <c r="C56" s="45">
        <f>M55</f>
        <v>186211780.509426</v>
      </c>
      <c r="D56" s="45"/>
      <c r="E56" s="25">
        <f>Additions!J56*$E$5</f>
        <v>3040211.4142500004</v>
      </c>
      <c r="F56" s="25">
        <f t="shared" si="11"/>
        <v>1222790.6920118972</v>
      </c>
      <c r="G56" s="25">
        <v>1561836.89</v>
      </c>
      <c r="H56" s="20">
        <f>E56+F56-G56</f>
        <v>2701165.2162618982</v>
      </c>
      <c r="I56" s="20">
        <f t="shared" si="20"/>
        <v>286176461.76406211</v>
      </c>
      <c r="J56" s="20"/>
      <c r="K56" s="20">
        <f>-Additions!L56*0.21</f>
        <v>-638444.30999999994</v>
      </c>
      <c r="L56" s="20">
        <f>L55+K56</f>
        <v>-97901960.348374248</v>
      </c>
      <c r="M56" s="45">
        <f t="shared" si="27"/>
        <v>188274501.41568789</v>
      </c>
      <c r="N56" s="46">
        <f t="shared" si="28"/>
        <v>-339046.19798810268</v>
      </c>
    </row>
    <row r="57" spans="1:14">
      <c r="B57" s="64" t="s">
        <v>62</v>
      </c>
      <c r="C57" s="47"/>
      <c r="D57" s="47"/>
      <c r="E57" s="41">
        <f>SUM(E8:E56)</f>
        <v>109282297.96408997</v>
      </c>
      <c r="F57" s="41">
        <f>SUM(F8:F56)</f>
        <v>57062894.866050318</v>
      </c>
      <c r="G57" s="48">
        <f>SUM(G8:G56)</f>
        <v>73377304.42663832</v>
      </c>
      <c r="H57" s="56">
        <f>SUM(H8:H56)</f>
        <v>92967888.403502002</v>
      </c>
      <c r="I57" s="39"/>
      <c r="J57" s="39"/>
      <c r="K57" s="39">
        <f>SUM(K8:K56)</f>
        <v>-32793738.120297212</v>
      </c>
      <c r="L57" s="39"/>
      <c r="M57" s="64" t="s">
        <v>69</v>
      </c>
      <c r="N57" s="56">
        <f>SUM(N8:N56)</f>
        <v>-16314409.560587995</v>
      </c>
    </row>
    <row r="58" spans="1:14">
      <c r="C58" s="47"/>
      <c r="D58" s="47"/>
      <c r="E58" s="41"/>
      <c r="F58" s="41"/>
      <c r="G58" s="48"/>
      <c r="H58" s="39"/>
      <c r="I58" s="39"/>
      <c r="J58" s="39"/>
      <c r="K58" s="39"/>
      <c r="L58" s="39"/>
      <c r="N58" s="56"/>
    </row>
    <row r="59" spans="1:14">
      <c r="C59" s="47"/>
      <c r="D59" s="47"/>
      <c r="E59" s="41"/>
      <c r="F59" s="41"/>
      <c r="G59" s="48"/>
      <c r="H59" s="39"/>
      <c r="I59" s="39"/>
      <c r="J59" s="39"/>
      <c r="K59" s="39"/>
      <c r="L59" s="39"/>
      <c r="N59" s="56"/>
    </row>
    <row r="60" spans="1:14">
      <c r="A60" s="64" t="s">
        <v>73</v>
      </c>
      <c r="I60" s="39"/>
      <c r="N60" s="48"/>
    </row>
    <row r="61" spans="1:14">
      <c r="E61" s="48"/>
    </row>
  </sheetData>
  <pageMargins left="0.7" right="0.7" top="0.75" bottom="0.75" header="0.3" footer="0.3"/>
  <pageSetup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3"/>
  <sheetViews>
    <sheetView zoomScaleNormal="100" workbookViewId="0">
      <selection activeCell="L24" sqref="L24"/>
    </sheetView>
  </sheetViews>
  <sheetFormatPr defaultRowHeight="15"/>
  <cols>
    <col min="2" max="2" width="2.7109375" bestFit="1" customWidth="1"/>
    <col min="3" max="3" width="9.28515625" customWidth="1"/>
    <col min="4" max="4" width="19.5703125" customWidth="1"/>
    <col min="5" max="5" width="14.7109375" bestFit="1" customWidth="1"/>
    <col min="6" max="6" width="2.7109375" customWidth="1"/>
    <col min="8" max="8" width="3.7109375" customWidth="1"/>
    <col min="10" max="10" width="2.7109375" customWidth="1"/>
    <col min="12" max="12" width="3.28515625" customWidth="1"/>
    <col min="14" max="14" width="1.5703125" customWidth="1"/>
    <col min="15" max="15" width="13.7109375" bestFit="1" customWidth="1"/>
    <col min="17" max="17" width="10.7109375" customWidth="1"/>
  </cols>
  <sheetData>
    <row r="1" spans="1:19">
      <c r="A1" s="78"/>
      <c r="B1" s="64"/>
      <c r="C1" s="64"/>
      <c r="D1" s="64"/>
      <c r="E1" s="64"/>
      <c r="F1" s="64" t="s">
        <v>6</v>
      </c>
      <c r="G1" s="64"/>
      <c r="H1" s="64"/>
      <c r="I1" s="64"/>
      <c r="J1" s="64"/>
      <c r="K1" s="64" t="s">
        <v>7</v>
      </c>
      <c r="L1" s="64"/>
      <c r="M1" s="64"/>
      <c r="N1" s="64"/>
      <c r="O1" s="64"/>
    </row>
    <row r="2" spans="1:19">
      <c r="A2" s="64"/>
      <c r="B2" s="64"/>
      <c r="C2" s="64"/>
      <c r="D2" s="64"/>
      <c r="E2" s="64"/>
      <c r="F2" s="64" t="s">
        <v>8</v>
      </c>
      <c r="G2" s="64"/>
      <c r="H2" s="64"/>
      <c r="I2" s="64"/>
      <c r="J2" s="64"/>
      <c r="K2" s="64" t="s">
        <v>9</v>
      </c>
      <c r="L2" s="64"/>
      <c r="M2" s="64"/>
      <c r="N2" s="64"/>
      <c r="O2" s="64"/>
    </row>
    <row r="3" spans="1:19">
      <c r="A3" s="64"/>
      <c r="B3" s="64"/>
      <c r="C3" s="64"/>
      <c r="D3" s="64"/>
      <c r="E3" s="64"/>
      <c r="F3" s="64" t="s">
        <v>145</v>
      </c>
      <c r="G3" s="64"/>
      <c r="H3" s="64"/>
      <c r="I3" s="64"/>
      <c r="J3" s="64"/>
      <c r="K3" s="64" t="s">
        <v>10</v>
      </c>
      <c r="L3" s="64"/>
      <c r="M3" s="64"/>
      <c r="N3" s="64"/>
      <c r="O3" s="64"/>
    </row>
    <row r="5" spans="1:19">
      <c r="E5" t="s">
        <v>11</v>
      </c>
      <c r="I5" t="s">
        <v>12</v>
      </c>
      <c r="K5" t="s">
        <v>13</v>
      </c>
    </row>
    <row r="6" spans="1:19">
      <c r="E6" t="s">
        <v>14</v>
      </c>
      <c r="G6" t="s">
        <v>15</v>
      </c>
      <c r="I6" t="s">
        <v>16</v>
      </c>
      <c r="K6" t="s">
        <v>17</v>
      </c>
    </row>
    <row r="7" spans="1:19">
      <c r="A7" t="s">
        <v>18</v>
      </c>
      <c r="E7" t="s">
        <v>19</v>
      </c>
      <c r="G7" t="s">
        <v>20</v>
      </c>
      <c r="I7" t="s">
        <v>15</v>
      </c>
      <c r="K7" t="s">
        <v>16</v>
      </c>
      <c r="M7" t="s">
        <v>5</v>
      </c>
      <c r="O7" t="s">
        <v>58</v>
      </c>
    </row>
    <row r="8" spans="1:19">
      <c r="A8" t="s">
        <v>21</v>
      </c>
      <c r="C8" t="s">
        <v>22</v>
      </c>
      <c r="E8" t="s">
        <v>23</v>
      </c>
      <c r="G8" t="s">
        <v>4</v>
      </c>
      <c r="I8" t="s">
        <v>24</v>
      </c>
      <c r="K8" t="s">
        <v>25</v>
      </c>
      <c r="M8" t="s">
        <v>66</v>
      </c>
      <c r="O8" t="s">
        <v>5</v>
      </c>
    </row>
    <row r="9" spans="1:19">
      <c r="A9" s="4">
        <v>-1</v>
      </c>
      <c r="B9" s="4"/>
      <c r="C9" s="4">
        <v>-2</v>
      </c>
      <c r="D9" s="4"/>
      <c r="E9" s="4">
        <v>-3</v>
      </c>
      <c r="F9" s="4"/>
      <c r="G9" s="4">
        <v>-4</v>
      </c>
      <c r="H9" s="4"/>
      <c r="I9" s="4">
        <v>-5</v>
      </c>
      <c r="J9" s="4"/>
      <c r="K9" s="3" t="s">
        <v>26</v>
      </c>
      <c r="L9" s="4"/>
      <c r="M9" s="4"/>
      <c r="N9" s="4"/>
      <c r="O9" s="4"/>
      <c r="P9" s="4"/>
      <c r="Q9" s="4"/>
      <c r="R9" s="4"/>
      <c r="S9" s="4"/>
    </row>
    <row r="10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>
      <c r="A11">
        <v>1</v>
      </c>
      <c r="C11" t="s">
        <v>27</v>
      </c>
      <c r="E11" s="81">
        <v>636995903</v>
      </c>
      <c r="F11" s="5"/>
      <c r="G11" s="1">
        <f>ROUND(E11/$E$19,5)</f>
        <v>0.53449000000000002</v>
      </c>
      <c r="H11" s="5"/>
      <c r="I11" s="1">
        <v>4.36E-2</v>
      </c>
      <c r="J11" s="3" t="s">
        <v>28</v>
      </c>
      <c r="K11" s="8">
        <f>ROUND(G11*I11,4)</f>
        <v>2.3300000000000001E-2</v>
      </c>
      <c r="L11" s="5"/>
      <c r="M11" s="80">
        <f>ROUND('Gross-up'!$G$26,4)</f>
        <v>1.0054000000000001</v>
      </c>
      <c r="N11" s="5"/>
      <c r="O11" s="8">
        <f>ROUND((K11*M11),6)</f>
        <v>2.3425999999999999E-2</v>
      </c>
      <c r="P11" s="5"/>
      <c r="Q11" s="5"/>
      <c r="R11" s="5"/>
      <c r="S11" s="5"/>
    </row>
    <row r="12" spans="1:19">
      <c r="E12" s="81"/>
      <c r="F12" s="5"/>
      <c r="G12" s="1"/>
      <c r="H12" s="5"/>
      <c r="I12" s="5"/>
      <c r="J12" s="3"/>
      <c r="K12" s="1"/>
      <c r="L12" s="5"/>
      <c r="M12" s="5"/>
      <c r="N12" s="5"/>
      <c r="O12" s="1"/>
      <c r="P12" s="5"/>
      <c r="Q12" s="5"/>
      <c r="R12" s="5"/>
      <c r="S12" s="5"/>
    </row>
    <row r="13" spans="1:19">
      <c r="A13">
        <v>2</v>
      </c>
      <c r="C13" t="s">
        <v>29</v>
      </c>
      <c r="E13" s="82">
        <v>38120046</v>
      </c>
      <c r="F13" s="6"/>
      <c r="G13" s="1">
        <f>ROUND(E13/$E$19,5)</f>
        <v>3.1989999999999998E-2</v>
      </c>
      <c r="H13" s="6"/>
      <c r="I13" s="1">
        <v>1.2500000000000001E-2</v>
      </c>
      <c r="J13" s="3" t="s">
        <v>30</v>
      </c>
      <c r="K13" s="8">
        <f>ROUND(G13*I13,4)</f>
        <v>4.0000000000000002E-4</v>
      </c>
      <c r="L13" s="6"/>
      <c r="M13" s="80">
        <f>ROUND('Gross-up'!$G$26,4)</f>
        <v>1.0054000000000001</v>
      </c>
      <c r="N13" s="6"/>
      <c r="O13" s="8">
        <f>ROUND((K13*M13),6)</f>
        <v>4.0200000000000001E-4</v>
      </c>
      <c r="P13" s="6"/>
      <c r="Q13" s="6"/>
      <c r="R13" s="6"/>
      <c r="S13" s="6"/>
    </row>
    <row r="14" spans="1:19">
      <c r="E14" s="82"/>
      <c r="F14" s="6"/>
      <c r="G14" s="1"/>
      <c r="H14" s="6"/>
      <c r="I14" s="6"/>
      <c r="J14" s="3"/>
      <c r="K14" s="1"/>
      <c r="L14" s="6"/>
      <c r="M14" s="6"/>
      <c r="N14" s="6"/>
      <c r="O14" s="1"/>
      <c r="P14" s="6"/>
      <c r="Q14" s="6"/>
      <c r="R14" s="6"/>
      <c r="S14" s="6"/>
    </row>
    <row r="15" spans="1:19">
      <c r="A15">
        <v>3</v>
      </c>
      <c r="C15" t="s">
        <v>31</v>
      </c>
      <c r="E15" s="82">
        <v>19902818</v>
      </c>
      <c r="F15" s="6"/>
      <c r="G15" s="1">
        <f>ROUND(E15/$E$19,5)</f>
        <v>1.67E-2</v>
      </c>
      <c r="H15" s="6"/>
      <c r="I15" s="1">
        <v>1.95E-2</v>
      </c>
      <c r="J15" s="3" t="s">
        <v>32</v>
      </c>
      <c r="K15" s="8">
        <f>ROUND(G15*I15,4)</f>
        <v>2.9999999999999997E-4</v>
      </c>
      <c r="L15" s="6"/>
      <c r="M15" s="80">
        <f>ROUND('Gross-up'!$G$26,4)</f>
        <v>1.0054000000000001</v>
      </c>
      <c r="N15" s="6"/>
      <c r="O15" s="8">
        <f>ROUND((K15*M15),6)</f>
        <v>3.0200000000000002E-4</v>
      </c>
      <c r="P15" s="6"/>
      <c r="Q15" s="6"/>
      <c r="R15" s="6"/>
      <c r="S15" s="6"/>
    </row>
    <row r="16" spans="1:19">
      <c r="E16" s="82"/>
      <c r="F16" s="6"/>
      <c r="G16" s="1"/>
      <c r="H16" s="6"/>
      <c r="I16" s="6"/>
      <c r="J16" s="3"/>
      <c r="K16" s="1"/>
      <c r="L16" s="6"/>
      <c r="M16" s="6"/>
      <c r="N16" s="6"/>
      <c r="O16" s="1"/>
      <c r="P16" s="6"/>
      <c r="Q16" s="6"/>
      <c r="R16" s="6"/>
      <c r="S16" s="6"/>
    </row>
    <row r="17" spans="1:19">
      <c r="A17">
        <v>4</v>
      </c>
      <c r="C17" t="s">
        <v>33</v>
      </c>
      <c r="E17" s="82">
        <v>496766726</v>
      </c>
      <c r="F17" s="6"/>
      <c r="G17" s="1">
        <f>ROUND(E17/$E$19,5)</f>
        <v>0.41682999999999998</v>
      </c>
      <c r="H17" s="6"/>
      <c r="I17" s="1">
        <v>9.7000000000000003E-2</v>
      </c>
      <c r="J17" s="3" t="s">
        <v>34</v>
      </c>
      <c r="K17" s="8">
        <f>ROUND(G17*I17,4)</f>
        <v>4.0399999999999998E-2</v>
      </c>
      <c r="L17" s="6"/>
      <c r="M17" s="80">
        <f>ROUND('Gross-up'!G24,4)</f>
        <v>1.3521000000000001</v>
      </c>
      <c r="N17" s="6"/>
      <c r="O17" s="8">
        <f>ROUND((K17*M17),6)</f>
        <v>5.4625E-2</v>
      </c>
      <c r="P17" s="6"/>
      <c r="Q17" s="6"/>
      <c r="R17" s="6"/>
      <c r="S17" s="6"/>
    </row>
    <row r="18" spans="1:19">
      <c r="E18" s="3" t="s">
        <v>35</v>
      </c>
      <c r="F18" s="5"/>
      <c r="G18" s="3" t="s">
        <v>35</v>
      </c>
      <c r="H18" s="5"/>
      <c r="I18" s="3"/>
      <c r="J18" s="3"/>
      <c r="K18" s="3" t="s">
        <v>35</v>
      </c>
      <c r="L18" s="5"/>
      <c r="M18" s="3"/>
      <c r="N18" s="5"/>
      <c r="O18" s="3" t="s">
        <v>35</v>
      </c>
      <c r="P18" s="5"/>
      <c r="Q18" s="3"/>
      <c r="R18" s="5"/>
      <c r="S18" s="3"/>
    </row>
    <row r="19" spans="1:19">
      <c r="A19">
        <v>5</v>
      </c>
      <c r="C19" t="s">
        <v>4</v>
      </c>
      <c r="E19" s="5">
        <f>SUM(E11:E17)</f>
        <v>1191785493</v>
      </c>
      <c r="F19" s="6"/>
      <c r="G19" s="1">
        <f>SUM(G11:G17)</f>
        <v>1.0000100000000001</v>
      </c>
      <c r="H19" s="6"/>
      <c r="I19" s="6"/>
      <c r="J19" s="3"/>
      <c r="K19" s="13">
        <f>SUM(K11:K17)</f>
        <v>6.4399999999999999E-2</v>
      </c>
      <c r="L19" s="6"/>
      <c r="M19" s="6"/>
      <c r="N19" s="6"/>
      <c r="O19" s="1">
        <v>7.8799999999999995E-2</v>
      </c>
      <c r="P19" s="6"/>
      <c r="Q19" s="8"/>
      <c r="R19" s="6"/>
      <c r="S19" s="6"/>
    </row>
    <row r="20" spans="1:19">
      <c r="E20" s="3" t="s">
        <v>36</v>
      </c>
      <c r="F20" s="6"/>
      <c r="G20" s="3" t="s">
        <v>36</v>
      </c>
      <c r="H20" s="6"/>
      <c r="I20" s="6"/>
      <c r="J20" s="3"/>
      <c r="K20" s="3" t="s">
        <v>36</v>
      </c>
      <c r="L20" s="6"/>
      <c r="M20" s="6"/>
      <c r="N20" s="6"/>
      <c r="O20" s="3" t="s">
        <v>36</v>
      </c>
      <c r="P20" s="6"/>
      <c r="Q20" s="6"/>
      <c r="R20" s="6"/>
      <c r="S20" s="6"/>
    </row>
    <row r="21" spans="1:19">
      <c r="E21" s="6"/>
      <c r="F21" s="6"/>
      <c r="G21" s="1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>
      <c r="E22" s="3"/>
      <c r="F22" s="5"/>
      <c r="G22" s="1"/>
      <c r="H22" s="5"/>
      <c r="I22" s="3"/>
      <c r="J22" s="5"/>
      <c r="K22" s="3"/>
      <c r="L22" s="5"/>
      <c r="M22" s="3"/>
      <c r="N22" s="5"/>
      <c r="O22" s="3"/>
      <c r="P22" s="5"/>
      <c r="Q22" s="3"/>
      <c r="R22" s="5"/>
      <c r="S22" s="3"/>
    </row>
    <row r="23" spans="1:19">
      <c r="B23" s="3" t="s">
        <v>37</v>
      </c>
      <c r="C23" t="s">
        <v>147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>
      <c r="B24" s="3" t="s">
        <v>28</v>
      </c>
      <c r="C24" t="s">
        <v>148</v>
      </c>
      <c r="E24" s="3"/>
      <c r="G24" s="3"/>
      <c r="I24" s="3"/>
      <c r="K24" s="3"/>
      <c r="M24" s="3"/>
      <c r="O24" s="3"/>
      <c r="Q24" s="3"/>
      <c r="S24" s="3"/>
    </row>
    <row r="25" spans="1:19">
      <c r="B25" s="3" t="s">
        <v>30</v>
      </c>
      <c r="C25" t="s">
        <v>38</v>
      </c>
      <c r="E25" s="3"/>
      <c r="G25" s="3"/>
      <c r="I25" s="3"/>
      <c r="K25" s="3"/>
      <c r="M25" s="3"/>
      <c r="O25" s="3"/>
      <c r="Q25" s="3"/>
      <c r="S25" s="3"/>
    </row>
    <row r="26" spans="1:19">
      <c r="B26" s="3" t="s">
        <v>39</v>
      </c>
      <c r="C26" t="s">
        <v>149</v>
      </c>
      <c r="E26" s="7"/>
    </row>
    <row r="27" spans="1:19">
      <c r="B27" s="3" t="s">
        <v>32</v>
      </c>
      <c r="C27" t="s">
        <v>40</v>
      </c>
    </row>
    <row r="28" spans="1:19">
      <c r="B28" s="3" t="s">
        <v>34</v>
      </c>
      <c r="C28" t="s">
        <v>41</v>
      </c>
    </row>
    <row r="29" spans="1:19">
      <c r="A29" s="6" t="s">
        <v>87</v>
      </c>
      <c r="B29" s="3"/>
    </row>
    <row r="30" spans="1:19">
      <c r="B30" s="3"/>
    </row>
    <row r="31" spans="1:19">
      <c r="B31" s="3"/>
    </row>
    <row r="32" spans="1:19">
      <c r="B32" s="3"/>
    </row>
    <row r="33" spans="2:2">
      <c r="B33" s="3"/>
    </row>
  </sheetData>
  <pageMargins left="0.45" right="0.45" top="0.5" bottom="0.5" header="0.3" footer="0.3"/>
  <pageSetup scale="81" firstPageNumber="12" orientation="portrait" useFirstPageNumber="1" r:id="rId1"/>
  <headerFooter>
    <oddHeader>&amp;RUpdated KIUC_1_17_Attachment71_Retirement_Cost_Calculation
Page  &amp;P of 18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6"/>
  <sheetViews>
    <sheetView workbookViewId="0">
      <selection activeCell="J22" sqref="J22"/>
    </sheetView>
  </sheetViews>
  <sheetFormatPr defaultRowHeight="15"/>
  <cols>
    <col min="6" max="6" width="14.28515625" customWidth="1"/>
    <col min="7" max="7" width="12" bestFit="1" customWidth="1"/>
    <col min="9" max="9" width="10.28515625" bestFit="1" customWidth="1"/>
    <col min="10" max="11" width="12.5703125" bestFit="1" customWidth="1"/>
    <col min="12" max="12" width="15.7109375" bestFit="1" customWidth="1"/>
  </cols>
  <sheetData>
    <row r="1" spans="1:12">
      <c r="A1" s="78"/>
      <c r="B1" s="64"/>
      <c r="C1" s="79" t="s">
        <v>0</v>
      </c>
      <c r="D1" s="79"/>
      <c r="E1" s="79"/>
      <c r="F1" s="79"/>
      <c r="G1" s="64" t="s">
        <v>7</v>
      </c>
      <c r="H1" s="64"/>
      <c r="I1" s="64"/>
    </row>
    <row r="2" spans="1:12">
      <c r="A2" s="64"/>
      <c r="B2" s="64"/>
      <c r="C2" s="79" t="s">
        <v>42</v>
      </c>
      <c r="D2" s="79"/>
      <c r="E2" s="79"/>
      <c r="F2" s="79"/>
      <c r="G2" s="64" t="s">
        <v>9</v>
      </c>
      <c r="H2" s="64"/>
      <c r="I2" s="64"/>
    </row>
    <row r="3" spans="1:12">
      <c r="A3" s="64"/>
      <c r="B3" s="64"/>
      <c r="C3" s="79" t="s">
        <v>43</v>
      </c>
      <c r="D3" s="79"/>
      <c r="E3" s="79"/>
      <c r="F3" s="79"/>
      <c r="G3" s="64" t="s">
        <v>44</v>
      </c>
      <c r="H3" s="64"/>
      <c r="I3" s="64"/>
    </row>
    <row r="4" spans="1:12">
      <c r="C4" s="3" t="s">
        <v>146</v>
      </c>
      <c r="D4" s="3"/>
      <c r="E4" s="3"/>
      <c r="F4" s="3"/>
    </row>
    <row r="5" spans="1:12">
      <c r="D5" s="3"/>
    </row>
    <row r="6" spans="1:12">
      <c r="A6" s="3" t="s">
        <v>45</v>
      </c>
      <c r="C6" t="s">
        <v>22</v>
      </c>
      <c r="D6" s="3"/>
      <c r="E6" s="3"/>
      <c r="F6" s="3"/>
      <c r="G6" s="3" t="s">
        <v>65</v>
      </c>
    </row>
    <row r="7" spans="1:12">
      <c r="A7" s="6">
        <v>-1</v>
      </c>
      <c r="C7" s="6">
        <v>-2</v>
      </c>
      <c r="D7" s="3"/>
      <c r="E7" s="6"/>
      <c r="F7" s="6"/>
      <c r="G7" s="6">
        <v>-3</v>
      </c>
    </row>
    <row r="8" spans="1:12">
      <c r="A8" s="6"/>
      <c r="D8" s="3"/>
    </row>
    <row r="9" spans="1:12">
      <c r="A9" s="6">
        <v>1</v>
      </c>
      <c r="C9" t="s">
        <v>46</v>
      </c>
      <c r="D9" s="3"/>
      <c r="E9" s="5"/>
      <c r="F9" s="5"/>
      <c r="G9" s="1">
        <v>1</v>
      </c>
    </row>
    <row r="10" spans="1:12">
      <c r="A10" s="6"/>
      <c r="D10" s="3"/>
      <c r="E10" s="5"/>
      <c r="F10" s="5"/>
      <c r="G10" s="1"/>
      <c r="K10" s="14"/>
    </row>
    <row r="11" spans="1:12">
      <c r="A11" s="6">
        <v>2</v>
      </c>
      <c r="C11" t="s">
        <v>47</v>
      </c>
      <c r="D11" s="3"/>
      <c r="E11" s="5"/>
      <c r="F11" s="5"/>
      <c r="G11" s="10">
        <v>3.3999999999999998E-3</v>
      </c>
      <c r="J11" s="2"/>
    </row>
    <row r="12" spans="1:12">
      <c r="A12" s="6">
        <v>3</v>
      </c>
      <c r="C12" t="s">
        <v>48</v>
      </c>
      <c r="D12" s="3"/>
      <c r="E12" s="5"/>
      <c r="F12" s="5"/>
      <c r="G12" s="10">
        <v>1.9959999999999999E-3</v>
      </c>
      <c r="J12" s="10"/>
      <c r="L12" s="15"/>
    </row>
    <row r="13" spans="1:12">
      <c r="A13" s="6"/>
      <c r="D13" s="3"/>
      <c r="E13" s="5"/>
      <c r="F13" s="5"/>
      <c r="G13" s="1" t="s">
        <v>49</v>
      </c>
      <c r="J13" s="14"/>
      <c r="L13" s="15"/>
    </row>
    <row r="14" spans="1:12">
      <c r="A14" s="6">
        <v>4</v>
      </c>
      <c r="C14" t="s">
        <v>50</v>
      </c>
      <c r="D14" s="3"/>
      <c r="E14" s="5"/>
      <c r="F14" s="5"/>
      <c r="G14" s="10">
        <f>G9-G11-G12</f>
        <v>0.99460400000000004</v>
      </c>
      <c r="I14" s="11"/>
      <c r="J14" s="2"/>
    </row>
    <row r="15" spans="1:12">
      <c r="A15" s="6"/>
      <c r="D15" s="3"/>
      <c r="E15" s="3"/>
      <c r="F15" s="3"/>
      <c r="G15" s="1"/>
    </row>
    <row r="16" spans="1:12">
      <c r="A16" s="6">
        <v>5</v>
      </c>
      <c r="C16" t="s">
        <v>51</v>
      </c>
      <c r="D16" s="3"/>
      <c r="E16" s="8">
        <v>5.8742210000000003E-2</v>
      </c>
      <c r="F16" s="8"/>
      <c r="G16" s="77">
        <f>ROUND(G14*E16,6)</f>
        <v>5.8424999999999998E-2</v>
      </c>
      <c r="I16" s="1"/>
    </row>
    <row r="17" spans="1:9">
      <c r="A17" s="6"/>
      <c r="D17" s="3"/>
      <c r="E17" s="3"/>
      <c r="F17" s="3"/>
      <c r="G17" s="1" t="s">
        <v>49</v>
      </c>
    </row>
    <row r="18" spans="1:9">
      <c r="A18" s="6">
        <v>6</v>
      </c>
      <c r="C18" t="s">
        <v>52</v>
      </c>
      <c r="D18" s="3"/>
      <c r="E18" s="5"/>
      <c r="F18" s="5"/>
      <c r="G18" s="8">
        <f>G14-G16</f>
        <v>0.93617900000000009</v>
      </c>
      <c r="H18" s="1"/>
      <c r="I18" s="8"/>
    </row>
    <row r="19" spans="1:9">
      <c r="A19" s="6"/>
      <c r="D19" s="3"/>
      <c r="E19" s="3"/>
      <c r="F19" s="3"/>
      <c r="G19" s="1"/>
    </row>
    <row r="20" spans="1:9">
      <c r="A20" s="6">
        <v>7</v>
      </c>
      <c r="C20" t="s">
        <v>53</v>
      </c>
      <c r="D20" s="3"/>
      <c r="E20" s="1">
        <v>0.21</v>
      </c>
      <c r="F20" s="1"/>
      <c r="G20" s="10">
        <f>ROUND(G18*E20,8)</f>
        <v>0.19659758999999999</v>
      </c>
    </row>
    <row r="21" spans="1:9">
      <c r="A21" s="6"/>
      <c r="D21" s="3"/>
      <c r="E21" s="5"/>
      <c r="F21" s="5"/>
      <c r="G21" s="1"/>
    </row>
    <row r="22" spans="1:9">
      <c r="A22" s="6">
        <v>8</v>
      </c>
      <c r="C22" t="s">
        <v>54</v>
      </c>
      <c r="D22" s="3"/>
      <c r="E22" s="5"/>
      <c r="F22" s="5"/>
      <c r="G22" s="11">
        <f>G18-G20</f>
        <v>0.73958141000000011</v>
      </c>
      <c r="I22" s="10"/>
    </row>
    <row r="23" spans="1:9">
      <c r="A23" s="6"/>
      <c r="D23" s="3"/>
      <c r="E23" s="5"/>
      <c r="F23" s="5"/>
      <c r="G23" s="1" t="s">
        <v>49</v>
      </c>
    </row>
    <row r="24" spans="1:9">
      <c r="A24" s="6">
        <v>9</v>
      </c>
      <c r="C24" t="s">
        <v>55</v>
      </c>
      <c r="D24" s="3"/>
      <c r="E24" s="5"/>
      <c r="F24" s="5"/>
      <c r="G24" s="12">
        <f>ROUND(100/G22/100,6)</f>
        <v>1.3521160000000001</v>
      </c>
    </row>
    <row r="25" spans="1:9">
      <c r="A25" s="6"/>
      <c r="D25" s="3"/>
      <c r="E25" s="5"/>
      <c r="F25" s="5"/>
      <c r="G25" s="1" t="s">
        <v>56</v>
      </c>
    </row>
    <row r="26" spans="1:9">
      <c r="A26" s="6">
        <v>10</v>
      </c>
      <c r="C26" t="s">
        <v>57</v>
      </c>
      <c r="D26" s="3"/>
      <c r="E26" s="5"/>
      <c r="F26" s="5"/>
      <c r="G26" s="9">
        <f>ROUND(100/G14/100,4)</f>
        <v>1.0054000000000001</v>
      </c>
    </row>
    <row r="27" spans="1:9">
      <c r="A27" s="6"/>
      <c r="D27" s="3"/>
      <c r="E27" s="5"/>
      <c r="F27" s="5"/>
      <c r="G27" s="1" t="s">
        <v>56</v>
      </c>
    </row>
    <row r="28" spans="1:9">
      <c r="A28" s="6" t="s">
        <v>86</v>
      </c>
      <c r="D28" s="3"/>
      <c r="E28" s="5"/>
      <c r="F28" s="5"/>
    </row>
    <row r="29" spans="1:9">
      <c r="A29" s="6"/>
      <c r="D29" s="3"/>
      <c r="E29" s="5"/>
      <c r="F29" s="5"/>
    </row>
    <row r="30" spans="1:9">
      <c r="A30" s="6"/>
      <c r="D30" s="3"/>
      <c r="E30" s="5"/>
      <c r="F30" s="5"/>
    </row>
    <row r="31" spans="1:9">
      <c r="A31" s="6"/>
      <c r="D31" s="3"/>
    </row>
    <row r="32" spans="1:9">
      <c r="A32" s="6"/>
      <c r="D32" s="3"/>
      <c r="E32" s="1"/>
    </row>
    <row r="33" spans="1:7">
      <c r="A33" s="6"/>
      <c r="D33" s="3"/>
      <c r="E33" s="8"/>
    </row>
    <row r="34" spans="1:7">
      <c r="A34" s="6"/>
      <c r="D34" s="3"/>
      <c r="E34" s="3"/>
    </row>
    <row r="35" spans="1:7">
      <c r="A35" s="6"/>
      <c r="D35" s="3"/>
      <c r="E35" s="1"/>
      <c r="G35" s="8"/>
    </row>
    <row r="36" spans="1:7">
      <c r="A36" s="6"/>
      <c r="D36" s="3"/>
      <c r="E36" s="1"/>
    </row>
    <row r="37" spans="1:7">
      <c r="A37" s="6"/>
      <c r="D37" s="3"/>
      <c r="E37" s="1"/>
    </row>
    <row r="38" spans="1:7">
      <c r="A38" s="6"/>
      <c r="D38" s="3"/>
      <c r="E38" s="8"/>
    </row>
    <row r="39" spans="1:7">
      <c r="A39" s="6"/>
      <c r="D39" s="3"/>
      <c r="E39" s="3"/>
    </row>
    <row r="40" spans="1:7">
      <c r="A40" s="6"/>
      <c r="D40" s="3"/>
      <c r="G40" s="8"/>
    </row>
    <row r="41" spans="1:7">
      <c r="A41" s="6"/>
      <c r="D41" s="3"/>
    </row>
    <row r="42" spans="1:7">
      <c r="A42" s="6"/>
      <c r="D42" s="3"/>
      <c r="E42" s="1"/>
      <c r="F42" s="1"/>
      <c r="G42" s="1"/>
    </row>
    <row r="43" spans="1:7">
      <c r="A43" s="6"/>
      <c r="D43" s="3"/>
      <c r="E43" s="8"/>
      <c r="F43" s="1"/>
      <c r="G43" s="1"/>
    </row>
    <row r="44" spans="1:7">
      <c r="A44" s="6"/>
      <c r="D44" s="3"/>
      <c r="E44" s="3"/>
      <c r="F44" s="3"/>
      <c r="G44" s="1"/>
    </row>
    <row r="45" spans="1:7">
      <c r="A45" s="6"/>
      <c r="D45" s="3"/>
      <c r="E45" s="1"/>
      <c r="F45" s="1"/>
      <c r="G45" s="8"/>
    </row>
    <row r="46" spans="1:7">
      <c r="A46" s="6"/>
      <c r="D46" s="3"/>
      <c r="E46" s="1"/>
      <c r="F46" s="1"/>
      <c r="G46" s="8"/>
    </row>
    <row r="47" spans="1:7">
      <c r="A47" s="6"/>
      <c r="D47" s="3"/>
      <c r="E47" s="1"/>
      <c r="F47" s="1"/>
      <c r="G47" s="8"/>
    </row>
    <row r="48" spans="1:7">
      <c r="A48" s="6"/>
      <c r="D48" s="3"/>
      <c r="E48" s="8"/>
      <c r="F48" s="8"/>
      <c r="G48" s="8"/>
    </row>
    <row r="49" spans="1:7">
      <c r="A49" s="6"/>
      <c r="D49" s="3"/>
      <c r="E49" s="3"/>
      <c r="F49" s="3"/>
      <c r="G49" s="8"/>
    </row>
    <row r="50" spans="1:7">
      <c r="A50" s="6"/>
      <c r="D50" s="3"/>
      <c r="E50" s="1"/>
      <c r="F50" s="1"/>
      <c r="G50" s="8"/>
    </row>
    <row r="51" spans="1:7">
      <c r="D51" s="3"/>
      <c r="E51" s="1"/>
      <c r="F51" s="1"/>
      <c r="G51" s="8"/>
    </row>
    <row r="52" spans="1:7">
      <c r="D52" s="3"/>
      <c r="E52" s="1"/>
      <c r="F52" s="1"/>
      <c r="G52" s="8"/>
    </row>
    <row r="53" spans="1:7">
      <c r="D53" s="3"/>
      <c r="E53" s="1"/>
      <c r="F53" s="1"/>
      <c r="G53" s="3"/>
    </row>
    <row r="54" spans="1:7">
      <c r="D54" s="3"/>
      <c r="E54" s="1"/>
      <c r="F54" s="1"/>
      <c r="G54" s="1"/>
    </row>
    <row r="55" spans="1:7">
      <c r="D55" s="3"/>
      <c r="E55" s="1"/>
      <c r="F55" s="1"/>
      <c r="G55" s="1"/>
    </row>
    <row r="56" spans="1:7">
      <c r="D56" s="3"/>
      <c r="E56" s="1"/>
      <c r="F56" s="1"/>
      <c r="G56" s="1"/>
    </row>
    <row r="57" spans="1:7">
      <c r="D57" s="3"/>
      <c r="E57" s="1"/>
      <c r="F57" s="1"/>
      <c r="G57" s="1"/>
    </row>
    <row r="58" spans="1:7">
      <c r="D58" s="3"/>
      <c r="E58" s="1"/>
      <c r="F58" s="1"/>
      <c r="G58" s="1"/>
    </row>
    <row r="59" spans="1:7">
      <c r="D59" s="3"/>
      <c r="E59" s="1"/>
      <c r="F59" s="1"/>
      <c r="G59" s="1"/>
    </row>
    <row r="60" spans="1:7">
      <c r="D60" s="3"/>
      <c r="E60" s="1"/>
      <c r="F60" s="1"/>
      <c r="G60" s="1"/>
    </row>
    <row r="61" spans="1:7">
      <c r="D61" s="3"/>
      <c r="E61" s="1"/>
      <c r="F61" s="1"/>
      <c r="G61" s="1"/>
    </row>
    <row r="62" spans="1:7">
      <c r="D62" s="3"/>
      <c r="E62" s="1"/>
      <c r="F62" s="1"/>
      <c r="G62" s="1"/>
    </row>
    <row r="63" spans="1:7">
      <c r="D63" s="3"/>
      <c r="E63" s="1"/>
      <c r="F63" s="1"/>
      <c r="G63" s="1"/>
    </row>
    <row r="64" spans="1:7">
      <c r="D64" s="3"/>
      <c r="E64" s="1"/>
      <c r="F64" s="1"/>
      <c r="G64" s="1"/>
    </row>
    <row r="65" spans="4:7">
      <c r="D65" s="3"/>
      <c r="E65" s="1"/>
      <c r="F65" s="1"/>
      <c r="G65" s="1"/>
    </row>
    <row r="66" spans="4:7">
      <c r="D66" s="3"/>
      <c r="E66" s="1"/>
      <c r="F66" s="1"/>
      <c r="G66" s="1"/>
    </row>
  </sheetData>
  <pageMargins left="0.7" right="0.7" top="0.75" bottom="0.75" header="0.3" footer="0.3"/>
  <pageSetup firstPageNumber="13" orientation="portrait" useFirstPageNumber="1" r:id="rId1"/>
  <headerFooter>
    <oddHeader>&amp;RUpdated KIUC_1_17_Attachment71_Retirement_Cost_Calculation
Page  &amp;P of 18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0A1FAF89-79D7-4942-977A-C5D7B860D9F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BSDR Summary</vt:lpstr>
      <vt:lpstr>Components</vt:lpstr>
      <vt:lpstr>Additions</vt:lpstr>
      <vt:lpstr>21 Yr Amortization</vt:lpstr>
      <vt:lpstr>Actual Yr 1-4 Amortization</vt:lpstr>
      <vt:lpstr>WACC</vt:lpstr>
      <vt:lpstr>Gross-up</vt:lpstr>
      <vt:lpstr>'21 Yr Amortization'!Print_Area</vt:lpstr>
      <vt:lpstr>Additions!Print_Area</vt:lpstr>
      <vt:lpstr>Components!Print_Area</vt:lpstr>
      <vt:lpstr>'21 Yr Amortization'!Print_Titles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JMY</dc:creator>
  <cp:keywords/>
  <cp:lastModifiedBy>s007506</cp:lastModifiedBy>
  <cp:lastPrinted>2019-08-12T15:49:45Z</cp:lastPrinted>
  <dcterms:created xsi:type="dcterms:W3CDTF">2014-11-07T20:12:13Z</dcterms:created>
  <dcterms:modified xsi:type="dcterms:W3CDTF">2019-08-14T15:24:15Z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88924ef7-51b4-40fc-92c2-51ec652da99a</vt:lpwstr>
  </property>
  <property fmtid="{D5CDD505-2E9C-101B-9397-08002B2CF9AE}" pid="3" name="bjSaver">
    <vt:lpwstr>nAq6O+Hd8RexdVD7Ge2qGh60qJ4XO2rO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