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4175"/>
  </bookViews>
  <sheets>
    <sheet name="DSI in ES and SSC" sheetId="1" r:id="rId1"/>
    <sheet name="Bill Comparision" sheetId="2" r:id="rId2"/>
    <sheet name="Surcharge Factors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1" i="2" l="1"/>
  <c r="F97" i="2"/>
  <c r="F73" i="2"/>
  <c r="F49" i="2"/>
  <c r="P25" i="2"/>
  <c r="P49" i="2"/>
  <c r="K49" i="2"/>
  <c r="P73" i="2"/>
  <c r="K73" i="2"/>
  <c r="K97" i="2"/>
  <c r="P97" i="2"/>
  <c r="Z97" i="2"/>
  <c r="U97" i="2"/>
  <c r="Z73" i="2"/>
  <c r="U73" i="2"/>
  <c r="U49" i="2"/>
  <c r="Z49" i="2"/>
  <c r="Z25" i="2"/>
  <c r="U25" i="2"/>
  <c r="K25" i="2"/>
  <c r="F25" i="2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23" i="1"/>
  <c r="B32" i="1"/>
  <c r="E116" i="2"/>
  <c r="E105" i="2"/>
  <c r="F105" i="2" s="1"/>
  <c r="E99" i="2"/>
  <c r="E118" i="2" s="1"/>
  <c r="Y92" i="2"/>
  <c r="Y81" i="2"/>
  <c r="Y75" i="2"/>
  <c r="Y77" i="2" s="1"/>
  <c r="Z77" i="2" s="1"/>
  <c r="X93" i="2"/>
  <c r="X91" i="2"/>
  <c r="X89" i="2"/>
  <c r="X87" i="2"/>
  <c r="X86" i="2"/>
  <c r="X85" i="2"/>
  <c r="X84" i="2"/>
  <c r="X83" i="2"/>
  <c r="X82" i="2"/>
  <c r="Z81" i="2"/>
  <c r="X80" i="2"/>
  <c r="X79" i="2"/>
  <c r="X78" i="2"/>
  <c r="X77" i="2"/>
  <c r="Y87" i="2"/>
  <c r="T92" i="2"/>
  <c r="T81" i="2"/>
  <c r="T75" i="2"/>
  <c r="S93" i="2"/>
  <c r="S91" i="2"/>
  <c r="S89" i="2"/>
  <c r="S87" i="2"/>
  <c r="S86" i="2"/>
  <c r="S85" i="2"/>
  <c r="S84" i="2"/>
  <c r="S83" i="2"/>
  <c r="S82" i="2"/>
  <c r="U81" i="2"/>
  <c r="S80" i="2"/>
  <c r="S79" i="2"/>
  <c r="S78" i="2"/>
  <c r="S77" i="2"/>
  <c r="T87" i="2"/>
  <c r="O92" i="2"/>
  <c r="O81" i="2"/>
  <c r="O75" i="2"/>
  <c r="N93" i="2"/>
  <c r="N91" i="2"/>
  <c r="N89" i="2"/>
  <c r="N87" i="2"/>
  <c r="N86" i="2"/>
  <c r="N85" i="2"/>
  <c r="N84" i="2"/>
  <c r="N83" i="2"/>
  <c r="N82" i="2"/>
  <c r="P81" i="2"/>
  <c r="N80" i="2"/>
  <c r="N79" i="2"/>
  <c r="N78" i="2"/>
  <c r="O77" i="2"/>
  <c r="P77" i="2" s="1"/>
  <c r="N77" i="2"/>
  <c r="O87" i="2"/>
  <c r="J92" i="2"/>
  <c r="J81" i="2"/>
  <c r="J75" i="2"/>
  <c r="I93" i="2"/>
  <c r="I91" i="2"/>
  <c r="I89" i="2"/>
  <c r="I87" i="2"/>
  <c r="I86" i="2"/>
  <c r="I85" i="2"/>
  <c r="I84" i="2"/>
  <c r="I83" i="2"/>
  <c r="I82" i="2"/>
  <c r="K81" i="2"/>
  <c r="I80" i="2"/>
  <c r="I79" i="2"/>
  <c r="I78" i="2"/>
  <c r="I77" i="2"/>
  <c r="J87" i="2"/>
  <c r="E92" i="2"/>
  <c r="E81" i="2"/>
  <c r="F81" i="2" s="1"/>
  <c r="E82" i="2"/>
  <c r="F82" i="2" s="1"/>
  <c r="E86" i="2"/>
  <c r="F86" i="2" s="1"/>
  <c r="E90" i="2"/>
  <c r="E75" i="2"/>
  <c r="E78" i="2" s="1"/>
  <c r="E94" i="2"/>
  <c r="Y68" i="2"/>
  <c r="Y57" i="2"/>
  <c r="Y51" i="2"/>
  <c r="Y69" i="2" s="1"/>
  <c r="X69" i="2"/>
  <c r="X67" i="2"/>
  <c r="X65" i="2"/>
  <c r="X63" i="2"/>
  <c r="X62" i="2"/>
  <c r="X61" i="2"/>
  <c r="X60" i="2"/>
  <c r="X59" i="2"/>
  <c r="X58" i="2"/>
  <c r="Z57" i="2"/>
  <c r="X56" i="2"/>
  <c r="X55" i="2"/>
  <c r="X54" i="2"/>
  <c r="X53" i="2"/>
  <c r="T68" i="2"/>
  <c r="T57" i="2"/>
  <c r="T51" i="2"/>
  <c r="S69" i="2"/>
  <c r="S67" i="2"/>
  <c r="S65" i="2"/>
  <c r="S63" i="2"/>
  <c r="S62" i="2"/>
  <c r="S61" i="2"/>
  <c r="S60" i="2"/>
  <c r="S59" i="2"/>
  <c r="S58" i="2"/>
  <c r="U57" i="2"/>
  <c r="S56" i="2"/>
  <c r="S55" i="2"/>
  <c r="S54" i="2"/>
  <c r="T53" i="2"/>
  <c r="U53" i="2" s="1"/>
  <c r="S53" i="2"/>
  <c r="T63" i="2"/>
  <c r="O68" i="2"/>
  <c r="O57" i="2"/>
  <c r="O51" i="2"/>
  <c r="N69" i="2"/>
  <c r="N67" i="2"/>
  <c r="N65" i="2"/>
  <c r="N63" i="2"/>
  <c r="N62" i="2"/>
  <c r="N61" i="2"/>
  <c r="N60" i="2"/>
  <c r="N59" i="2"/>
  <c r="N58" i="2"/>
  <c r="P57" i="2"/>
  <c r="N56" i="2"/>
  <c r="N55" i="2"/>
  <c r="N54" i="2"/>
  <c r="O53" i="2"/>
  <c r="P53" i="2" s="1"/>
  <c r="N53" i="2"/>
  <c r="O63" i="2"/>
  <c r="J68" i="2"/>
  <c r="J57" i="2"/>
  <c r="K57" i="2" s="1"/>
  <c r="J51" i="2"/>
  <c r="J69" i="2"/>
  <c r="I69" i="2"/>
  <c r="I67" i="2"/>
  <c r="J66" i="2"/>
  <c r="I65" i="2"/>
  <c r="I63" i="2"/>
  <c r="I62" i="2"/>
  <c r="I61" i="2"/>
  <c r="J60" i="2"/>
  <c r="K60" i="2" s="1"/>
  <c r="I60" i="2"/>
  <c r="I59" i="2"/>
  <c r="I58" i="2"/>
  <c r="I56" i="2"/>
  <c r="I55" i="2"/>
  <c r="I54" i="2"/>
  <c r="J53" i="2"/>
  <c r="K53" i="2" s="1"/>
  <c r="I53" i="2"/>
  <c r="J63" i="2"/>
  <c r="E68" i="2"/>
  <c r="E57" i="2"/>
  <c r="F57" i="2" s="1"/>
  <c r="E51" i="2"/>
  <c r="E70" i="2" s="1"/>
  <c r="Y44" i="2"/>
  <c r="Y33" i="2"/>
  <c r="Y27" i="2"/>
  <c r="X45" i="2"/>
  <c r="X43" i="2"/>
  <c r="X41" i="2"/>
  <c r="X39" i="2"/>
  <c r="X38" i="2"/>
  <c r="X37" i="2"/>
  <c r="X36" i="2"/>
  <c r="X35" i="2"/>
  <c r="X34" i="2"/>
  <c r="Z33" i="2"/>
  <c r="X32" i="2"/>
  <c r="X31" i="2"/>
  <c r="X30" i="2"/>
  <c r="X29" i="2"/>
  <c r="Y39" i="2"/>
  <c r="T44" i="2"/>
  <c r="T33" i="2"/>
  <c r="U33" i="2" s="1"/>
  <c r="T27" i="2"/>
  <c r="T45" i="2"/>
  <c r="S45" i="2"/>
  <c r="S43" i="2"/>
  <c r="T42" i="2"/>
  <c r="S41" i="2"/>
  <c r="S39" i="2"/>
  <c r="S38" i="2"/>
  <c r="S37" i="2"/>
  <c r="T36" i="2"/>
  <c r="U36" i="2" s="1"/>
  <c r="S36" i="2"/>
  <c r="S35" i="2"/>
  <c r="S34" i="2"/>
  <c r="S32" i="2"/>
  <c r="S31" i="2"/>
  <c r="S30" i="2"/>
  <c r="T29" i="2"/>
  <c r="U29" i="2" s="1"/>
  <c r="S29" i="2"/>
  <c r="T39" i="2"/>
  <c r="O44" i="2"/>
  <c r="O33" i="2"/>
  <c r="O27" i="2"/>
  <c r="O36" i="2" s="1"/>
  <c r="P36" i="2" s="1"/>
  <c r="N45" i="2"/>
  <c r="N43" i="2"/>
  <c r="N41" i="2"/>
  <c r="N39" i="2"/>
  <c r="N38" i="2"/>
  <c r="N37" i="2"/>
  <c r="N36" i="2"/>
  <c r="N35" i="2"/>
  <c r="N34" i="2"/>
  <c r="P33" i="2"/>
  <c r="N32" i="2"/>
  <c r="N31" i="2"/>
  <c r="N30" i="2"/>
  <c r="N29" i="2"/>
  <c r="J44" i="2"/>
  <c r="J33" i="2"/>
  <c r="K33" i="2" s="1"/>
  <c r="J27" i="2"/>
  <c r="J39" i="2" s="1"/>
  <c r="I45" i="2"/>
  <c r="I43" i="2"/>
  <c r="I41" i="2"/>
  <c r="I39" i="2"/>
  <c r="I38" i="2"/>
  <c r="I37" i="2"/>
  <c r="I36" i="2"/>
  <c r="I35" i="2"/>
  <c r="I34" i="2"/>
  <c r="I32" i="2"/>
  <c r="I31" i="2"/>
  <c r="I30" i="2"/>
  <c r="J29" i="2"/>
  <c r="K29" i="2" s="1"/>
  <c r="I29" i="2"/>
  <c r="E66" i="2"/>
  <c r="E60" i="2"/>
  <c r="F60" i="2" s="1"/>
  <c r="E54" i="2"/>
  <c r="D117" i="2"/>
  <c r="D115" i="2"/>
  <c r="D113" i="2"/>
  <c r="D111" i="2"/>
  <c r="D110" i="2"/>
  <c r="D109" i="2"/>
  <c r="D108" i="2"/>
  <c r="D107" i="2"/>
  <c r="D106" i="2"/>
  <c r="D104" i="2"/>
  <c r="D103" i="2"/>
  <c r="D102" i="2"/>
  <c r="D101" i="2"/>
  <c r="D93" i="2"/>
  <c r="D91" i="2"/>
  <c r="D89" i="2"/>
  <c r="D87" i="2"/>
  <c r="D86" i="2"/>
  <c r="D85" i="2"/>
  <c r="D84" i="2"/>
  <c r="D83" i="2"/>
  <c r="D82" i="2"/>
  <c r="D80" i="2"/>
  <c r="D79" i="2"/>
  <c r="D78" i="2"/>
  <c r="D77" i="2"/>
  <c r="D69" i="2"/>
  <c r="D67" i="2"/>
  <c r="D65" i="2"/>
  <c r="D63" i="2"/>
  <c r="D62" i="2"/>
  <c r="D61" i="2"/>
  <c r="D60" i="2"/>
  <c r="D59" i="2"/>
  <c r="D58" i="2"/>
  <c r="D56" i="2"/>
  <c r="D55" i="2"/>
  <c r="D54" i="2"/>
  <c r="D53" i="2"/>
  <c r="E53" i="2"/>
  <c r="F53" i="2" s="1"/>
  <c r="E44" i="2"/>
  <c r="E33" i="2"/>
  <c r="E43" i="2"/>
  <c r="E39" i="2"/>
  <c r="E35" i="2"/>
  <c r="F35" i="2" s="1"/>
  <c r="E30" i="2"/>
  <c r="F33" i="2"/>
  <c r="E27" i="2"/>
  <c r="E42" i="2" s="1"/>
  <c r="D45" i="2"/>
  <c r="D43" i="2"/>
  <c r="D41" i="2"/>
  <c r="D39" i="2"/>
  <c r="D38" i="2"/>
  <c r="D37" i="2"/>
  <c r="D36" i="2"/>
  <c r="D35" i="2"/>
  <c r="D34" i="2"/>
  <c r="D32" i="2"/>
  <c r="D31" i="2"/>
  <c r="D30" i="2"/>
  <c r="D29" i="2"/>
  <c r="Y20" i="2"/>
  <c r="Y9" i="2"/>
  <c r="Z9" i="2" s="1"/>
  <c r="Y3" i="2"/>
  <c r="X21" i="2"/>
  <c r="X19" i="2"/>
  <c r="X17" i="2"/>
  <c r="X15" i="2"/>
  <c r="X14" i="2"/>
  <c r="X13" i="2"/>
  <c r="X12" i="2"/>
  <c r="X11" i="2"/>
  <c r="X10" i="2"/>
  <c r="X8" i="2"/>
  <c r="X7" i="2"/>
  <c r="X6" i="2"/>
  <c r="X5" i="2"/>
  <c r="Y15" i="2"/>
  <c r="T20" i="2"/>
  <c r="T9" i="2"/>
  <c r="T3" i="2"/>
  <c r="T15" i="2" s="1"/>
  <c r="S21" i="2"/>
  <c r="S19" i="2"/>
  <c r="S17" i="2"/>
  <c r="S15" i="2"/>
  <c r="S14" i="2"/>
  <c r="S13" i="2"/>
  <c r="S12" i="2"/>
  <c r="S11" i="2"/>
  <c r="S10" i="2"/>
  <c r="U9" i="2"/>
  <c r="S8" i="2"/>
  <c r="S7" i="2"/>
  <c r="S6" i="2"/>
  <c r="S5" i="2"/>
  <c r="O20" i="2"/>
  <c r="O9" i="2"/>
  <c r="P9" i="2" s="1"/>
  <c r="O3" i="2"/>
  <c r="N21" i="2"/>
  <c r="N19" i="2"/>
  <c r="N17" i="2"/>
  <c r="N15" i="2"/>
  <c r="N14" i="2"/>
  <c r="N13" i="2"/>
  <c r="N12" i="2"/>
  <c r="N11" i="2"/>
  <c r="N10" i="2"/>
  <c r="N8" i="2"/>
  <c r="N7" i="2"/>
  <c r="N6" i="2"/>
  <c r="O5" i="2"/>
  <c r="P5" i="2" s="1"/>
  <c r="N5" i="2"/>
  <c r="O15" i="2"/>
  <c r="J20" i="2"/>
  <c r="J9" i="2"/>
  <c r="K9" i="2" s="1"/>
  <c r="J3" i="2"/>
  <c r="J15" i="2" s="1"/>
  <c r="I21" i="2"/>
  <c r="I19" i="2"/>
  <c r="I17" i="2"/>
  <c r="I15" i="2"/>
  <c r="I14" i="2"/>
  <c r="I13" i="2"/>
  <c r="I12" i="2"/>
  <c r="I11" i="2"/>
  <c r="I10" i="2"/>
  <c r="I8" i="2"/>
  <c r="I7" i="2"/>
  <c r="I6" i="2"/>
  <c r="I5" i="2"/>
  <c r="E18" i="2"/>
  <c r="E9" i="2"/>
  <c r="F9" i="2" s="1"/>
  <c r="E20" i="2"/>
  <c r="E3" i="2"/>
  <c r="E19" i="2" s="1"/>
  <c r="D21" i="2"/>
  <c r="D19" i="2"/>
  <c r="D17" i="2"/>
  <c r="D15" i="2"/>
  <c r="D14" i="2"/>
  <c r="D13" i="2"/>
  <c r="D12" i="2"/>
  <c r="D11" i="2"/>
  <c r="D10" i="2"/>
  <c r="D8" i="2"/>
  <c r="D7" i="2"/>
  <c r="D6" i="2"/>
  <c r="D5" i="2"/>
  <c r="I10" i="3"/>
  <c r="E110" i="2" l="1"/>
  <c r="F110" i="2" s="1"/>
  <c r="E114" i="2"/>
  <c r="E31" i="2"/>
  <c r="F31" i="2" s="1"/>
  <c r="E40" i="2"/>
  <c r="E45" i="2"/>
  <c r="E55" i="2"/>
  <c r="F55" i="2" s="1"/>
  <c r="E67" i="2"/>
  <c r="E89" i="2"/>
  <c r="E85" i="2"/>
  <c r="F85" i="2" s="1"/>
  <c r="E102" i="2"/>
  <c r="E111" i="2"/>
  <c r="E29" i="2"/>
  <c r="F29" i="2" s="1"/>
  <c r="E32" i="2"/>
  <c r="F32" i="2" s="1"/>
  <c r="E37" i="2"/>
  <c r="F37" i="2" s="1"/>
  <c r="E41" i="2"/>
  <c r="E77" i="2"/>
  <c r="F77" i="2" s="1"/>
  <c r="E101" i="2"/>
  <c r="F101" i="2" s="1"/>
  <c r="E58" i="2"/>
  <c r="F58" i="2" s="1"/>
  <c r="E63" i="2"/>
  <c r="E69" i="2"/>
  <c r="Y53" i="2"/>
  <c r="Z53" i="2" s="1"/>
  <c r="E93" i="2"/>
  <c r="E88" i="2"/>
  <c r="E84" i="2"/>
  <c r="F84" i="2" s="1"/>
  <c r="E79" i="2"/>
  <c r="F79" i="2" s="1"/>
  <c r="E103" i="2"/>
  <c r="F103" i="2" s="1"/>
  <c r="E108" i="2"/>
  <c r="F108" i="2" s="1"/>
  <c r="E112" i="2"/>
  <c r="E117" i="2"/>
  <c r="O42" i="2"/>
  <c r="E106" i="2"/>
  <c r="F106" i="2" s="1"/>
  <c r="E22" i="2"/>
  <c r="E36" i="2"/>
  <c r="F36" i="2" s="1"/>
  <c r="E62" i="2"/>
  <c r="F62" i="2" s="1"/>
  <c r="E80" i="2"/>
  <c r="F80" i="2" s="1"/>
  <c r="E107" i="2"/>
  <c r="F107" i="2" s="1"/>
  <c r="E115" i="2"/>
  <c r="E46" i="2"/>
  <c r="E34" i="2"/>
  <c r="F34" i="2" s="1"/>
  <c r="E38" i="2"/>
  <c r="F38" i="2" s="1"/>
  <c r="E59" i="2"/>
  <c r="F59" i="2" s="1"/>
  <c r="E64" i="2"/>
  <c r="O29" i="2"/>
  <c r="P29" i="2" s="1"/>
  <c r="O45" i="2"/>
  <c r="E91" i="2"/>
  <c r="E87" i="2"/>
  <c r="E83" i="2"/>
  <c r="F83" i="2" s="1"/>
  <c r="E104" i="2"/>
  <c r="F104" i="2" s="1"/>
  <c r="E109" i="2"/>
  <c r="F109" i="2" s="1"/>
  <c r="E113" i="2"/>
  <c r="Y79" i="2"/>
  <c r="Z79" i="2" s="1"/>
  <c r="Y82" i="2"/>
  <c r="Z82" i="2" s="1"/>
  <c r="Y86" i="2"/>
  <c r="Z86" i="2" s="1"/>
  <c r="Y89" i="2"/>
  <c r="Y94" i="2"/>
  <c r="Y78" i="2"/>
  <c r="Y85" i="2"/>
  <c r="Z85" i="2" s="1"/>
  <c r="Y88" i="2"/>
  <c r="Y91" i="2"/>
  <c r="Y84" i="2"/>
  <c r="Z84" i="2" s="1"/>
  <c r="Y90" i="2"/>
  <c r="Y93" i="2"/>
  <c r="Y80" i="2"/>
  <c r="Z80" i="2" s="1"/>
  <c r="Y83" i="2"/>
  <c r="Z83" i="2" s="1"/>
  <c r="T85" i="2"/>
  <c r="U85" i="2" s="1"/>
  <c r="T88" i="2"/>
  <c r="T91" i="2"/>
  <c r="T77" i="2"/>
  <c r="U77" i="2" s="1"/>
  <c r="T84" i="2"/>
  <c r="U84" i="2" s="1"/>
  <c r="T90" i="2"/>
  <c r="T93" i="2"/>
  <c r="T79" i="2"/>
  <c r="U79" i="2" s="1"/>
  <c r="T82" i="2"/>
  <c r="U82" i="2" s="1"/>
  <c r="T86" i="2"/>
  <c r="U86" i="2" s="1"/>
  <c r="T89" i="2"/>
  <c r="T94" i="2"/>
  <c r="T78" i="2"/>
  <c r="T80" i="2"/>
  <c r="U80" i="2" s="1"/>
  <c r="T83" i="2"/>
  <c r="U83" i="2" s="1"/>
  <c r="O79" i="2"/>
  <c r="P79" i="2" s="1"/>
  <c r="O82" i="2"/>
  <c r="P82" i="2" s="1"/>
  <c r="O86" i="2"/>
  <c r="P86" i="2" s="1"/>
  <c r="O89" i="2"/>
  <c r="O94" i="2"/>
  <c r="O78" i="2"/>
  <c r="O85" i="2"/>
  <c r="P85" i="2" s="1"/>
  <c r="O88" i="2"/>
  <c r="O91" i="2"/>
  <c r="O84" i="2"/>
  <c r="P84" i="2" s="1"/>
  <c r="O90" i="2"/>
  <c r="O93" i="2"/>
  <c r="O80" i="2"/>
  <c r="P80" i="2" s="1"/>
  <c r="O83" i="2"/>
  <c r="P83" i="2" s="1"/>
  <c r="J79" i="2"/>
  <c r="K79" i="2" s="1"/>
  <c r="J82" i="2"/>
  <c r="K82" i="2" s="1"/>
  <c r="J86" i="2"/>
  <c r="K86" i="2" s="1"/>
  <c r="J89" i="2"/>
  <c r="J94" i="2"/>
  <c r="J78" i="2"/>
  <c r="J85" i="2"/>
  <c r="K85" i="2" s="1"/>
  <c r="J88" i="2"/>
  <c r="J91" i="2"/>
  <c r="J77" i="2"/>
  <c r="K77" i="2" s="1"/>
  <c r="J84" i="2"/>
  <c r="K84" i="2" s="1"/>
  <c r="J90" i="2"/>
  <c r="J93" i="2"/>
  <c r="J80" i="2"/>
  <c r="K80" i="2" s="1"/>
  <c r="J83" i="2"/>
  <c r="K83" i="2" s="1"/>
  <c r="Y63" i="2"/>
  <c r="Y60" i="2"/>
  <c r="Z60" i="2" s="1"/>
  <c r="Y66" i="2"/>
  <c r="Y55" i="2"/>
  <c r="Z55" i="2" s="1"/>
  <c r="Y58" i="2"/>
  <c r="Z58" i="2" s="1"/>
  <c r="Y62" i="2"/>
  <c r="Z62" i="2" s="1"/>
  <c r="Y65" i="2"/>
  <c r="Y70" i="2"/>
  <c r="Y54" i="2"/>
  <c r="Y61" i="2"/>
  <c r="Z61" i="2" s="1"/>
  <c r="Y64" i="2"/>
  <c r="Y67" i="2"/>
  <c r="Y56" i="2"/>
  <c r="Z56" i="2" s="1"/>
  <c r="Y59" i="2"/>
  <c r="Z59" i="2" s="1"/>
  <c r="T55" i="2"/>
  <c r="U55" i="2" s="1"/>
  <c r="T58" i="2"/>
  <c r="U58" i="2" s="1"/>
  <c r="T62" i="2"/>
  <c r="U62" i="2" s="1"/>
  <c r="T65" i="2"/>
  <c r="T70" i="2"/>
  <c r="T54" i="2"/>
  <c r="T61" i="2"/>
  <c r="U61" i="2" s="1"/>
  <c r="T64" i="2"/>
  <c r="T67" i="2"/>
  <c r="T60" i="2"/>
  <c r="U60" i="2" s="1"/>
  <c r="T66" i="2"/>
  <c r="T69" i="2"/>
  <c r="T56" i="2"/>
  <c r="U56" i="2" s="1"/>
  <c r="T59" i="2"/>
  <c r="U59" i="2" s="1"/>
  <c r="O55" i="2"/>
  <c r="P55" i="2" s="1"/>
  <c r="O58" i="2"/>
  <c r="P58" i="2" s="1"/>
  <c r="O62" i="2"/>
  <c r="P62" i="2" s="1"/>
  <c r="O65" i="2"/>
  <c r="O70" i="2"/>
  <c r="O54" i="2"/>
  <c r="O61" i="2"/>
  <c r="P61" i="2" s="1"/>
  <c r="O64" i="2"/>
  <c r="O67" i="2"/>
  <c r="O60" i="2"/>
  <c r="P60" i="2" s="1"/>
  <c r="O66" i="2"/>
  <c r="O69" i="2"/>
  <c r="O56" i="2"/>
  <c r="P56" i="2" s="1"/>
  <c r="O59" i="2"/>
  <c r="P59" i="2" s="1"/>
  <c r="J55" i="2"/>
  <c r="K55" i="2" s="1"/>
  <c r="J58" i="2"/>
  <c r="K58" i="2" s="1"/>
  <c r="J62" i="2"/>
  <c r="K62" i="2" s="1"/>
  <c r="J65" i="2"/>
  <c r="J70" i="2"/>
  <c r="J54" i="2"/>
  <c r="J61" i="2"/>
  <c r="K61" i="2" s="1"/>
  <c r="J64" i="2"/>
  <c r="J67" i="2"/>
  <c r="J56" i="2"/>
  <c r="K56" i="2" s="1"/>
  <c r="J59" i="2"/>
  <c r="K59" i="2" s="1"/>
  <c r="E56" i="2"/>
  <c r="F56" i="2" s="1"/>
  <c r="E61" i="2"/>
  <c r="F61" i="2" s="1"/>
  <c r="E65" i="2"/>
  <c r="Y34" i="2"/>
  <c r="Z34" i="2" s="1"/>
  <c r="Y41" i="2"/>
  <c r="Y46" i="2"/>
  <c r="Y30" i="2"/>
  <c r="Y37" i="2"/>
  <c r="Z37" i="2" s="1"/>
  <c r="Y40" i="2"/>
  <c r="Y43" i="2"/>
  <c r="Y29" i="2"/>
  <c r="Z29" i="2" s="1"/>
  <c r="Y36" i="2"/>
  <c r="Z36" i="2" s="1"/>
  <c r="Y42" i="2"/>
  <c r="Y45" i="2"/>
  <c r="Y31" i="2"/>
  <c r="Z31" i="2" s="1"/>
  <c r="Y38" i="2"/>
  <c r="Z38" i="2" s="1"/>
  <c r="Y32" i="2"/>
  <c r="Z32" i="2" s="1"/>
  <c r="Y35" i="2"/>
  <c r="Z35" i="2" s="1"/>
  <c r="T31" i="2"/>
  <c r="U31" i="2" s="1"/>
  <c r="T34" i="2"/>
  <c r="U34" i="2" s="1"/>
  <c r="T38" i="2"/>
  <c r="U38" i="2" s="1"/>
  <c r="T41" i="2"/>
  <c r="T46" i="2"/>
  <c r="T30" i="2"/>
  <c r="T37" i="2"/>
  <c r="U37" i="2" s="1"/>
  <c r="T40" i="2"/>
  <c r="T43" i="2"/>
  <c r="T32" i="2"/>
  <c r="U32" i="2" s="1"/>
  <c r="T35" i="2"/>
  <c r="U35" i="2" s="1"/>
  <c r="O39" i="2"/>
  <c r="O31" i="2"/>
  <c r="P31" i="2" s="1"/>
  <c r="O34" i="2"/>
  <c r="P34" i="2" s="1"/>
  <c r="O38" i="2"/>
  <c r="P38" i="2" s="1"/>
  <c r="O41" i="2"/>
  <c r="O46" i="2"/>
  <c r="O30" i="2"/>
  <c r="O37" i="2"/>
  <c r="P37" i="2" s="1"/>
  <c r="O40" i="2"/>
  <c r="O43" i="2"/>
  <c r="O32" i="2"/>
  <c r="P32" i="2" s="1"/>
  <c r="O35" i="2"/>
  <c r="P35" i="2" s="1"/>
  <c r="J31" i="2"/>
  <c r="K31" i="2" s="1"/>
  <c r="J34" i="2"/>
  <c r="K34" i="2" s="1"/>
  <c r="J38" i="2"/>
  <c r="K38" i="2" s="1"/>
  <c r="J41" i="2"/>
  <c r="J46" i="2"/>
  <c r="J30" i="2"/>
  <c r="J37" i="2"/>
  <c r="K37" i="2" s="1"/>
  <c r="J40" i="2"/>
  <c r="J43" i="2"/>
  <c r="J36" i="2"/>
  <c r="K36" i="2" s="1"/>
  <c r="J42" i="2"/>
  <c r="J45" i="2"/>
  <c r="J32" i="2"/>
  <c r="K32" i="2" s="1"/>
  <c r="J35" i="2"/>
  <c r="K35" i="2" s="1"/>
  <c r="Y14" i="2"/>
  <c r="Z14" i="2" s="1"/>
  <c r="Y17" i="2"/>
  <c r="Y22" i="2"/>
  <c r="Y6" i="2"/>
  <c r="Y13" i="2"/>
  <c r="Z13" i="2" s="1"/>
  <c r="Y16" i="2"/>
  <c r="Y19" i="2"/>
  <c r="Y5" i="2"/>
  <c r="Z5" i="2" s="1"/>
  <c r="Y12" i="2"/>
  <c r="Z12" i="2" s="1"/>
  <c r="Y18" i="2"/>
  <c r="Y21" i="2"/>
  <c r="Y7" i="2"/>
  <c r="Z7" i="2" s="1"/>
  <c r="Y10" i="2"/>
  <c r="Z10" i="2" s="1"/>
  <c r="Y8" i="2"/>
  <c r="Z8" i="2" s="1"/>
  <c r="Y11" i="2"/>
  <c r="Z11" i="2" s="1"/>
  <c r="T7" i="2"/>
  <c r="U7" i="2" s="1"/>
  <c r="T14" i="2"/>
  <c r="U14" i="2" s="1"/>
  <c r="T17" i="2"/>
  <c r="T22" i="2"/>
  <c r="T6" i="2"/>
  <c r="T13" i="2"/>
  <c r="U13" i="2" s="1"/>
  <c r="T16" i="2"/>
  <c r="T19" i="2"/>
  <c r="T10" i="2"/>
  <c r="U10" i="2" s="1"/>
  <c r="T5" i="2"/>
  <c r="U5" i="2" s="1"/>
  <c r="T12" i="2"/>
  <c r="U12" i="2" s="1"/>
  <c r="T18" i="2"/>
  <c r="T21" i="2"/>
  <c r="T8" i="2"/>
  <c r="U8" i="2" s="1"/>
  <c r="T11" i="2"/>
  <c r="U11" i="2" s="1"/>
  <c r="O7" i="2"/>
  <c r="P7" i="2" s="1"/>
  <c r="O10" i="2"/>
  <c r="P10" i="2" s="1"/>
  <c r="O14" i="2"/>
  <c r="P14" i="2" s="1"/>
  <c r="O17" i="2"/>
  <c r="O22" i="2"/>
  <c r="O6" i="2"/>
  <c r="O13" i="2"/>
  <c r="P13" i="2" s="1"/>
  <c r="O16" i="2"/>
  <c r="O19" i="2"/>
  <c r="O12" i="2"/>
  <c r="P12" i="2" s="1"/>
  <c r="O18" i="2"/>
  <c r="O21" i="2"/>
  <c r="O8" i="2"/>
  <c r="P8" i="2" s="1"/>
  <c r="O11" i="2"/>
  <c r="P11" i="2" s="1"/>
  <c r="J10" i="2"/>
  <c r="K10" i="2" s="1"/>
  <c r="J14" i="2"/>
  <c r="K14" i="2" s="1"/>
  <c r="J17" i="2"/>
  <c r="J22" i="2"/>
  <c r="J13" i="2"/>
  <c r="K13" i="2" s="1"/>
  <c r="J16" i="2"/>
  <c r="J19" i="2"/>
  <c r="J5" i="2"/>
  <c r="K5" i="2" s="1"/>
  <c r="J12" i="2"/>
  <c r="K12" i="2" s="1"/>
  <c r="J18" i="2"/>
  <c r="J21" i="2"/>
  <c r="J7" i="2"/>
  <c r="K7" i="2" s="1"/>
  <c r="J6" i="2"/>
  <c r="J8" i="2"/>
  <c r="K8" i="2" s="1"/>
  <c r="J11" i="2"/>
  <c r="K11" i="2" s="1"/>
  <c r="E16" i="2"/>
  <c r="E7" i="2"/>
  <c r="F7" i="2" s="1"/>
  <c r="E12" i="2"/>
  <c r="F12" i="2" s="1"/>
  <c r="E17" i="2"/>
  <c r="E21" i="2"/>
  <c r="E6" i="2"/>
  <c r="E11" i="2"/>
  <c r="F11" i="2" s="1"/>
  <c r="E15" i="2"/>
  <c r="E5" i="2"/>
  <c r="F5" i="2" s="1"/>
  <c r="E10" i="2"/>
  <c r="F10" i="2" s="1"/>
  <c r="E14" i="2"/>
  <c r="F14" i="2" s="1"/>
  <c r="E8" i="2"/>
  <c r="F8" i="2" s="1"/>
  <c r="E13" i="2"/>
  <c r="F13" i="2" s="1"/>
  <c r="V27" i="1"/>
  <c r="O27" i="1"/>
  <c r="U27" i="1"/>
  <c r="I27" i="1"/>
  <c r="J27" i="1"/>
  <c r="J30" i="1" s="1"/>
  <c r="K27" i="1"/>
  <c r="L27" i="1"/>
  <c r="M27" i="1"/>
  <c r="N27" i="1"/>
  <c r="O28" i="1"/>
  <c r="O31" i="1" s="1"/>
  <c r="P27" i="1"/>
  <c r="Q27" i="1"/>
  <c r="R27" i="1"/>
  <c r="R30" i="1" s="1"/>
  <c r="S27" i="1"/>
  <c r="T27" i="1"/>
  <c r="C27" i="1"/>
  <c r="C30" i="1" s="1"/>
  <c r="H27" i="1"/>
  <c r="G27" i="1"/>
  <c r="F27" i="1"/>
  <c r="F28" i="1"/>
  <c r="E27" i="1"/>
  <c r="D27" i="1"/>
  <c r="T31" i="1"/>
  <c r="V30" i="1"/>
  <c r="U30" i="1"/>
  <c r="T30" i="1"/>
  <c r="S30" i="1"/>
  <c r="Q30" i="1"/>
  <c r="P30" i="1"/>
  <c r="O30" i="1"/>
  <c r="N30" i="1"/>
  <c r="M30" i="1"/>
  <c r="L30" i="1"/>
  <c r="K30" i="1"/>
  <c r="I30" i="1"/>
  <c r="H30" i="1"/>
  <c r="G30" i="1"/>
  <c r="F30" i="1"/>
  <c r="E30" i="1"/>
  <c r="D30" i="1"/>
  <c r="V28" i="1"/>
  <c r="V31" i="1" s="1"/>
  <c r="U28" i="1"/>
  <c r="U31" i="1" s="1"/>
  <c r="T28" i="1"/>
  <c r="S28" i="1"/>
  <c r="R28" i="1"/>
  <c r="R31" i="1" s="1"/>
  <c r="Q28" i="1"/>
  <c r="Q31" i="1" s="1"/>
  <c r="P28" i="1"/>
  <c r="P31" i="1" s="1"/>
  <c r="N28" i="1"/>
  <c r="N31" i="1" s="1"/>
  <c r="M28" i="1"/>
  <c r="M31" i="1" s="1"/>
  <c r="L28" i="1"/>
  <c r="L31" i="1" s="1"/>
  <c r="K28" i="1"/>
  <c r="K31" i="1" s="1"/>
  <c r="J28" i="1"/>
  <c r="J31" i="1" s="1"/>
  <c r="I28" i="1"/>
  <c r="I31" i="1" s="1"/>
  <c r="H28" i="1"/>
  <c r="H31" i="1" s="1"/>
  <c r="G28" i="1"/>
  <c r="G31" i="1" s="1"/>
  <c r="F31" i="1"/>
  <c r="E28" i="1"/>
  <c r="E31" i="1" s="1"/>
  <c r="D28" i="1"/>
  <c r="D31" i="1" s="1"/>
  <c r="C28" i="1"/>
  <c r="C31" i="1" s="1"/>
  <c r="B27" i="1"/>
  <c r="B30" i="1" s="1"/>
  <c r="F6" i="2" l="1"/>
  <c r="F16" i="2" s="1"/>
  <c r="F54" i="2"/>
  <c r="F64" i="2" s="1"/>
  <c r="F102" i="2"/>
  <c r="F112" i="2" s="1"/>
  <c r="F78" i="2"/>
  <c r="F91" i="2" s="1"/>
  <c r="F30" i="2"/>
  <c r="K6" i="2"/>
  <c r="K18" i="2" s="1"/>
  <c r="K54" i="2"/>
  <c r="K66" i="2" s="1"/>
  <c r="K30" i="2"/>
  <c r="K39" i="2" s="1"/>
  <c r="K78" i="2"/>
  <c r="K88" i="2" s="1"/>
  <c r="F66" i="2"/>
  <c r="P6" i="2"/>
  <c r="P18" i="2" s="1"/>
  <c r="P78" i="2"/>
  <c r="P89" i="2" s="1"/>
  <c r="P54" i="2"/>
  <c r="P67" i="2" s="1"/>
  <c r="P30" i="2"/>
  <c r="P42" i="2" s="1"/>
  <c r="U6" i="2"/>
  <c r="U18" i="2" s="1"/>
  <c r="U30" i="2"/>
  <c r="U39" i="2" s="1"/>
  <c r="U78" i="2"/>
  <c r="U91" i="2" s="1"/>
  <c r="U54" i="2"/>
  <c r="U64" i="2" s="1"/>
  <c r="Z6" i="2"/>
  <c r="Z17" i="2" s="1"/>
  <c r="Z78" i="2"/>
  <c r="Z89" i="2" s="1"/>
  <c r="Z54" i="2"/>
  <c r="Z68" i="2" s="1"/>
  <c r="Z30" i="2"/>
  <c r="Z41" i="2" s="1"/>
  <c r="F114" i="2"/>
  <c r="F113" i="2"/>
  <c r="F93" i="2"/>
  <c r="Z90" i="2"/>
  <c r="U94" i="2"/>
  <c r="P87" i="2"/>
  <c r="P88" i="2"/>
  <c r="K93" i="2"/>
  <c r="U67" i="2"/>
  <c r="U65" i="2"/>
  <c r="U69" i="2"/>
  <c r="U70" i="2"/>
  <c r="P63" i="2"/>
  <c r="K69" i="2"/>
  <c r="K67" i="2"/>
  <c r="K65" i="2"/>
  <c r="F65" i="2"/>
  <c r="F68" i="2"/>
  <c r="Z43" i="2"/>
  <c r="Z42" i="2"/>
  <c r="Z44" i="2"/>
  <c r="Z39" i="2"/>
  <c r="U43" i="2"/>
  <c r="U46" i="2"/>
  <c r="P46" i="2"/>
  <c r="P45" i="2"/>
  <c r="P43" i="2"/>
  <c r="K40" i="2"/>
  <c r="K41" i="2"/>
  <c r="Z19" i="2"/>
  <c r="Z20" i="2"/>
  <c r="Z15" i="2"/>
  <c r="U21" i="2"/>
  <c r="U20" i="2"/>
  <c r="U15" i="2"/>
  <c r="P19" i="2"/>
  <c r="P20" i="2"/>
  <c r="K21" i="2"/>
  <c r="K17" i="2"/>
  <c r="K20" i="2"/>
  <c r="K22" i="2"/>
  <c r="S31" i="1"/>
  <c r="B28" i="1"/>
  <c r="B31" i="1" s="1"/>
  <c r="V97" i="1"/>
  <c r="V98" i="1" s="1"/>
  <c r="U97" i="1"/>
  <c r="U98" i="1" s="1"/>
  <c r="T97" i="1"/>
  <c r="T98" i="1" s="1"/>
  <c r="S97" i="1"/>
  <c r="S98" i="1" s="1"/>
  <c r="R97" i="1"/>
  <c r="R98" i="1" s="1"/>
  <c r="Q97" i="1"/>
  <c r="Q98" i="1" s="1"/>
  <c r="P98" i="1"/>
  <c r="P97" i="1"/>
  <c r="O97" i="1"/>
  <c r="O98" i="1" s="1"/>
  <c r="N97" i="1"/>
  <c r="N98" i="1" s="1"/>
  <c r="M97" i="1"/>
  <c r="M98" i="1" s="1"/>
  <c r="L97" i="1"/>
  <c r="L98" i="1" s="1"/>
  <c r="K97" i="1"/>
  <c r="K98" i="1" s="1"/>
  <c r="J97" i="1"/>
  <c r="J98" i="1" s="1"/>
  <c r="I97" i="1"/>
  <c r="I98" i="1" s="1"/>
  <c r="H97" i="1"/>
  <c r="H98" i="1" s="1"/>
  <c r="G97" i="1"/>
  <c r="G98" i="1" s="1"/>
  <c r="F97" i="1"/>
  <c r="F98" i="1" s="1"/>
  <c r="E97" i="1"/>
  <c r="E98" i="1" s="1"/>
  <c r="D97" i="1"/>
  <c r="D98" i="1" s="1"/>
  <c r="C97" i="1"/>
  <c r="C98" i="1" s="1"/>
  <c r="B97" i="1"/>
  <c r="B98" i="1" s="1"/>
  <c r="V84" i="1"/>
  <c r="V78" i="1"/>
  <c r="V64" i="1"/>
  <c r="V57" i="1"/>
  <c r="V59" i="1" s="1"/>
  <c r="V61" i="1" s="1"/>
  <c r="V63" i="1" s="1"/>
  <c r="V55" i="1"/>
  <c r="V41" i="1"/>
  <c r="U69" i="1"/>
  <c r="U71" i="1" s="1"/>
  <c r="U63" i="1"/>
  <c r="U55" i="1"/>
  <c r="U84" i="1"/>
  <c r="U78" i="1"/>
  <c r="U64" i="1"/>
  <c r="U43" i="1"/>
  <c r="U41" i="1"/>
  <c r="T84" i="1"/>
  <c r="T64" i="1"/>
  <c r="T55" i="1"/>
  <c r="T41" i="1"/>
  <c r="T43" i="1" s="1"/>
  <c r="T45" i="1" s="1"/>
  <c r="T47" i="1" s="1"/>
  <c r="T49" i="1" s="1"/>
  <c r="T51" i="1" s="1"/>
  <c r="S84" i="1"/>
  <c r="S64" i="1"/>
  <c r="S55" i="1"/>
  <c r="S43" i="1"/>
  <c r="S45" i="1" s="1"/>
  <c r="S47" i="1" s="1"/>
  <c r="S49" i="1" s="1"/>
  <c r="S51" i="1" s="1"/>
  <c r="S41" i="1"/>
  <c r="R84" i="1"/>
  <c r="R64" i="1"/>
  <c r="R43" i="1"/>
  <c r="R41" i="1"/>
  <c r="R55" i="1" s="1"/>
  <c r="Q84" i="1"/>
  <c r="Q64" i="1"/>
  <c r="Q55" i="1"/>
  <c r="Q43" i="1"/>
  <c r="Q45" i="1" s="1"/>
  <c r="Q47" i="1" s="1"/>
  <c r="Q49" i="1" s="1"/>
  <c r="Q51" i="1" s="1"/>
  <c r="Q41" i="1"/>
  <c r="P84" i="1"/>
  <c r="P64" i="1"/>
  <c r="P41" i="1"/>
  <c r="P55" i="1" s="1"/>
  <c r="O84" i="1"/>
  <c r="O64" i="1"/>
  <c r="O41" i="1"/>
  <c r="O55" i="1" s="1"/>
  <c r="N84" i="1"/>
  <c r="N64" i="1"/>
  <c r="N43" i="1"/>
  <c r="N41" i="1"/>
  <c r="N55" i="1" s="1"/>
  <c r="M84" i="1"/>
  <c r="M64" i="1"/>
  <c r="M55" i="1"/>
  <c r="M43" i="1"/>
  <c r="M45" i="1" s="1"/>
  <c r="M47" i="1" s="1"/>
  <c r="M49" i="1" s="1"/>
  <c r="M51" i="1" s="1"/>
  <c r="M41" i="1"/>
  <c r="L84" i="1"/>
  <c r="L64" i="1"/>
  <c r="L41" i="1"/>
  <c r="L55" i="1" s="1"/>
  <c r="K84" i="1"/>
  <c r="K64" i="1"/>
  <c r="K41" i="1"/>
  <c r="K55" i="1" s="1"/>
  <c r="J84" i="1"/>
  <c r="J64" i="1"/>
  <c r="J41" i="1"/>
  <c r="J55" i="1" s="1"/>
  <c r="I55" i="1"/>
  <c r="I41" i="1"/>
  <c r="I84" i="1"/>
  <c r="I64" i="1"/>
  <c r="H84" i="1"/>
  <c r="H41" i="1"/>
  <c r="G84" i="1"/>
  <c r="G41" i="1"/>
  <c r="F84" i="1"/>
  <c r="F41" i="1"/>
  <c r="E84" i="1"/>
  <c r="E41" i="1"/>
  <c r="D84" i="1"/>
  <c r="D41" i="1"/>
  <c r="C84" i="1"/>
  <c r="C41" i="1"/>
  <c r="B84" i="1"/>
  <c r="B41" i="1"/>
  <c r="K16" i="2" l="1"/>
  <c r="K19" i="2"/>
  <c r="K45" i="2"/>
  <c r="P44" i="2"/>
  <c r="P39" i="2"/>
  <c r="U45" i="2"/>
  <c r="Z40" i="2"/>
  <c r="Z45" i="2"/>
  <c r="F69" i="2"/>
  <c r="U63" i="2"/>
  <c r="U66" i="2"/>
  <c r="P93" i="2"/>
  <c r="Z87" i="2"/>
  <c r="K15" i="2"/>
  <c r="K23" i="2" s="1"/>
  <c r="K46" i="2"/>
  <c r="P40" i="2"/>
  <c r="P48" i="2" s="1"/>
  <c r="P41" i="2"/>
  <c r="U42" i="2"/>
  <c r="Z46" i="2"/>
  <c r="U68" i="2"/>
  <c r="U72" i="2" s="1"/>
  <c r="P94" i="2"/>
  <c r="P16" i="2"/>
  <c r="U22" i="2"/>
  <c r="U17" i="2"/>
  <c r="Z18" i="2"/>
  <c r="K63" i="2"/>
  <c r="K71" i="2" s="1"/>
  <c r="P65" i="2"/>
  <c r="K90" i="2"/>
  <c r="Z92" i="2"/>
  <c r="Z93" i="2"/>
  <c r="F19" i="2"/>
  <c r="P17" i="2"/>
  <c r="P21" i="2"/>
  <c r="P22" i="2"/>
  <c r="P15" i="2"/>
  <c r="U16" i="2"/>
  <c r="U24" i="2" s="1"/>
  <c r="Z16" i="2"/>
  <c r="Z21" i="2"/>
  <c r="Z23" i="2" s="1"/>
  <c r="K64" i="2"/>
  <c r="K68" i="2"/>
  <c r="Z63" i="2"/>
  <c r="U93" i="2"/>
  <c r="F111" i="2"/>
  <c r="F116" i="2"/>
  <c r="F117" i="2"/>
  <c r="F42" i="2"/>
  <c r="F44" i="2"/>
  <c r="F43" i="2"/>
  <c r="F39" i="2"/>
  <c r="P70" i="2"/>
  <c r="P69" i="2"/>
  <c r="P71" i="2" s="1"/>
  <c r="Z70" i="2"/>
  <c r="Z69" i="2"/>
  <c r="K87" i="2"/>
  <c r="K92" i="2"/>
  <c r="U88" i="2"/>
  <c r="U89" i="2"/>
  <c r="F41" i="2"/>
  <c r="F46" i="2"/>
  <c r="F21" i="2"/>
  <c r="F20" i="2"/>
  <c r="F94" i="2"/>
  <c r="F89" i="2"/>
  <c r="F90" i="2"/>
  <c r="F87" i="2"/>
  <c r="Z64" i="2"/>
  <c r="K24" i="2"/>
  <c r="K42" i="2"/>
  <c r="K48" i="2" s="1"/>
  <c r="K43" i="2"/>
  <c r="U44" i="2"/>
  <c r="U48" i="2" s="1"/>
  <c r="U40" i="2"/>
  <c r="P66" i="2"/>
  <c r="P72" i="2" s="1"/>
  <c r="P64" i="2"/>
  <c r="Z66" i="2"/>
  <c r="Z72" i="2" s="1"/>
  <c r="Z65" i="2"/>
  <c r="K89" i="2"/>
  <c r="K94" i="2"/>
  <c r="P90" i="2"/>
  <c r="P91" i="2"/>
  <c r="U87" i="2"/>
  <c r="U95" i="2" s="1"/>
  <c r="U90" i="2"/>
  <c r="Z94" i="2"/>
  <c r="Z96" i="2" s="1"/>
  <c r="Z88" i="2"/>
  <c r="F45" i="2"/>
  <c r="F22" i="2"/>
  <c r="F15" i="2"/>
  <c r="F23" i="2" s="1"/>
  <c r="Z67" i="2"/>
  <c r="F40" i="2"/>
  <c r="F48" i="2" s="1"/>
  <c r="U19" i="2"/>
  <c r="Z22" i="2"/>
  <c r="Z24" i="2" s="1"/>
  <c r="K44" i="2"/>
  <c r="U41" i="2"/>
  <c r="K70" i="2"/>
  <c r="P68" i="2"/>
  <c r="K91" i="2"/>
  <c r="P92" i="2"/>
  <c r="U92" i="2"/>
  <c r="Z91" i="2"/>
  <c r="Z95" i="2" s="1"/>
  <c r="F118" i="2"/>
  <c r="F88" i="2"/>
  <c r="F17" i="2"/>
  <c r="F18" i="2"/>
  <c r="F24" i="2" s="1"/>
  <c r="F115" i="2"/>
  <c r="F119" i="2" s="1"/>
  <c r="F70" i="2"/>
  <c r="F72" i="2" s="1"/>
  <c r="F63" i="2"/>
  <c r="F67" i="2"/>
  <c r="F92" i="2"/>
  <c r="K96" i="2"/>
  <c r="U71" i="2"/>
  <c r="Z47" i="2"/>
  <c r="Z48" i="2"/>
  <c r="U47" i="2"/>
  <c r="P47" i="2"/>
  <c r="K47" i="2"/>
  <c r="P24" i="2"/>
  <c r="V65" i="1"/>
  <c r="V43" i="1"/>
  <c r="V45" i="1" s="1"/>
  <c r="V47" i="1" s="1"/>
  <c r="V49" i="1" s="1"/>
  <c r="V51" i="1" s="1"/>
  <c r="V69" i="1"/>
  <c r="U57" i="1"/>
  <c r="U59" i="1" s="1"/>
  <c r="U61" i="1" s="1"/>
  <c r="U45" i="1"/>
  <c r="U47" i="1" s="1"/>
  <c r="U49" i="1" s="1"/>
  <c r="U51" i="1" s="1"/>
  <c r="U88" i="1" s="1"/>
  <c r="U73" i="1"/>
  <c r="U75" i="1" s="1"/>
  <c r="U77" i="1" s="1"/>
  <c r="U79" i="1" s="1"/>
  <c r="T57" i="1"/>
  <c r="S57" i="1"/>
  <c r="R57" i="1"/>
  <c r="R45" i="1"/>
  <c r="R47" i="1" s="1"/>
  <c r="R49" i="1" s="1"/>
  <c r="R51" i="1" s="1"/>
  <c r="Q57" i="1"/>
  <c r="P57" i="1"/>
  <c r="P43" i="1"/>
  <c r="P45" i="1" s="1"/>
  <c r="P47" i="1" s="1"/>
  <c r="P49" i="1" s="1"/>
  <c r="P51" i="1" s="1"/>
  <c r="O57" i="1"/>
  <c r="O43" i="1"/>
  <c r="O45" i="1"/>
  <c r="O47" i="1" s="1"/>
  <c r="O49" i="1" s="1"/>
  <c r="O51" i="1" s="1"/>
  <c r="N57" i="1"/>
  <c r="N45" i="1"/>
  <c r="N47" i="1" s="1"/>
  <c r="N49" i="1" s="1"/>
  <c r="N51" i="1" s="1"/>
  <c r="M57" i="1"/>
  <c r="L57" i="1"/>
  <c r="L43" i="1"/>
  <c r="L45" i="1"/>
  <c r="L47" i="1" s="1"/>
  <c r="L49" i="1" s="1"/>
  <c r="L51" i="1" s="1"/>
  <c r="K57" i="1"/>
  <c r="K59" i="1" s="1"/>
  <c r="K61" i="1" s="1"/>
  <c r="K43" i="1"/>
  <c r="K45" i="1"/>
  <c r="K47" i="1" s="1"/>
  <c r="K49" i="1" s="1"/>
  <c r="K51" i="1" s="1"/>
  <c r="J59" i="1"/>
  <c r="J61" i="1" s="1"/>
  <c r="J57" i="1"/>
  <c r="J43" i="1"/>
  <c r="J45" i="1"/>
  <c r="J47" i="1" s="1"/>
  <c r="J49" i="1" s="1"/>
  <c r="J51" i="1" s="1"/>
  <c r="I59" i="1"/>
  <c r="I61" i="1" s="1"/>
  <c r="I63" i="1" s="1"/>
  <c r="I65" i="1" s="1"/>
  <c r="I57" i="1"/>
  <c r="I43" i="1"/>
  <c r="I45" i="1" s="1"/>
  <c r="I47" i="1" s="1"/>
  <c r="I49" i="1" s="1"/>
  <c r="H43" i="1"/>
  <c r="H45" i="1"/>
  <c r="H47" i="1" s="1"/>
  <c r="G43" i="1"/>
  <c r="F45" i="1"/>
  <c r="F47" i="1" s="1"/>
  <c r="F43" i="1"/>
  <c r="E45" i="1"/>
  <c r="E47" i="1" s="1"/>
  <c r="E43" i="1"/>
  <c r="D43" i="1"/>
  <c r="C45" i="1"/>
  <c r="C47" i="1" s="1"/>
  <c r="C43" i="1"/>
  <c r="B43" i="1"/>
  <c r="P95" i="2" l="1"/>
  <c r="P23" i="2"/>
  <c r="P96" i="2"/>
  <c r="K72" i="2"/>
  <c r="U23" i="2"/>
  <c r="F47" i="2"/>
  <c r="F120" i="2"/>
  <c r="K95" i="2"/>
  <c r="F96" i="2"/>
  <c r="U96" i="2"/>
  <c r="F71" i="2"/>
  <c r="Z71" i="2"/>
  <c r="F95" i="2"/>
  <c r="B86" i="1"/>
  <c r="V71" i="1"/>
  <c r="V73" i="1"/>
  <c r="V75" i="1" s="1"/>
  <c r="U65" i="1"/>
  <c r="T59" i="1"/>
  <c r="T61" i="1" s="1"/>
  <c r="T63" i="1" s="1"/>
  <c r="T65" i="1" s="1"/>
  <c r="T87" i="1" s="1"/>
  <c r="S59" i="1"/>
  <c r="S61" i="1" s="1"/>
  <c r="S63" i="1" s="1"/>
  <c r="S65" i="1" s="1"/>
  <c r="S87" i="1" s="1"/>
  <c r="R59" i="1"/>
  <c r="R61" i="1" s="1"/>
  <c r="R63" i="1" s="1"/>
  <c r="R65" i="1" s="1"/>
  <c r="R87" i="1" s="1"/>
  <c r="Q63" i="1"/>
  <c r="Q65" i="1" s="1"/>
  <c r="Q87" i="1" s="1"/>
  <c r="Q59" i="1"/>
  <c r="Q61" i="1" s="1"/>
  <c r="P59" i="1"/>
  <c r="P61" i="1" s="1"/>
  <c r="P63" i="1" s="1"/>
  <c r="P65" i="1" s="1"/>
  <c r="P87" i="1" s="1"/>
  <c r="O59" i="1"/>
  <c r="O61" i="1" s="1"/>
  <c r="O63" i="1" s="1"/>
  <c r="O65" i="1" s="1"/>
  <c r="O87" i="1" s="1"/>
  <c r="N59" i="1"/>
  <c r="N61" i="1" s="1"/>
  <c r="N63" i="1" s="1"/>
  <c r="N65" i="1" s="1"/>
  <c r="N87" i="1" s="1"/>
  <c r="M59" i="1"/>
  <c r="M61" i="1" s="1"/>
  <c r="M63" i="1" s="1"/>
  <c r="M65" i="1" s="1"/>
  <c r="M87" i="1" s="1"/>
  <c r="L59" i="1"/>
  <c r="L61" i="1" s="1"/>
  <c r="L63" i="1" s="1"/>
  <c r="L65" i="1" s="1"/>
  <c r="L87" i="1" s="1"/>
  <c r="K63" i="1"/>
  <c r="K65" i="1" s="1"/>
  <c r="K87" i="1" s="1"/>
  <c r="J63" i="1"/>
  <c r="J65" i="1" s="1"/>
  <c r="J87" i="1" s="1"/>
  <c r="B89" i="1"/>
  <c r="I51" i="1"/>
  <c r="H49" i="1"/>
  <c r="H51" i="1" s="1"/>
  <c r="H86" i="1" s="1"/>
  <c r="G45" i="1"/>
  <c r="G47" i="1" s="1"/>
  <c r="G49" i="1" s="1"/>
  <c r="G51" i="1" s="1"/>
  <c r="G86" i="1" s="1"/>
  <c r="F49" i="1"/>
  <c r="F51" i="1" s="1"/>
  <c r="F86" i="1" s="1"/>
  <c r="E49" i="1"/>
  <c r="E51" i="1" s="1"/>
  <c r="E86" i="1" s="1"/>
  <c r="D45" i="1"/>
  <c r="D47" i="1" s="1"/>
  <c r="D49" i="1" s="1"/>
  <c r="D51" i="1" s="1"/>
  <c r="D86" i="1" s="1"/>
  <c r="C49" i="1"/>
  <c r="C51" i="1" s="1"/>
  <c r="C86" i="1" s="1"/>
  <c r="B45" i="1"/>
  <c r="B47" i="1" s="1"/>
  <c r="B49" i="1" s="1"/>
  <c r="B51" i="1" s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B21" i="1"/>
  <c r="B91" i="1" l="1"/>
  <c r="B94" i="1" s="1"/>
  <c r="B7" i="1" s="1"/>
  <c r="B9" i="1" s="1"/>
  <c r="B11" i="1" s="1"/>
  <c r="B13" i="1" s="1"/>
  <c r="B26" i="1" s="1"/>
  <c r="B100" i="1"/>
  <c r="V87" i="1"/>
  <c r="U87" i="1"/>
  <c r="T86" i="1"/>
  <c r="T89" i="1" s="1"/>
  <c r="S86" i="1"/>
  <c r="R86" i="1"/>
  <c r="R89" i="1" s="1"/>
  <c r="K86" i="1"/>
  <c r="O86" i="1"/>
  <c r="O89" i="1" s="1"/>
  <c r="I86" i="1"/>
  <c r="V86" i="1"/>
  <c r="U86" i="1"/>
  <c r="U89" i="1" s="1"/>
  <c r="M86" i="1"/>
  <c r="M89" i="1" s="1"/>
  <c r="L86" i="1"/>
  <c r="L89" i="1" s="1"/>
  <c r="J86" i="1"/>
  <c r="J89" i="1" s="1"/>
  <c r="Q86" i="1"/>
  <c r="Q89" i="1" s="1"/>
  <c r="P86" i="1"/>
  <c r="N86" i="1"/>
  <c r="N89" i="1" s="1"/>
  <c r="K89" i="1"/>
  <c r="I87" i="1"/>
  <c r="P89" i="1"/>
  <c r="S89" i="1"/>
  <c r="V77" i="1"/>
  <c r="V79" i="1" s="1"/>
  <c r="V88" i="1" s="1"/>
  <c r="V89" i="1" s="1"/>
  <c r="G89" i="1"/>
  <c r="H89" i="1"/>
  <c r="F89" i="1"/>
  <c r="E89" i="1"/>
  <c r="D89" i="1"/>
  <c r="C89" i="1"/>
  <c r="B18" i="1" l="1"/>
  <c r="B19" i="1" s="1"/>
  <c r="B22" i="1" s="1"/>
  <c r="I89" i="1"/>
  <c r="J91" i="1"/>
  <c r="J94" i="1" s="1"/>
  <c r="J7" i="1" s="1"/>
  <c r="J9" i="1" s="1"/>
  <c r="J11" i="1" s="1"/>
  <c r="J13" i="1" s="1"/>
  <c r="J100" i="1"/>
  <c r="R91" i="1"/>
  <c r="R94" i="1" s="1"/>
  <c r="R7" i="1" s="1"/>
  <c r="R9" i="1" s="1"/>
  <c r="R11" i="1" s="1"/>
  <c r="R13" i="1" s="1"/>
  <c r="R100" i="1"/>
  <c r="N91" i="1"/>
  <c r="N94" i="1" s="1"/>
  <c r="N7" i="1" s="1"/>
  <c r="N9" i="1" s="1"/>
  <c r="N11" i="1" s="1"/>
  <c r="N13" i="1" s="1"/>
  <c r="N100" i="1"/>
  <c r="L91" i="1"/>
  <c r="L94" i="1" s="1"/>
  <c r="L7" i="1" s="1"/>
  <c r="L9" i="1" s="1"/>
  <c r="L11" i="1" s="1"/>
  <c r="L13" i="1" s="1"/>
  <c r="L100" i="1"/>
  <c r="M91" i="1"/>
  <c r="M94" i="1" s="1"/>
  <c r="M7" i="1" s="1"/>
  <c r="M9" i="1" s="1"/>
  <c r="M11" i="1" s="1"/>
  <c r="M13" i="1" s="1"/>
  <c r="M100" i="1"/>
  <c r="O91" i="1"/>
  <c r="O94" i="1" s="1"/>
  <c r="O7" i="1" s="1"/>
  <c r="O9" i="1" s="1"/>
  <c r="O11" i="1" s="1"/>
  <c r="O13" i="1" s="1"/>
  <c r="O100" i="1"/>
  <c r="I91" i="1"/>
  <c r="I94" i="1" s="1"/>
  <c r="I7" i="1" s="1"/>
  <c r="I9" i="1" s="1"/>
  <c r="I11" i="1" s="1"/>
  <c r="I13" i="1" s="1"/>
  <c r="I100" i="1"/>
  <c r="U91" i="1"/>
  <c r="U94" i="1" s="1"/>
  <c r="U7" i="1" s="1"/>
  <c r="U9" i="1" s="1"/>
  <c r="U11" i="1" s="1"/>
  <c r="U13" i="1" s="1"/>
  <c r="U100" i="1"/>
  <c r="E91" i="1"/>
  <c r="E94" i="1" s="1"/>
  <c r="E7" i="1" s="1"/>
  <c r="E9" i="1" s="1"/>
  <c r="E11" i="1" s="1"/>
  <c r="E13" i="1" s="1"/>
  <c r="E100" i="1"/>
  <c r="K91" i="1"/>
  <c r="K94" i="1" s="1"/>
  <c r="K7" i="1" s="1"/>
  <c r="K9" i="1" s="1"/>
  <c r="K11" i="1" s="1"/>
  <c r="K13" i="1" s="1"/>
  <c r="K100" i="1"/>
  <c r="Q91" i="1"/>
  <c r="Q94" i="1" s="1"/>
  <c r="Q7" i="1" s="1"/>
  <c r="Q9" i="1" s="1"/>
  <c r="Q11" i="1" s="1"/>
  <c r="Q13" i="1" s="1"/>
  <c r="Q100" i="1"/>
  <c r="F91" i="1"/>
  <c r="F94" i="1" s="1"/>
  <c r="F7" i="1" s="1"/>
  <c r="F9" i="1" s="1"/>
  <c r="F11" i="1" s="1"/>
  <c r="F13" i="1" s="1"/>
  <c r="F100" i="1"/>
  <c r="S91" i="1"/>
  <c r="S94" i="1" s="1"/>
  <c r="S7" i="1" s="1"/>
  <c r="S9" i="1" s="1"/>
  <c r="S11" i="1" s="1"/>
  <c r="S13" i="1" s="1"/>
  <c r="S100" i="1"/>
  <c r="T91" i="1"/>
  <c r="T94" i="1" s="1"/>
  <c r="T7" i="1" s="1"/>
  <c r="T9" i="1" s="1"/>
  <c r="T11" i="1" s="1"/>
  <c r="T13" i="1" s="1"/>
  <c r="T100" i="1"/>
  <c r="C91" i="1"/>
  <c r="C94" i="1" s="1"/>
  <c r="C7" i="1" s="1"/>
  <c r="C9" i="1" s="1"/>
  <c r="C11" i="1" s="1"/>
  <c r="C13" i="1" s="1"/>
  <c r="C100" i="1"/>
  <c r="H91" i="1"/>
  <c r="H94" i="1" s="1"/>
  <c r="H7" i="1" s="1"/>
  <c r="H9" i="1" s="1"/>
  <c r="H11" i="1" s="1"/>
  <c r="H13" i="1" s="1"/>
  <c r="H100" i="1"/>
  <c r="P91" i="1"/>
  <c r="P94" i="1" s="1"/>
  <c r="P7" i="1" s="1"/>
  <c r="P9" i="1" s="1"/>
  <c r="P11" i="1" s="1"/>
  <c r="P13" i="1" s="1"/>
  <c r="P100" i="1"/>
  <c r="D91" i="1"/>
  <c r="D94" i="1" s="1"/>
  <c r="D7" i="1" s="1"/>
  <c r="D9" i="1" s="1"/>
  <c r="D11" i="1" s="1"/>
  <c r="D13" i="1" s="1"/>
  <c r="D100" i="1"/>
  <c r="G91" i="1"/>
  <c r="G94" i="1" s="1"/>
  <c r="G7" i="1" s="1"/>
  <c r="G9" i="1" s="1"/>
  <c r="G11" i="1" s="1"/>
  <c r="G13" i="1" s="1"/>
  <c r="G100" i="1"/>
  <c r="V91" i="1"/>
  <c r="V94" i="1" s="1"/>
  <c r="V7" i="1" s="1"/>
  <c r="V9" i="1" s="1"/>
  <c r="V11" i="1" s="1"/>
  <c r="V13" i="1" s="1"/>
  <c r="V100" i="1"/>
  <c r="W13" i="1" l="1"/>
  <c r="V18" i="1"/>
  <c r="V19" i="1" s="1"/>
  <c r="V22" i="1" s="1"/>
  <c r="V23" i="1" s="1"/>
  <c r="V26" i="1"/>
  <c r="H26" i="1"/>
  <c r="H18" i="1"/>
  <c r="H19" i="1" s="1"/>
  <c r="H22" i="1" s="1"/>
  <c r="H23" i="1" s="1"/>
  <c r="F26" i="1"/>
  <c r="F18" i="1"/>
  <c r="F19" i="1" s="1"/>
  <c r="F22" i="1" s="1"/>
  <c r="F23" i="1" s="1"/>
  <c r="K18" i="1"/>
  <c r="K19" i="1" s="1"/>
  <c r="K22" i="1" s="1"/>
  <c r="K23" i="1" s="1"/>
  <c r="K26" i="1"/>
  <c r="U18" i="1"/>
  <c r="U19" i="1" s="1"/>
  <c r="U22" i="1" s="1"/>
  <c r="U23" i="1" s="1"/>
  <c r="U26" i="1"/>
  <c r="O18" i="1"/>
  <c r="O19" i="1" s="1"/>
  <c r="O22" i="1" s="1"/>
  <c r="O23" i="1" s="1"/>
  <c r="O26" i="1"/>
  <c r="L18" i="1"/>
  <c r="L19" i="1" s="1"/>
  <c r="L22" i="1" s="1"/>
  <c r="L23" i="1" s="1"/>
  <c r="L26" i="1"/>
  <c r="R18" i="1"/>
  <c r="R19" i="1" s="1"/>
  <c r="R22" i="1" s="1"/>
  <c r="R23" i="1" s="1"/>
  <c r="R26" i="1"/>
  <c r="G18" i="1"/>
  <c r="G19" i="1" s="1"/>
  <c r="G22" i="1" s="1"/>
  <c r="G23" i="1" s="1"/>
  <c r="G26" i="1"/>
  <c r="P26" i="1"/>
  <c r="P18" i="1"/>
  <c r="P19" i="1" s="1"/>
  <c r="P22" i="1" s="1"/>
  <c r="P23" i="1" s="1"/>
  <c r="C18" i="1"/>
  <c r="C19" i="1" s="1"/>
  <c r="C22" i="1" s="1"/>
  <c r="C23" i="1" s="1"/>
  <c r="C26" i="1"/>
  <c r="S18" i="1"/>
  <c r="S19" i="1" s="1"/>
  <c r="S22" i="1" s="1"/>
  <c r="S23" i="1" s="1"/>
  <c r="S26" i="1"/>
  <c r="D18" i="1"/>
  <c r="D19" i="1" s="1"/>
  <c r="D22" i="1" s="1"/>
  <c r="D23" i="1" s="1"/>
  <c r="D26" i="1"/>
  <c r="T18" i="1"/>
  <c r="T19" i="1" s="1"/>
  <c r="T22" i="1" s="1"/>
  <c r="T23" i="1" s="1"/>
  <c r="T26" i="1"/>
  <c r="Q26" i="1"/>
  <c r="Q18" i="1"/>
  <c r="Q19" i="1" s="1"/>
  <c r="Q22" i="1" s="1"/>
  <c r="Q23" i="1" s="1"/>
  <c r="E26" i="1"/>
  <c r="E18" i="1"/>
  <c r="E19" i="1" s="1"/>
  <c r="E22" i="1" s="1"/>
  <c r="E23" i="1" s="1"/>
  <c r="I18" i="1"/>
  <c r="I19" i="1" s="1"/>
  <c r="I22" i="1" s="1"/>
  <c r="I23" i="1" s="1"/>
  <c r="I26" i="1"/>
  <c r="M18" i="1"/>
  <c r="M19" i="1" s="1"/>
  <c r="M22" i="1" s="1"/>
  <c r="M23" i="1" s="1"/>
  <c r="M26" i="1"/>
  <c r="N18" i="1"/>
  <c r="N19" i="1" s="1"/>
  <c r="N22" i="1" s="1"/>
  <c r="N23" i="1" s="1"/>
  <c r="N26" i="1"/>
  <c r="J18" i="1"/>
  <c r="J19" i="1" s="1"/>
  <c r="J22" i="1" s="1"/>
  <c r="J23" i="1" s="1"/>
  <c r="J26" i="1"/>
</calcChain>
</file>

<file path=xl/sharedStrings.xml><?xml version="1.0" encoding="utf-8"?>
<sst xmlns="http://schemas.openxmlformats.org/spreadsheetml/2006/main" count="428" uniqueCount="109">
  <si>
    <t>DSI Cost</t>
  </si>
  <si>
    <t>Expense Month</t>
  </si>
  <si>
    <t xml:space="preserve"> </t>
  </si>
  <si>
    <t>August 2015</t>
  </si>
  <si>
    <t>September 2015</t>
  </si>
  <si>
    <t>October 2015</t>
  </si>
  <si>
    <t>November 2015</t>
  </si>
  <si>
    <t>December 2015</t>
  </si>
  <si>
    <t>January 2016</t>
  </si>
  <si>
    <t>Capital Costs</t>
  </si>
  <si>
    <t>WACC</t>
  </si>
  <si>
    <t>KPCo Share</t>
  </si>
  <si>
    <t>Return Component</t>
  </si>
  <si>
    <t>February 2016</t>
  </si>
  <si>
    <t>March 2016</t>
  </si>
  <si>
    <t>Total DSI Cost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</si>
  <si>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</si>
  <si>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</si>
  <si>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</si>
  <si>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</si>
  <si>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</si>
  <si>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</si>
  <si>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</si>
  <si>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</si>
  <si>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</si>
  <si>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</si>
  <si>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</si>
  <si>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Total KPCo cost of DSI</t>
  </si>
  <si>
    <t>Less Accumulated Depreciation</t>
  </si>
  <si>
    <t>Less ADFIT</t>
  </si>
  <si>
    <t>Retail Allocation</t>
  </si>
  <si>
    <t>Residential Allocation</t>
  </si>
  <si>
    <t>Less Residential DSI Costs</t>
  </si>
  <si>
    <t>Monthly Residential ES Costs Without DSI</t>
  </si>
  <si>
    <t>Monthly Revenues Used to Determine ES Factor</t>
  </si>
  <si>
    <t>ES Factor Without DSI Costs</t>
  </si>
  <si>
    <t>Non-Associated Allocation Factor</t>
  </si>
  <si>
    <t>Original ES Factor</t>
  </si>
  <si>
    <t>Non-Associated Utilities Costs Attributable to DSI</t>
  </si>
  <si>
    <t>As Filed OSS Margins</t>
  </si>
  <si>
    <t>Total OSS Margins net of DSI Costs</t>
  </si>
  <si>
    <t>kWh used to determine OSS Factor</t>
  </si>
  <si>
    <t>June 2015*</t>
  </si>
  <si>
    <t xml:space="preserve">* The ES and SS factors were pro-rated between the former Tariff ES and the new Tariff ES for these two months.  However, for simplicity purposes, this calculation includes the ES Rates under the new Tariff ES.  </t>
  </si>
  <si>
    <t>July 2015*</t>
  </si>
  <si>
    <t>SSC Factor Without DSI Costs</t>
  </si>
  <si>
    <t>As Filed SSC Factor</t>
  </si>
  <si>
    <t xml:space="preserve">Total Monthly Residential ES Costs </t>
  </si>
  <si>
    <t>Sodium Bicarbonate (5020028)</t>
  </si>
  <si>
    <t>Total</t>
  </si>
  <si>
    <t>Difference in Residential ES Factor</t>
  </si>
  <si>
    <t>Bonus Depreciation %</t>
  </si>
  <si>
    <t>Bonus Depreciation</t>
  </si>
  <si>
    <t>Remaining Depreciable Balance</t>
  </si>
  <si>
    <t>MACRS Depreciation</t>
  </si>
  <si>
    <t>Total Annual Tax Depreciation</t>
  </si>
  <si>
    <t>Tax Depreciation thru Month-End</t>
  </si>
  <si>
    <t>Months to Date</t>
  </si>
  <si>
    <t>Accum Book Depreciation</t>
  </si>
  <si>
    <t>Federal Income Tax Rate</t>
  </si>
  <si>
    <t>Accumulated Deferred FIT  ---  &lt;Debit&gt;  Credit</t>
  </si>
  <si>
    <t>Year 1 Vintage Plant Additions</t>
  </si>
  <si>
    <t>Year 2 Vintage Plant Additions</t>
  </si>
  <si>
    <t>Year 3 Vintage Plant Additions</t>
  </si>
  <si>
    <t>Accum MACRS Depreciation %</t>
  </si>
  <si>
    <t>Accum Tax Depreciation  ---  2015</t>
  </si>
  <si>
    <t>Accum Tax Depreciation  ---  2016</t>
  </si>
  <si>
    <t>Accum Tax Depreciation  ---  2017</t>
  </si>
  <si>
    <t xml:space="preserve">   Accum Tax Depreciation</t>
  </si>
  <si>
    <t>Book vs. Tax Depreciation</t>
  </si>
  <si>
    <t>Total Tax Cost</t>
  </si>
  <si>
    <t>% Tax Depreciated</t>
  </si>
  <si>
    <t>Plant Cost</t>
  </si>
  <si>
    <t>ADIT Summary Calculation</t>
  </si>
  <si>
    <t>Change in SSC Factor (Decrease)/Increase</t>
  </si>
  <si>
    <t>Billing Line Items</t>
  </si>
  <si>
    <t>Service Charge ($/customer)</t>
  </si>
  <si>
    <t>Energy Usage ($/kWh)</t>
  </si>
  <si>
    <t>Fuel Adj. Clause (/kWh)</t>
  </si>
  <si>
    <t>System Sales Clause (/kWh)</t>
  </si>
  <si>
    <t>Capacity Charge (/kWh)</t>
  </si>
  <si>
    <t>Purchased Power Adjustment (/dollar)</t>
  </si>
  <si>
    <t>Environmental Surcharge (/dollar)</t>
  </si>
  <si>
    <t>DSM Residential (/kWh)</t>
  </si>
  <si>
    <t>Home Energy Assistance Program (Residential only)</t>
  </si>
  <si>
    <t>Kentucky Economic Develop. Surcharge</t>
  </si>
  <si>
    <t>Big Sandy Retirement Rider Residential (/dollar)</t>
  </si>
  <si>
    <t>(1)</t>
  </si>
  <si>
    <t xml:space="preserve">    (3)</t>
  </si>
  <si>
    <t xml:space="preserve">   (4)                                                  </t>
  </si>
  <si>
    <t xml:space="preserve">  (6)</t>
  </si>
  <si>
    <t>March 2017</t>
  </si>
  <si>
    <t>April 2017</t>
  </si>
  <si>
    <t>Asset Transfer Rider (/dollar)</t>
  </si>
  <si>
    <t>Big Sandy 1 Operation Rider (/kwh)</t>
  </si>
  <si>
    <t>Billing Month</t>
  </si>
  <si>
    <t>kWh Used:</t>
  </si>
  <si>
    <t>Environmental Surcharge (/dollar) without DSI</t>
  </si>
  <si>
    <t>Total with DSI</t>
  </si>
  <si>
    <t>Total without DSI</t>
  </si>
  <si>
    <t>Billing Month:</t>
  </si>
  <si>
    <t>Monthly Charges</t>
  </si>
  <si>
    <t>Billing Amount</t>
  </si>
  <si>
    <t>System Sales Clause (/kWh) without DSI</t>
  </si>
  <si>
    <t>Ln No.</t>
  </si>
  <si>
    <t>Big Sandy Retirement Rider Residential (/dollar) using SSC Ln 5</t>
  </si>
  <si>
    <t>Purchased Power Adjustment (/dollar) using SSC Ln 5</t>
  </si>
  <si>
    <t>Asset Transfer Rider (/dollar) using SSC Ln 5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</si>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</sst>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0.0000%"/>
    <numFmt numFmtId="167" formatCode="0.000%"/>
    <numFmt numFmtId="168" formatCode="_(* #,##0_);_(* \(#,##0\);_(* &quot;-&quot;??_);_(@_)"/>
    <numFmt numFmtId="169" formatCode="_(&quot;$&quot;* #,##0.0000000_);_(&quot;$&quot;* \(#,##0.0000000\);_(&quot;$&quot;* &quot;-&quot;??_);_(@_)"/>
    <numFmt numFmtId="170" formatCode="mmmm"/>
    <numFmt numFmtId="171" formatCode="&quot;$&quot;#,##0.00000_);[Red]\(&quot;$&quot;#,##0.00000\)"/>
    <numFmt numFmtId="172" formatCode="&quot;$&quot;#,##0.0000000_);[Red]\(&quot;$&quot;#,##0.0000000\)"/>
    <numFmt numFmtId="173" formatCode="&quot;$&quot;#,##0.000000_);[Red]\(&quot;$&quot;#,##0.000000\)"/>
    <numFmt numFmtId="175" formatCode="0_);\(0\)"/>
    <numFmt numFmtId="177" formatCode="0.00000_);[Red]\(0.00000\)"/>
    <numFmt numFmtId="178" formatCode="0.0000000_);[Red]\(0.0000000\)"/>
    <numFmt numFmtId="179" formatCode="0.000000_);[Red]\(0.000000\)"/>
    <numFmt numFmtId="180" formatCode="0.00_);[Red]\(0.00\)"/>
    <numFmt numFmtId="181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i/>
      <sz val="11"/>
      <color rgb="FFFF0000"/>
      <name val="Calibri"/>
      <family val="2"/>
      <scheme val="minor"/>
    </font>
    <font>
      <b/>
      <i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0" fillId="0" borderId="0" xfId="0" applyFont="1"/>
    <xf numFmtId="9" fontId="0" fillId="0" borderId="0" xfId="2" applyFont="1"/>
    <xf numFmtId="164" fontId="0" fillId="0" borderId="0" xfId="2" applyNumberFormat="1" applyFont="1"/>
    <xf numFmtId="10" fontId="0" fillId="0" borderId="0" xfId="2" applyNumberFormat="1" applyFont="1"/>
    <xf numFmtId="165" fontId="0" fillId="0" borderId="0" xfId="1" applyNumberFormat="1" applyFont="1"/>
    <xf numFmtId="165" fontId="0" fillId="0" borderId="0" xfId="0" applyNumberFormat="1"/>
    <xf numFmtId="166" fontId="0" fillId="0" borderId="0" xfId="2" applyNumberFormat="1" applyFont="1"/>
    <xf numFmtId="0" fontId="2" fillId="0" borderId="0" xfId="0" applyFont="1"/>
    <xf numFmtId="165" fontId="2" fillId="0" borderId="0" xfId="1" applyNumberFormat="1" applyFont="1"/>
    <xf numFmtId="166" fontId="2" fillId="0" borderId="0" xfId="0" applyNumberFormat="1" applyFont="1"/>
    <xf numFmtId="165" fontId="2" fillId="0" borderId="0" xfId="0" applyNumberFormat="1" applyFont="1"/>
    <xf numFmtId="10" fontId="2" fillId="0" borderId="0" xfId="2" applyNumberFormat="1" applyFont="1"/>
    <xf numFmtId="9" fontId="2" fillId="0" borderId="0" xfId="2" applyFont="1"/>
    <xf numFmtId="0" fontId="0" fillId="2" borderId="3" xfId="0" applyFill="1" applyBorder="1"/>
    <xf numFmtId="0" fontId="0" fillId="0" borderId="0" xfId="0" applyBorder="1"/>
    <xf numFmtId="0" fontId="3" fillId="0" borderId="0" xfId="0" quotePrefix="1" applyFont="1" applyAlignment="1">
      <alignment horizontal="center"/>
    </xf>
    <xf numFmtId="17" fontId="3" fillId="0" borderId="0" xfId="0" quotePrefix="1" applyNumberFormat="1" applyFont="1" applyAlignment="1">
      <alignment horizontal="center"/>
    </xf>
    <xf numFmtId="16" fontId="3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quotePrefix="1" applyFont="1"/>
    <xf numFmtId="0" fontId="6" fillId="0" borderId="0" xfId="0" quotePrefix="1" applyFont="1"/>
    <xf numFmtId="0" fontId="3" fillId="3" borderId="0" xfId="0" quotePrefix="1" applyFont="1" applyFill="1" applyAlignment="1">
      <alignment horizontal="center"/>
    </xf>
    <xf numFmtId="17" fontId="3" fillId="3" borderId="0" xfId="0" quotePrefix="1" applyNumberFormat="1" applyFont="1" applyFill="1" applyAlignment="1">
      <alignment horizontal="center"/>
    </xf>
    <xf numFmtId="16" fontId="3" fillId="3" borderId="0" xfId="0" quotePrefix="1" applyNumberFormat="1" applyFont="1" applyFill="1" applyAlignment="1">
      <alignment horizontal="center"/>
    </xf>
    <xf numFmtId="165" fontId="0" fillId="3" borderId="0" xfId="0" applyNumberFormat="1" applyFill="1"/>
    <xf numFmtId="167" fontId="0" fillId="3" borderId="1" xfId="2" applyNumberFormat="1" applyFont="1" applyFill="1" applyBorder="1"/>
    <xf numFmtId="168" fontId="0" fillId="3" borderId="2" xfId="3" applyNumberFormat="1" applyFont="1" applyFill="1" applyBorder="1"/>
    <xf numFmtId="0" fontId="0" fillId="3" borderId="0" xfId="0" applyFill="1"/>
    <xf numFmtId="168" fontId="0" fillId="3" borderId="0" xfId="0" applyNumberFormat="1" applyFill="1"/>
    <xf numFmtId="41" fontId="0" fillId="3" borderId="1" xfId="0" applyNumberFormat="1" applyFill="1" applyBorder="1"/>
    <xf numFmtId="168" fontId="0" fillId="3" borderId="2" xfId="0" applyNumberFormat="1" applyFill="1" applyBorder="1"/>
    <xf numFmtId="167" fontId="6" fillId="3" borderId="0" xfId="2" applyNumberFormat="1" applyFont="1" applyFill="1"/>
    <xf numFmtId="168" fontId="0" fillId="3" borderId="0" xfId="0" applyNumberFormat="1" applyFill="1" applyBorder="1"/>
    <xf numFmtId="165" fontId="0" fillId="3" borderId="0" xfId="0" applyNumberFormat="1" applyFill="1" applyBorder="1"/>
    <xf numFmtId="41" fontId="0" fillId="3" borderId="4" xfId="1" applyNumberFormat="1" applyFont="1" applyFill="1" applyBorder="1"/>
    <xf numFmtId="41" fontId="0" fillId="3" borderId="0" xfId="0" applyNumberFormat="1" applyFill="1"/>
    <xf numFmtId="0" fontId="6" fillId="3" borderId="0" xfId="0" applyFont="1" applyFill="1" applyAlignment="1">
      <alignment horizontal="right"/>
    </xf>
    <xf numFmtId="167" fontId="5" fillId="3" borderId="0" xfId="2" applyNumberFormat="1" applyFont="1" applyFill="1"/>
    <xf numFmtId="0" fontId="3" fillId="4" borderId="0" xfId="0" quotePrefix="1" applyFont="1" applyFill="1" applyAlignment="1">
      <alignment horizontal="center"/>
    </xf>
    <xf numFmtId="165" fontId="0" fillId="4" borderId="0" xfId="0" applyNumberFormat="1" applyFill="1"/>
    <xf numFmtId="167" fontId="0" fillId="4" borderId="1" xfId="2" applyNumberFormat="1" applyFont="1" applyFill="1" applyBorder="1"/>
    <xf numFmtId="168" fontId="0" fillId="4" borderId="2" xfId="3" applyNumberFormat="1" applyFont="1" applyFill="1" applyBorder="1"/>
    <xf numFmtId="0" fontId="0" fillId="4" borderId="0" xfId="0" applyFill="1"/>
    <xf numFmtId="168" fontId="0" fillId="4" borderId="0" xfId="0" applyNumberFormat="1" applyFill="1"/>
    <xf numFmtId="41" fontId="0" fillId="4" borderId="1" xfId="0" applyNumberFormat="1" applyFill="1" applyBorder="1"/>
    <xf numFmtId="168" fontId="0" fillId="4" borderId="2" xfId="0" applyNumberFormat="1" applyFill="1" applyBorder="1"/>
    <xf numFmtId="167" fontId="6" fillId="4" borderId="0" xfId="2" applyNumberFormat="1" applyFont="1" applyFill="1"/>
    <xf numFmtId="168" fontId="0" fillId="4" borderId="0" xfId="0" applyNumberFormat="1" applyFill="1" applyBorder="1"/>
    <xf numFmtId="165" fontId="0" fillId="4" borderId="0" xfId="0" applyNumberFormat="1" applyFill="1" applyBorder="1"/>
    <xf numFmtId="41" fontId="0" fillId="4" borderId="4" xfId="1" applyNumberFormat="1" applyFont="1" applyFill="1" applyBorder="1"/>
    <xf numFmtId="41" fontId="0" fillId="4" borderId="0" xfId="0" applyNumberFormat="1" applyFill="1"/>
    <xf numFmtId="0" fontId="6" fillId="4" borderId="0" xfId="0" applyFont="1" applyFill="1" applyAlignment="1">
      <alignment horizontal="right"/>
    </xf>
    <xf numFmtId="167" fontId="5" fillId="4" borderId="0" xfId="2" applyNumberFormat="1" applyFont="1" applyFill="1"/>
    <xf numFmtId="0" fontId="0" fillId="2" borderId="5" xfId="0" applyFill="1" applyBorder="1"/>
    <xf numFmtId="167" fontId="0" fillId="3" borderId="0" xfId="2" applyNumberFormat="1" applyFont="1" applyFill="1" applyBorder="1"/>
    <xf numFmtId="168" fontId="0" fillId="3" borderId="0" xfId="3" applyNumberFormat="1" applyFont="1" applyFill="1" applyBorder="1"/>
    <xf numFmtId="0" fontId="0" fillId="3" borderId="0" xfId="0" applyFill="1" applyBorder="1"/>
    <xf numFmtId="41" fontId="0" fillId="3" borderId="0" xfId="0" applyNumberFormat="1" applyFill="1" applyBorder="1"/>
    <xf numFmtId="167" fontId="6" fillId="3" borderId="0" xfId="2" applyNumberFormat="1" applyFont="1" applyFill="1" applyBorder="1"/>
    <xf numFmtId="167" fontId="0" fillId="4" borderId="0" xfId="2" applyNumberFormat="1" applyFont="1" applyFill="1" applyBorder="1"/>
    <xf numFmtId="168" fontId="0" fillId="4" borderId="0" xfId="3" applyNumberFormat="1" applyFont="1" applyFill="1" applyBorder="1"/>
    <xf numFmtId="0" fontId="0" fillId="4" borderId="0" xfId="0" applyFill="1" applyBorder="1"/>
    <xf numFmtId="41" fontId="0" fillId="4" borderId="0" xfId="0" applyNumberFormat="1" applyFill="1" applyBorder="1"/>
    <xf numFmtId="167" fontId="6" fillId="4" borderId="0" xfId="2" applyNumberFormat="1" applyFont="1" applyFill="1" applyBorder="1"/>
    <xf numFmtId="168" fontId="0" fillId="0" borderId="0" xfId="3" applyNumberFormat="1" applyFont="1"/>
    <xf numFmtId="169" fontId="0" fillId="0" borderId="0" xfId="1" applyNumberFormat="1" applyFont="1"/>
    <xf numFmtId="169" fontId="2" fillId="0" borderId="0" xfId="0" applyNumberFormat="1" applyFont="1"/>
    <xf numFmtId="0" fontId="9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 wrapText="1"/>
    </xf>
    <xf numFmtId="175" fontId="10" fillId="0" borderId="13" xfId="0" applyNumberFormat="1" applyFont="1" applyFill="1" applyBorder="1" applyAlignment="1">
      <alignment horizontal="center" vertical="top"/>
    </xf>
    <xf numFmtId="177" fontId="8" fillId="0" borderId="3" xfId="0" applyNumberFormat="1" applyFont="1" applyFill="1" applyBorder="1" applyAlignment="1">
      <alignment wrapText="1"/>
    </xf>
    <xf numFmtId="178" fontId="8" fillId="0" borderId="3" xfId="0" applyNumberFormat="1" applyFont="1" applyFill="1" applyBorder="1" applyAlignment="1">
      <alignment wrapText="1"/>
    </xf>
    <xf numFmtId="179" fontId="8" fillId="0" borderId="3" xfId="0" applyNumberFormat="1" applyFont="1" applyFill="1" applyBorder="1" applyAlignment="1">
      <alignment wrapText="1"/>
    </xf>
    <xf numFmtId="180" fontId="8" fillId="0" borderId="3" xfId="0" applyNumberFormat="1" applyFont="1" applyFill="1" applyBorder="1" applyAlignment="1">
      <alignment wrapText="1"/>
    </xf>
    <xf numFmtId="177" fontId="8" fillId="0" borderId="14" xfId="0" applyNumberFormat="1" applyFont="1" applyFill="1" applyBorder="1" applyAlignment="1">
      <alignment wrapText="1"/>
    </xf>
    <xf numFmtId="178" fontId="8" fillId="0" borderId="14" xfId="0" applyNumberFormat="1" applyFont="1" applyFill="1" applyBorder="1" applyAlignment="1">
      <alignment wrapText="1"/>
    </xf>
    <xf numFmtId="177" fontId="8" fillId="0" borderId="13" xfId="0" applyNumberFormat="1" applyFont="1" applyFill="1" applyBorder="1" applyAlignment="1">
      <alignment wrapText="1"/>
    </xf>
    <xf numFmtId="178" fontId="8" fillId="0" borderId="13" xfId="0" applyNumberFormat="1" applyFont="1" applyFill="1" applyBorder="1" applyAlignment="1">
      <alignment wrapText="1"/>
    </xf>
    <xf numFmtId="178" fontId="0" fillId="0" borderId="3" xfId="0" applyNumberFormat="1" applyFont="1" applyFill="1" applyBorder="1" applyAlignment="1">
      <alignment wrapText="1"/>
    </xf>
    <xf numFmtId="179" fontId="0" fillId="0" borderId="3" xfId="0" applyNumberFormat="1" applyFont="1" applyFill="1" applyBorder="1" applyAlignment="1">
      <alignment wrapText="1"/>
    </xf>
    <xf numFmtId="0" fontId="7" fillId="0" borderId="3" xfId="0" quotePrefix="1" applyFont="1" applyFill="1" applyBorder="1" applyAlignment="1">
      <alignment wrapText="1"/>
    </xf>
    <xf numFmtId="0" fontId="7" fillId="0" borderId="3" xfId="0" quotePrefix="1" applyFont="1" applyFill="1" applyBorder="1"/>
    <xf numFmtId="0" fontId="7" fillId="0" borderId="3" xfId="0" quotePrefix="1" applyFont="1" applyFill="1" applyBorder="1" applyAlignment="1">
      <alignment horizontal="left" wrapText="1"/>
    </xf>
    <xf numFmtId="181" fontId="8" fillId="0" borderId="3" xfId="2" applyNumberFormat="1" applyFont="1" applyFill="1" applyBorder="1" applyAlignment="1">
      <alignment wrapText="1"/>
    </xf>
    <xf numFmtId="0" fontId="0" fillId="0" borderId="15" xfId="0" applyBorder="1"/>
    <xf numFmtId="0" fontId="0" fillId="0" borderId="16" xfId="0" applyBorder="1"/>
    <xf numFmtId="0" fontId="0" fillId="0" borderId="15" xfId="0" applyFont="1" applyBorder="1"/>
    <xf numFmtId="0" fontId="0" fillId="0" borderId="15" xfId="0" applyBorder="1" applyAlignment="1">
      <alignment vertical="center"/>
    </xf>
    <xf numFmtId="0" fontId="7" fillId="0" borderId="5" xfId="0" quotePrefix="1" applyFont="1" applyFill="1" applyBorder="1"/>
    <xf numFmtId="177" fontId="8" fillId="0" borderId="17" xfId="0" applyNumberFormat="1" applyFont="1" applyFill="1" applyBorder="1" applyAlignment="1">
      <alignment wrapText="1"/>
    </xf>
    <xf numFmtId="8" fontId="1" fillId="0" borderId="3" xfId="1" applyNumberFormat="1" applyBorder="1"/>
    <xf numFmtId="171" fontId="1" fillId="0" borderId="3" xfId="1" applyNumberFormat="1" applyBorder="1"/>
    <xf numFmtId="8" fontId="1" fillId="0" borderId="8" xfId="1" applyNumberFormat="1" applyBorder="1"/>
    <xf numFmtId="171" fontId="1" fillId="0" borderId="9" xfId="1" applyNumberFormat="1" applyBorder="1"/>
    <xf numFmtId="173" fontId="1" fillId="0" borderId="9" xfId="1" applyNumberFormat="1" applyBorder="1"/>
    <xf numFmtId="8" fontId="1" fillId="0" borderId="9" xfId="1" applyNumberFormat="1" applyBorder="1"/>
    <xf numFmtId="172" fontId="1" fillId="0" borderId="9" xfId="1" applyNumberFormat="1" applyBorder="1"/>
    <xf numFmtId="0" fontId="11" fillId="0" borderId="15" xfId="0" applyFont="1" applyBorder="1" applyAlignment="1">
      <alignment horizontal="right"/>
    </xf>
    <xf numFmtId="0" fontId="7" fillId="6" borderId="7" xfId="0" applyFont="1" applyFill="1" applyBorder="1" applyAlignment="1">
      <alignment horizontal="center"/>
    </xf>
    <xf numFmtId="0" fontId="0" fillId="6" borderId="10" xfId="0" applyFill="1" applyBorder="1"/>
    <xf numFmtId="8" fontId="7" fillId="6" borderId="7" xfId="0" applyNumberFormat="1" applyFont="1" applyFill="1" applyBorder="1"/>
    <xf numFmtId="0" fontId="12" fillId="8" borderId="18" xfId="0" applyFont="1" applyFill="1" applyBorder="1" applyAlignment="1">
      <alignment horizontal="center"/>
    </xf>
    <xf numFmtId="0" fontId="0" fillId="8" borderId="12" xfId="0" applyFill="1" applyBorder="1"/>
    <xf numFmtId="8" fontId="7" fillId="8" borderId="18" xfId="0" applyNumberFormat="1" applyFont="1" applyFill="1" applyBorder="1"/>
    <xf numFmtId="0" fontId="7" fillId="6" borderId="6" xfId="0" quotePrefix="1" applyFont="1" applyFill="1" applyBorder="1" applyAlignment="1">
      <alignment horizontal="center" vertical="center" wrapText="1"/>
    </xf>
    <xf numFmtId="170" fontId="7" fillId="6" borderId="8" xfId="0" quotePrefix="1" applyNumberFormat="1" applyFont="1" applyFill="1" applyBorder="1" applyAlignment="1">
      <alignment horizontal="center" vertical="center" wrapText="1"/>
    </xf>
    <xf numFmtId="17" fontId="7" fillId="6" borderId="7" xfId="0" quotePrefix="1" applyNumberFormat="1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vertical="center"/>
    </xf>
    <xf numFmtId="168" fontId="2" fillId="7" borderId="20" xfId="3" applyNumberFormat="1" applyFont="1" applyFill="1" applyBorder="1" applyAlignment="1">
      <alignment horizontal="left" vertical="center"/>
    </xf>
    <xf numFmtId="168" fontId="2" fillId="0" borderId="0" xfId="3" applyNumberFormat="1" applyFont="1" applyFill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0" xfId="0" applyAlignment="1">
      <alignment vertical="center"/>
    </xf>
    <xf numFmtId="0" fontId="2" fillId="6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17" fontId="2" fillId="5" borderId="6" xfId="0" quotePrefix="1" applyNumberFormat="1" applyFont="1" applyFill="1" applyBorder="1" applyAlignment="1">
      <alignment horizontal="center" vertical="center"/>
    </xf>
    <xf numFmtId="17" fontId="2" fillId="5" borderId="11" xfId="0" quotePrefix="1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8" fontId="2" fillId="7" borderId="7" xfId="0" applyNumberFormat="1" applyFont="1" applyFill="1" applyBorder="1" applyAlignment="1">
      <alignment horizontal="right" vertic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CC"/>
      <color rgb="FFFF9999"/>
      <color rgb="FFCCFF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101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6" sqref="A46"/>
    </sheetView>
  </sheetViews>
  <sheetFormatPr defaultRowHeight="15" x14ac:dyDescent="0.25"/>
  <cols>
    <col min="1" max="1" width="48.85546875" customWidth="1"/>
    <col min="2" max="22" width="17.7109375" customWidth="1"/>
    <col min="23" max="23" width="18.85546875" style="9" customWidth="1"/>
  </cols>
  <sheetData>
    <row r="1" spans="1:143" x14ac:dyDescent="0.25">
      <c r="A1" t="s">
        <v>0</v>
      </c>
    </row>
    <row r="4" spans="1:143" s="1" customFormat="1" x14ac:dyDescent="0.25">
      <c r="A4" s="2" t="s">
        <v>1</v>
      </c>
      <c r="B4" s="17" t="s">
        <v>42</v>
      </c>
      <c r="C4" s="18" t="s">
        <v>44</v>
      </c>
      <c r="D4" s="19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13</v>
      </c>
      <c r="K4" s="17" t="s">
        <v>14</v>
      </c>
      <c r="L4" s="17" t="s">
        <v>16</v>
      </c>
      <c r="M4" s="17" t="s">
        <v>17</v>
      </c>
      <c r="N4" s="17" t="s">
        <v>18</v>
      </c>
      <c r="O4" s="17" t="s">
        <v>19</v>
      </c>
      <c r="P4" s="17" t="s">
        <v>20</v>
      </c>
      <c r="Q4" s="17" t="s">
        <v>21</v>
      </c>
      <c r="R4" s="17" t="s">
        <v>22</v>
      </c>
      <c r="S4" s="17" t="s">
        <v>23</v>
      </c>
      <c r="T4" s="17" t="s">
        <v>24</v>
      </c>
      <c r="U4" s="17" t="s">
        <v>25</v>
      </c>
      <c r="V4" s="17" t="s">
        <v>26</v>
      </c>
      <c r="W4" s="20" t="s">
        <v>49</v>
      </c>
    </row>
    <row r="5" spans="1:143" x14ac:dyDescent="0.25">
      <c r="A5" t="s">
        <v>9</v>
      </c>
      <c r="B5" s="6">
        <v>121468654</v>
      </c>
      <c r="C5" s="6">
        <v>169307359</v>
      </c>
      <c r="D5" s="6">
        <v>194635329</v>
      </c>
      <c r="E5" s="6">
        <v>194789351</v>
      </c>
      <c r="F5" s="6">
        <v>218364238</v>
      </c>
      <c r="G5" s="6">
        <v>219538102</v>
      </c>
      <c r="H5" s="6">
        <v>220716679</v>
      </c>
      <c r="I5" s="6">
        <v>221049339</v>
      </c>
      <c r="J5" s="6">
        <v>221118112</v>
      </c>
      <c r="K5" s="6">
        <v>221668602</v>
      </c>
      <c r="L5" s="6">
        <v>221776887</v>
      </c>
      <c r="M5" s="6">
        <v>221235925</v>
      </c>
      <c r="N5" s="6">
        <v>221365604</v>
      </c>
      <c r="O5" s="6">
        <v>221371661</v>
      </c>
      <c r="P5" s="6">
        <v>221389679</v>
      </c>
      <c r="Q5" s="6">
        <v>221408183</v>
      </c>
      <c r="R5" s="6">
        <v>221422685</v>
      </c>
      <c r="S5" s="6">
        <v>222410771</v>
      </c>
      <c r="T5" s="6">
        <v>222410771</v>
      </c>
      <c r="U5" s="6">
        <v>222003899</v>
      </c>
      <c r="V5" s="6">
        <v>221971163</v>
      </c>
      <c r="W5" s="10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143" x14ac:dyDescent="0.25">
      <c r="A6" t="s">
        <v>28</v>
      </c>
      <c r="B6" s="6">
        <v>818525</v>
      </c>
      <c r="C6" s="6">
        <v>1397904</v>
      </c>
      <c r="D6" s="6">
        <v>1918294</v>
      </c>
      <c r="E6" s="6">
        <v>2251617</v>
      </c>
      <c r="F6" s="6">
        <v>2880267</v>
      </c>
      <c r="G6" s="6">
        <v>3291641</v>
      </c>
      <c r="H6" s="6">
        <v>3727362</v>
      </c>
      <c r="I6" s="6">
        <v>4177146</v>
      </c>
      <c r="J6" s="6">
        <v>4997995</v>
      </c>
      <c r="K6" s="6">
        <v>5850778</v>
      </c>
      <c r="L6" s="6">
        <v>6724680</v>
      </c>
      <c r="M6" s="6">
        <v>7566351</v>
      </c>
      <c r="N6" s="6">
        <v>8449404</v>
      </c>
      <c r="O6" s="6">
        <v>9406858</v>
      </c>
      <c r="P6" s="6">
        <v>10399929</v>
      </c>
      <c r="Q6" s="6">
        <v>11391853</v>
      </c>
      <c r="R6" s="6">
        <v>12447645</v>
      </c>
      <c r="S6" s="6">
        <v>13561349</v>
      </c>
      <c r="T6" s="6">
        <v>13561349</v>
      </c>
      <c r="U6" s="6">
        <v>15719706</v>
      </c>
      <c r="V6" s="6">
        <v>16865779</v>
      </c>
      <c r="W6" s="1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143" x14ac:dyDescent="0.25">
      <c r="A7" t="s">
        <v>29</v>
      </c>
      <c r="B7" s="6">
        <f t="shared" ref="B7:V7" si="0">B94</f>
        <v>10740592</v>
      </c>
      <c r="C7" s="6">
        <f t="shared" si="0"/>
        <v>17442323</v>
      </c>
      <c r="D7" s="6">
        <f t="shared" si="0"/>
        <v>22887582</v>
      </c>
      <c r="E7" s="6">
        <f t="shared" si="0"/>
        <v>25736765</v>
      </c>
      <c r="F7" s="6">
        <f t="shared" si="0"/>
        <v>32030871</v>
      </c>
      <c r="G7" s="6">
        <f t="shared" si="0"/>
        <v>35386155</v>
      </c>
      <c r="H7" s="6">
        <f t="shared" si="0"/>
        <v>38769296</v>
      </c>
      <c r="I7" s="6">
        <f t="shared" si="0"/>
        <v>38849269</v>
      </c>
      <c r="J7" s="6">
        <f t="shared" si="0"/>
        <v>38801450</v>
      </c>
      <c r="K7" s="6">
        <f t="shared" si="0"/>
        <v>38766401</v>
      </c>
      <c r="L7" s="6">
        <f t="shared" si="0"/>
        <v>38713855</v>
      </c>
      <c r="M7" s="6">
        <f t="shared" si="0"/>
        <v>38626751</v>
      </c>
      <c r="N7" s="6">
        <f t="shared" si="0"/>
        <v>38569676</v>
      </c>
      <c r="O7" s="6">
        <f t="shared" si="0"/>
        <v>38477390</v>
      </c>
      <c r="P7" s="6">
        <f t="shared" si="0"/>
        <v>38374271</v>
      </c>
      <c r="Q7" s="6">
        <f t="shared" si="0"/>
        <v>38272164</v>
      </c>
      <c r="R7" s="6">
        <f t="shared" si="0"/>
        <v>38147657</v>
      </c>
      <c r="S7" s="6">
        <f t="shared" si="0"/>
        <v>38165357</v>
      </c>
      <c r="T7" s="6">
        <f t="shared" si="0"/>
        <v>38423352</v>
      </c>
      <c r="U7" s="6">
        <f t="shared" si="0"/>
        <v>37878473</v>
      </c>
      <c r="V7" s="6">
        <f t="shared" si="0"/>
        <v>37686902</v>
      </c>
      <c r="W7" s="10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143" s="3" customFormat="1" x14ac:dyDescent="0.25">
      <c r="A8" s="3" t="s">
        <v>10</v>
      </c>
      <c r="B8" s="5">
        <v>8.9099999999999999E-2</v>
      </c>
      <c r="C8" s="5">
        <v>7.9600000000000004E-2</v>
      </c>
      <c r="D8" s="5">
        <v>8.3400000000000002E-2</v>
      </c>
      <c r="E8" s="5">
        <v>8.5800000000000001E-2</v>
      </c>
      <c r="F8" s="5">
        <v>8.1100000000000005E-2</v>
      </c>
      <c r="G8" s="5">
        <v>8.4199999999999997E-2</v>
      </c>
      <c r="H8" s="5">
        <v>8.3199999999999996E-2</v>
      </c>
      <c r="I8" s="5">
        <v>7.1900000000000006E-2</v>
      </c>
      <c r="J8" s="5">
        <v>7.1599999999999997E-2</v>
      </c>
      <c r="K8" s="5">
        <v>8.7300000000000003E-2</v>
      </c>
      <c r="L8" s="5">
        <v>8.7599999999999997E-2</v>
      </c>
      <c r="M8" s="5">
        <v>8.7599999999999997E-2</v>
      </c>
      <c r="N8" s="5">
        <v>8.5300000000000001E-2</v>
      </c>
      <c r="O8" s="5">
        <v>7.7799999999999994E-2</v>
      </c>
      <c r="P8" s="5">
        <v>7.9100000000000004E-2</v>
      </c>
      <c r="Q8" s="5">
        <v>8.2299999999999998E-2</v>
      </c>
      <c r="R8" s="5">
        <v>8.2699999999999996E-2</v>
      </c>
      <c r="S8" s="5">
        <v>8.6699999999999999E-2</v>
      </c>
      <c r="T8" s="5">
        <v>8.7800000000000003E-2</v>
      </c>
      <c r="U8" s="5">
        <v>8.5199999999999998E-2</v>
      </c>
      <c r="V8" s="5">
        <v>8.8599999999999998E-2</v>
      </c>
      <c r="W8" s="13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143" x14ac:dyDescent="0.25">
      <c r="A9" t="s">
        <v>12</v>
      </c>
      <c r="B9" s="6">
        <f t="shared" ref="B9:V9" si="1">ROUND((B5-B6-B7)*B8/12,0)</f>
        <v>816078</v>
      </c>
      <c r="C9" s="6">
        <f t="shared" si="1"/>
        <v>998099</v>
      </c>
      <c r="D9" s="6">
        <f t="shared" si="1"/>
        <v>1180315</v>
      </c>
      <c r="E9" s="6">
        <f t="shared" si="1"/>
        <v>1192627</v>
      </c>
      <c r="F9" s="6">
        <f t="shared" si="1"/>
        <v>1239837</v>
      </c>
      <c r="G9" s="6">
        <f t="shared" si="1"/>
        <v>1269036</v>
      </c>
      <c r="H9" s="6">
        <f t="shared" si="1"/>
        <v>1235659</v>
      </c>
      <c r="I9" s="6">
        <f t="shared" si="1"/>
        <v>1066654</v>
      </c>
      <c r="J9" s="6">
        <f t="shared" si="1"/>
        <v>1058001</v>
      </c>
      <c r="K9" s="6">
        <f t="shared" si="1"/>
        <v>1288049</v>
      </c>
      <c r="L9" s="6">
        <f t="shared" si="1"/>
        <v>1287270</v>
      </c>
      <c r="M9" s="6">
        <f t="shared" si="1"/>
        <v>1277813</v>
      </c>
      <c r="N9" s="6">
        <f t="shared" si="1"/>
        <v>1239313</v>
      </c>
      <c r="O9" s="6">
        <f t="shared" si="1"/>
        <v>1124777</v>
      </c>
      <c r="P9" s="6">
        <f t="shared" si="1"/>
        <v>1137824</v>
      </c>
      <c r="Q9" s="6">
        <f t="shared" si="1"/>
        <v>1177879</v>
      </c>
      <c r="R9" s="6">
        <f t="shared" si="1"/>
        <v>1177285</v>
      </c>
      <c r="S9" s="6">
        <f t="shared" si="1"/>
        <v>1233192</v>
      </c>
      <c r="T9" s="6">
        <f t="shared" si="1"/>
        <v>1246951</v>
      </c>
      <c r="U9" s="6">
        <f t="shared" si="1"/>
        <v>1195681</v>
      </c>
      <c r="V9" s="6">
        <f t="shared" si="1"/>
        <v>1236106</v>
      </c>
      <c r="W9" s="12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</row>
    <row r="10" spans="1:143" x14ac:dyDescent="0.25">
      <c r="A10" t="s">
        <v>48</v>
      </c>
      <c r="B10" s="6">
        <v>1416651</v>
      </c>
      <c r="C10" s="6">
        <v>1953499</v>
      </c>
      <c r="D10" s="6">
        <v>1634615</v>
      </c>
      <c r="E10" s="6">
        <v>1308598</v>
      </c>
      <c r="F10" s="6">
        <v>1918682</v>
      </c>
      <c r="G10" s="6">
        <v>1257175</v>
      </c>
      <c r="H10" s="6">
        <v>1363234</v>
      </c>
      <c r="I10" s="6">
        <v>1385072</v>
      </c>
      <c r="J10" s="6">
        <v>1041394</v>
      </c>
      <c r="K10" s="6">
        <v>482385</v>
      </c>
      <c r="L10" s="6">
        <v>1258567</v>
      </c>
      <c r="M10" s="6">
        <v>1567433</v>
      </c>
      <c r="N10" s="6">
        <v>2062649</v>
      </c>
      <c r="O10" s="6">
        <v>2044090</v>
      </c>
      <c r="P10" s="6">
        <v>1984393</v>
      </c>
      <c r="Q10" s="6">
        <v>1635464</v>
      </c>
      <c r="R10" s="6">
        <v>1789403</v>
      </c>
      <c r="S10" s="6">
        <v>1897439</v>
      </c>
      <c r="T10" s="6">
        <v>1985822</v>
      </c>
      <c r="U10" s="6">
        <v>1808911</v>
      </c>
      <c r="V10" s="6">
        <v>1525794</v>
      </c>
    </row>
    <row r="11" spans="1:143" x14ac:dyDescent="0.25">
      <c r="A11" t="s">
        <v>15</v>
      </c>
      <c r="B11" s="6">
        <f>B9+B10</f>
        <v>2232729</v>
      </c>
      <c r="C11" s="6">
        <f>C9+C10</f>
        <v>2951598</v>
      </c>
      <c r="D11" s="6">
        <f t="shared" ref="D11:V11" si="2">D9+D10</f>
        <v>2814930</v>
      </c>
      <c r="E11" s="6">
        <f t="shared" si="2"/>
        <v>2501225</v>
      </c>
      <c r="F11" s="6">
        <f t="shared" si="2"/>
        <v>3158519</v>
      </c>
      <c r="G11" s="6">
        <f t="shared" si="2"/>
        <v>2526211</v>
      </c>
      <c r="H11" s="6">
        <f t="shared" si="2"/>
        <v>2598893</v>
      </c>
      <c r="I11" s="6">
        <f t="shared" si="2"/>
        <v>2451726</v>
      </c>
      <c r="J11" s="6">
        <f t="shared" si="2"/>
        <v>2099395</v>
      </c>
      <c r="K11" s="6">
        <f t="shared" si="2"/>
        <v>1770434</v>
      </c>
      <c r="L11" s="6">
        <f t="shared" si="2"/>
        <v>2545837</v>
      </c>
      <c r="M11" s="6">
        <f t="shared" si="2"/>
        <v>2845246</v>
      </c>
      <c r="N11" s="6">
        <f t="shared" si="2"/>
        <v>3301962</v>
      </c>
      <c r="O11" s="6">
        <f t="shared" si="2"/>
        <v>3168867</v>
      </c>
      <c r="P11" s="6">
        <f t="shared" si="2"/>
        <v>3122217</v>
      </c>
      <c r="Q11" s="6">
        <f t="shared" si="2"/>
        <v>2813343</v>
      </c>
      <c r="R11" s="6">
        <f t="shared" si="2"/>
        <v>2966688</v>
      </c>
      <c r="S11" s="6">
        <f t="shared" si="2"/>
        <v>3130631</v>
      </c>
      <c r="T11" s="6">
        <f t="shared" si="2"/>
        <v>3232773</v>
      </c>
      <c r="U11" s="6">
        <f t="shared" si="2"/>
        <v>3004592</v>
      </c>
      <c r="V11" s="6">
        <f t="shared" si="2"/>
        <v>2761900</v>
      </c>
      <c r="W11" s="10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143" s="3" customFormat="1" x14ac:dyDescent="0.25">
      <c r="A12" s="3" t="s">
        <v>11</v>
      </c>
      <c r="B12" s="3">
        <v>0.15</v>
      </c>
      <c r="C12" s="3">
        <v>0.15</v>
      </c>
      <c r="D12" s="3">
        <v>0.15</v>
      </c>
      <c r="E12" s="3">
        <v>0.15</v>
      </c>
      <c r="F12" s="3">
        <v>0.15</v>
      </c>
      <c r="G12" s="3">
        <v>0.15</v>
      </c>
      <c r="H12" s="3">
        <v>0.15</v>
      </c>
      <c r="I12" s="3">
        <v>0.15</v>
      </c>
      <c r="J12" s="3">
        <v>0.15</v>
      </c>
      <c r="K12" s="3">
        <v>0.15</v>
      </c>
      <c r="L12" s="3">
        <v>0.15</v>
      </c>
      <c r="M12" s="3">
        <v>0.15</v>
      </c>
      <c r="N12" s="3">
        <v>0.15</v>
      </c>
      <c r="O12" s="3">
        <v>0.15</v>
      </c>
      <c r="P12" s="3">
        <v>0.15</v>
      </c>
      <c r="Q12" s="3">
        <v>0.15</v>
      </c>
      <c r="R12" s="3">
        <v>0.15</v>
      </c>
      <c r="S12" s="3">
        <v>0.15</v>
      </c>
      <c r="T12" s="3">
        <v>0.15</v>
      </c>
      <c r="U12" s="3">
        <v>0.15</v>
      </c>
      <c r="V12" s="3">
        <v>0.15</v>
      </c>
      <c r="W12" s="14"/>
    </row>
    <row r="13" spans="1:143" s="9" customFormat="1" x14ac:dyDescent="0.25">
      <c r="A13" s="9" t="s">
        <v>27</v>
      </c>
      <c r="B13" s="10">
        <f>ROUND(B11*B12,0)</f>
        <v>334909</v>
      </c>
      <c r="C13" s="10">
        <f>ROUND(C11*C12,0)</f>
        <v>442740</v>
      </c>
      <c r="D13" s="10">
        <f t="shared" ref="D13:V13" si="3">ROUND(D11*D12,0)</f>
        <v>422240</v>
      </c>
      <c r="E13" s="10">
        <f t="shared" si="3"/>
        <v>375184</v>
      </c>
      <c r="F13" s="10">
        <f t="shared" si="3"/>
        <v>473778</v>
      </c>
      <c r="G13" s="10">
        <f t="shared" si="3"/>
        <v>378932</v>
      </c>
      <c r="H13" s="10">
        <f t="shared" si="3"/>
        <v>389834</v>
      </c>
      <c r="I13" s="10">
        <f t="shared" si="3"/>
        <v>367759</v>
      </c>
      <c r="J13" s="10">
        <f t="shared" si="3"/>
        <v>314909</v>
      </c>
      <c r="K13" s="10">
        <f t="shared" si="3"/>
        <v>265565</v>
      </c>
      <c r="L13" s="10">
        <f t="shared" si="3"/>
        <v>381876</v>
      </c>
      <c r="M13" s="10">
        <f t="shared" si="3"/>
        <v>426787</v>
      </c>
      <c r="N13" s="10">
        <f t="shared" si="3"/>
        <v>495294</v>
      </c>
      <c r="O13" s="10">
        <f t="shared" si="3"/>
        <v>475330</v>
      </c>
      <c r="P13" s="10">
        <f t="shared" si="3"/>
        <v>468333</v>
      </c>
      <c r="Q13" s="10">
        <f t="shared" si="3"/>
        <v>422001</v>
      </c>
      <c r="R13" s="10">
        <f t="shared" si="3"/>
        <v>445003</v>
      </c>
      <c r="S13" s="10">
        <f t="shared" si="3"/>
        <v>469595</v>
      </c>
      <c r="T13" s="10">
        <f t="shared" si="3"/>
        <v>484916</v>
      </c>
      <c r="U13" s="10">
        <f t="shared" si="3"/>
        <v>450689</v>
      </c>
      <c r="V13" s="10">
        <f t="shared" si="3"/>
        <v>414285</v>
      </c>
      <c r="W13" s="12">
        <f>SUM(B13:V13)</f>
        <v>8699959</v>
      </c>
    </row>
    <row r="14" spans="1:143" x14ac:dyDescent="0.25">
      <c r="A14" t="s">
        <v>2</v>
      </c>
    </row>
    <row r="15" spans="1:143" x14ac:dyDescent="0.25">
      <c r="A15" t="s">
        <v>30</v>
      </c>
      <c r="B15" s="4">
        <v>0.88700000000000001</v>
      </c>
      <c r="C15" s="4">
        <v>0.81200000000000006</v>
      </c>
      <c r="D15" s="4">
        <v>0.86</v>
      </c>
      <c r="E15" s="4">
        <v>0.90300000000000002</v>
      </c>
      <c r="F15" s="4">
        <v>0.97499999999999998</v>
      </c>
      <c r="G15" s="4">
        <v>0.95699999999999996</v>
      </c>
      <c r="H15" s="4">
        <v>0.98</v>
      </c>
      <c r="I15" s="4">
        <v>0.97399999999999998</v>
      </c>
      <c r="J15" s="4">
        <v>0.97199999999999998</v>
      </c>
      <c r="K15" s="4">
        <v>0.96599999999999997</v>
      </c>
      <c r="L15" s="4">
        <v>0.97</v>
      </c>
      <c r="M15" s="4">
        <v>0.97499999999999998</v>
      </c>
      <c r="N15" s="4">
        <v>0.88900000000000001</v>
      </c>
      <c r="O15" s="4">
        <v>0.84799999999999998</v>
      </c>
      <c r="P15" s="4">
        <v>0.86399999999999999</v>
      </c>
      <c r="Q15" s="4">
        <v>0.95499999999999996</v>
      </c>
      <c r="R15" s="4">
        <v>0.93400000000000005</v>
      </c>
      <c r="S15" s="4">
        <v>0.81599999999999995</v>
      </c>
      <c r="T15" s="4">
        <v>0.90500000000000003</v>
      </c>
      <c r="U15" s="4">
        <v>0.96199999999999997</v>
      </c>
      <c r="V15" s="4">
        <v>0.97099999999999997</v>
      </c>
    </row>
    <row r="16" spans="1:143" x14ac:dyDescent="0.25">
      <c r="A16" t="s">
        <v>31</v>
      </c>
      <c r="B16" s="4">
        <v>0.41099999999999998</v>
      </c>
      <c r="C16" s="4">
        <v>0.41099999999999998</v>
      </c>
      <c r="D16" s="4">
        <v>0.41099999999999998</v>
      </c>
      <c r="E16" s="4">
        <v>0.41099999999999998</v>
      </c>
      <c r="F16" s="4">
        <v>0.41099999999999998</v>
      </c>
      <c r="G16" s="4">
        <v>0.41099999999999998</v>
      </c>
      <c r="H16" s="4">
        <v>0.41099999999999998</v>
      </c>
      <c r="I16" s="4">
        <v>0.4254</v>
      </c>
      <c r="J16" s="4">
        <v>0.4254</v>
      </c>
      <c r="K16" s="4">
        <v>0.4254</v>
      </c>
      <c r="L16" s="4">
        <v>0.4254</v>
      </c>
      <c r="M16" s="4">
        <v>0.4254</v>
      </c>
      <c r="N16" s="4">
        <v>0.4254</v>
      </c>
      <c r="O16" s="4">
        <v>0.4254</v>
      </c>
      <c r="P16" s="4">
        <v>0.4254</v>
      </c>
      <c r="Q16" s="4">
        <v>0.4254</v>
      </c>
      <c r="R16" s="4">
        <v>0.4254</v>
      </c>
      <c r="S16" s="4">
        <v>0.4254</v>
      </c>
      <c r="T16" s="4">
        <v>0.4254</v>
      </c>
      <c r="U16" s="4">
        <v>0.44180000000000003</v>
      </c>
      <c r="V16" s="4">
        <v>0.44180000000000003</v>
      </c>
    </row>
    <row r="17" spans="1:22" x14ac:dyDescent="0.25">
      <c r="A17" t="s">
        <v>47</v>
      </c>
      <c r="B17" s="6">
        <v>1653858</v>
      </c>
      <c r="C17" s="6">
        <v>1462054</v>
      </c>
      <c r="D17" s="6">
        <v>1842368</v>
      </c>
      <c r="E17" s="6">
        <v>1409406</v>
      </c>
      <c r="F17" s="6">
        <v>2193740</v>
      </c>
      <c r="G17" s="6">
        <v>2008326</v>
      </c>
      <c r="H17" s="6">
        <v>1677980</v>
      </c>
      <c r="I17" s="6">
        <v>1455720</v>
      </c>
      <c r="J17" s="6">
        <v>1827943</v>
      </c>
      <c r="K17" s="6">
        <v>1889897</v>
      </c>
      <c r="L17" s="6">
        <v>2498834</v>
      </c>
      <c r="M17" s="6">
        <v>2250571</v>
      </c>
      <c r="N17" s="6">
        <v>1677160</v>
      </c>
      <c r="O17" s="6">
        <v>1054037</v>
      </c>
      <c r="P17" s="6">
        <v>1268005</v>
      </c>
      <c r="Q17" s="6">
        <v>1748022</v>
      </c>
      <c r="R17" s="6">
        <v>1947439</v>
      </c>
      <c r="S17" s="6">
        <v>1771835</v>
      </c>
      <c r="T17" s="6">
        <v>1529488</v>
      </c>
      <c r="U17" s="6">
        <v>1433925</v>
      </c>
      <c r="V17" s="6">
        <v>1296285</v>
      </c>
    </row>
    <row r="18" spans="1:22" x14ac:dyDescent="0.25">
      <c r="A18" t="s">
        <v>32</v>
      </c>
      <c r="B18" s="7">
        <f>ROUND(B16*B13*B15,0)</f>
        <v>122093</v>
      </c>
      <c r="C18" s="7">
        <f t="shared" ref="C18:V18" si="4">ROUND(C16*C13*C15,0)</f>
        <v>147757</v>
      </c>
      <c r="D18" s="7">
        <f t="shared" si="4"/>
        <v>149245</v>
      </c>
      <c r="E18" s="7">
        <f t="shared" si="4"/>
        <v>139243</v>
      </c>
      <c r="F18" s="7">
        <f t="shared" si="4"/>
        <v>189855</v>
      </c>
      <c r="G18" s="7">
        <f t="shared" si="4"/>
        <v>149044</v>
      </c>
      <c r="H18" s="7">
        <f t="shared" si="4"/>
        <v>157017</v>
      </c>
      <c r="I18" s="7">
        <f t="shared" si="4"/>
        <v>152377</v>
      </c>
      <c r="J18" s="7">
        <f t="shared" si="4"/>
        <v>130211</v>
      </c>
      <c r="K18" s="7">
        <f t="shared" si="4"/>
        <v>109130</v>
      </c>
      <c r="L18" s="7">
        <f t="shared" si="4"/>
        <v>157577</v>
      </c>
      <c r="M18" s="7">
        <f t="shared" si="4"/>
        <v>177016</v>
      </c>
      <c r="N18" s="7">
        <f t="shared" si="4"/>
        <v>187311</v>
      </c>
      <c r="O18" s="7">
        <f t="shared" si="4"/>
        <v>171470</v>
      </c>
      <c r="P18" s="7">
        <f t="shared" si="4"/>
        <v>172134</v>
      </c>
      <c r="Q18" s="7">
        <f t="shared" si="4"/>
        <v>171441</v>
      </c>
      <c r="R18" s="7">
        <f t="shared" si="4"/>
        <v>176810</v>
      </c>
      <c r="S18" s="7">
        <f t="shared" si="4"/>
        <v>163009</v>
      </c>
      <c r="T18" s="7">
        <f t="shared" si="4"/>
        <v>186686</v>
      </c>
      <c r="U18" s="7">
        <f t="shared" si="4"/>
        <v>191548</v>
      </c>
      <c r="V18" s="7">
        <f t="shared" si="4"/>
        <v>177723</v>
      </c>
    </row>
    <row r="19" spans="1:22" x14ac:dyDescent="0.25">
      <c r="A19" t="s">
        <v>33</v>
      </c>
      <c r="B19" s="7">
        <f>B17-B18</f>
        <v>1531765</v>
      </c>
      <c r="C19" s="7">
        <f t="shared" ref="C19:V19" si="5">C17-C18</f>
        <v>1314297</v>
      </c>
      <c r="D19" s="7">
        <f t="shared" si="5"/>
        <v>1693123</v>
      </c>
      <c r="E19" s="7">
        <f t="shared" si="5"/>
        <v>1270163</v>
      </c>
      <c r="F19" s="7">
        <f t="shared" si="5"/>
        <v>2003885</v>
      </c>
      <c r="G19" s="7">
        <f t="shared" si="5"/>
        <v>1859282</v>
      </c>
      <c r="H19" s="7">
        <f t="shared" si="5"/>
        <v>1520963</v>
      </c>
      <c r="I19" s="7">
        <f t="shared" si="5"/>
        <v>1303343</v>
      </c>
      <c r="J19" s="7">
        <f t="shared" si="5"/>
        <v>1697732</v>
      </c>
      <c r="K19" s="7">
        <f t="shared" si="5"/>
        <v>1780767</v>
      </c>
      <c r="L19" s="7">
        <f t="shared" si="5"/>
        <v>2341257</v>
      </c>
      <c r="M19" s="7">
        <f t="shared" si="5"/>
        <v>2073555</v>
      </c>
      <c r="N19" s="7">
        <f t="shared" si="5"/>
        <v>1489849</v>
      </c>
      <c r="O19" s="7">
        <f t="shared" si="5"/>
        <v>882567</v>
      </c>
      <c r="P19" s="7">
        <f t="shared" si="5"/>
        <v>1095871</v>
      </c>
      <c r="Q19" s="7">
        <f t="shared" si="5"/>
        <v>1576581</v>
      </c>
      <c r="R19" s="7">
        <f t="shared" si="5"/>
        <v>1770629</v>
      </c>
      <c r="S19" s="7">
        <f t="shared" si="5"/>
        <v>1608826</v>
      </c>
      <c r="T19" s="7">
        <f t="shared" si="5"/>
        <v>1342802</v>
      </c>
      <c r="U19" s="7">
        <f t="shared" si="5"/>
        <v>1242377</v>
      </c>
      <c r="V19" s="7">
        <f t="shared" si="5"/>
        <v>1118562</v>
      </c>
    </row>
    <row r="20" spans="1:22" x14ac:dyDescent="0.25">
      <c r="A20" t="s">
        <v>34</v>
      </c>
      <c r="B20" s="7">
        <v>13583190</v>
      </c>
      <c r="C20" s="7">
        <v>14971511</v>
      </c>
      <c r="D20" s="7">
        <v>19386219</v>
      </c>
      <c r="E20" s="7">
        <v>15823489</v>
      </c>
      <c r="F20" s="7">
        <v>13549405</v>
      </c>
      <c r="G20" s="7">
        <v>12492633</v>
      </c>
      <c r="H20" s="7">
        <v>18560812</v>
      </c>
      <c r="I20" s="7">
        <v>22587418</v>
      </c>
      <c r="J20" s="7">
        <v>26626113</v>
      </c>
      <c r="K20" s="7">
        <v>20358315</v>
      </c>
      <c r="L20" s="7">
        <v>15151812</v>
      </c>
      <c r="M20" s="7">
        <v>12734458</v>
      </c>
      <c r="N20" s="7">
        <v>14666140</v>
      </c>
      <c r="O20" s="7">
        <v>17317053</v>
      </c>
      <c r="P20" s="7">
        <v>19070964</v>
      </c>
      <c r="Q20" s="7">
        <v>17671462</v>
      </c>
      <c r="R20" s="7">
        <v>17788219</v>
      </c>
      <c r="S20" s="7">
        <v>17889203</v>
      </c>
      <c r="T20" s="7">
        <v>18211497</v>
      </c>
      <c r="U20" s="7">
        <v>18466398</v>
      </c>
      <c r="V20" s="7">
        <v>17967712</v>
      </c>
    </row>
    <row r="21" spans="1:22" x14ac:dyDescent="0.25">
      <c r="A21" t="s">
        <v>37</v>
      </c>
      <c r="B21" s="8">
        <f>ROUND(B17/B20,6)</f>
        <v>0.12175800000000001</v>
      </c>
      <c r="C21" s="8">
        <f t="shared" ref="C21:V21" si="6">ROUND(C17/C20,6)</f>
        <v>9.7656000000000007E-2</v>
      </c>
      <c r="D21" s="8">
        <f t="shared" si="6"/>
        <v>9.5034999999999994E-2</v>
      </c>
      <c r="E21" s="8">
        <f t="shared" si="6"/>
        <v>8.9069999999999996E-2</v>
      </c>
      <c r="F21" s="8">
        <f t="shared" si="6"/>
        <v>0.161907</v>
      </c>
      <c r="G21" s="8">
        <f t="shared" si="6"/>
        <v>0.16076099999999999</v>
      </c>
      <c r="H21" s="8">
        <f t="shared" si="6"/>
        <v>9.0403999999999998E-2</v>
      </c>
      <c r="I21" s="8">
        <f t="shared" si="6"/>
        <v>6.4448000000000005E-2</v>
      </c>
      <c r="J21" s="8">
        <f t="shared" si="6"/>
        <v>6.8652000000000005E-2</v>
      </c>
      <c r="K21" s="8">
        <f t="shared" si="6"/>
        <v>9.2831999999999998E-2</v>
      </c>
      <c r="L21" s="8">
        <f t="shared" si="6"/>
        <v>0.16492000000000001</v>
      </c>
      <c r="M21" s="8">
        <f t="shared" si="6"/>
        <v>0.176731</v>
      </c>
      <c r="N21" s="8">
        <f t="shared" si="6"/>
        <v>0.114356</v>
      </c>
      <c r="O21" s="8">
        <f t="shared" si="6"/>
        <v>6.0866999999999997E-2</v>
      </c>
      <c r="P21" s="8">
        <f t="shared" si="6"/>
        <v>6.6489000000000006E-2</v>
      </c>
      <c r="Q21" s="8">
        <f t="shared" si="6"/>
        <v>9.8918000000000006E-2</v>
      </c>
      <c r="R21" s="8">
        <f t="shared" si="6"/>
        <v>0.10947900000000001</v>
      </c>
      <c r="S21" s="8">
        <f t="shared" si="6"/>
        <v>9.9044999999999994E-2</v>
      </c>
      <c r="T21" s="8">
        <f t="shared" si="6"/>
        <v>8.3985000000000004E-2</v>
      </c>
      <c r="U21" s="8">
        <f t="shared" si="6"/>
        <v>7.7649999999999997E-2</v>
      </c>
      <c r="V21" s="8">
        <f t="shared" si="6"/>
        <v>7.2145000000000001E-2</v>
      </c>
    </row>
    <row r="22" spans="1:22" x14ac:dyDescent="0.25">
      <c r="A22" t="s">
        <v>35</v>
      </c>
      <c r="B22" s="8">
        <f>ROUND(B19/B20,6)</f>
        <v>0.11276899999999999</v>
      </c>
      <c r="C22" s="8">
        <f t="shared" ref="C22:V22" si="7">ROUND(C19/C20,6)</f>
        <v>8.7787000000000004E-2</v>
      </c>
      <c r="D22" s="8">
        <f t="shared" si="7"/>
        <v>8.7335999999999997E-2</v>
      </c>
      <c r="E22" s="8">
        <f t="shared" si="7"/>
        <v>8.0270999999999995E-2</v>
      </c>
      <c r="F22" s="8">
        <f t="shared" si="7"/>
        <v>0.147895</v>
      </c>
      <c r="G22" s="8">
        <f t="shared" si="7"/>
        <v>0.14882999999999999</v>
      </c>
      <c r="H22" s="8">
        <f t="shared" si="7"/>
        <v>8.1945000000000004E-2</v>
      </c>
      <c r="I22" s="8">
        <f t="shared" si="7"/>
        <v>5.7702000000000003E-2</v>
      </c>
      <c r="J22" s="8">
        <f t="shared" si="7"/>
        <v>6.3761999999999999E-2</v>
      </c>
      <c r="K22" s="8">
        <f t="shared" si="7"/>
        <v>8.7470999999999993E-2</v>
      </c>
      <c r="L22" s="8">
        <f t="shared" si="7"/>
        <v>0.15451999999999999</v>
      </c>
      <c r="M22" s="8">
        <f t="shared" si="7"/>
        <v>0.16283</v>
      </c>
      <c r="N22" s="8">
        <f t="shared" si="7"/>
        <v>0.10158399999999999</v>
      </c>
      <c r="O22" s="8">
        <f t="shared" si="7"/>
        <v>5.0965000000000003E-2</v>
      </c>
      <c r="P22" s="8">
        <f t="shared" si="7"/>
        <v>5.7463E-2</v>
      </c>
      <c r="Q22" s="8">
        <f t="shared" si="7"/>
        <v>8.9216000000000004E-2</v>
      </c>
      <c r="R22" s="8">
        <f t="shared" si="7"/>
        <v>9.9539000000000002E-2</v>
      </c>
      <c r="S22" s="8">
        <f t="shared" si="7"/>
        <v>8.9932999999999999E-2</v>
      </c>
      <c r="T22" s="8">
        <f t="shared" si="7"/>
        <v>7.3733999999999994E-2</v>
      </c>
      <c r="U22" s="8">
        <f t="shared" si="7"/>
        <v>6.7278000000000004E-2</v>
      </c>
      <c r="V22" s="8">
        <f t="shared" si="7"/>
        <v>6.2253999999999997E-2</v>
      </c>
    </row>
    <row r="23" spans="1:22" s="9" customFormat="1" x14ac:dyDescent="0.25">
      <c r="A23" s="9" t="s">
        <v>50</v>
      </c>
      <c r="B23" s="11">
        <f>B21-B22</f>
        <v>8.9890000000000109E-3</v>
      </c>
      <c r="C23" s="11">
        <f t="shared" ref="C23:V23" si="8">C21-C22</f>
        <v>9.8690000000000028E-3</v>
      </c>
      <c r="D23" s="11">
        <f t="shared" si="8"/>
        <v>7.6989999999999975E-3</v>
      </c>
      <c r="E23" s="11">
        <f t="shared" si="8"/>
        <v>8.7990000000000013E-3</v>
      </c>
      <c r="F23" s="11">
        <f t="shared" si="8"/>
        <v>1.4011999999999997E-2</v>
      </c>
      <c r="G23" s="11">
        <f t="shared" si="8"/>
        <v>1.1930999999999997E-2</v>
      </c>
      <c r="H23" s="11">
        <f t="shared" si="8"/>
        <v>8.4589999999999943E-3</v>
      </c>
      <c r="I23" s="11">
        <f t="shared" si="8"/>
        <v>6.746000000000002E-3</v>
      </c>
      <c r="J23" s="11">
        <f t="shared" si="8"/>
        <v>4.8900000000000055E-3</v>
      </c>
      <c r="K23" s="11">
        <f t="shared" si="8"/>
        <v>5.3610000000000047E-3</v>
      </c>
      <c r="L23" s="11">
        <f t="shared" si="8"/>
        <v>1.040000000000002E-2</v>
      </c>
      <c r="M23" s="11">
        <f t="shared" si="8"/>
        <v>1.3900999999999997E-2</v>
      </c>
      <c r="N23" s="11">
        <f t="shared" si="8"/>
        <v>1.2772000000000006E-2</v>
      </c>
      <c r="O23" s="11">
        <f t="shared" si="8"/>
        <v>9.9019999999999941E-3</v>
      </c>
      <c r="P23" s="11">
        <f t="shared" si="8"/>
        <v>9.0260000000000062E-3</v>
      </c>
      <c r="Q23" s="11">
        <f t="shared" si="8"/>
        <v>9.7020000000000023E-3</v>
      </c>
      <c r="R23" s="11">
        <f t="shared" si="8"/>
        <v>9.9400000000000044E-3</v>
      </c>
      <c r="S23" s="11">
        <f t="shared" si="8"/>
        <v>9.1119999999999951E-3</v>
      </c>
      <c r="T23" s="11">
        <f t="shared" si="8"/>
        <v>1.025100000000001E-2</v>
      </c>
      <c r="U23" s="11">
        <f t="shared" si="8"/>
        <v>1.0371999999999992E-2</v>
      </c>
      <c r="V23" s="11">
        <f t="shared" si="8"/>
        <v>9.891000000000004E-3</v>
      </c>
    </row>
    <row r="25" spans="1:22" x14ac:dyDescent="0.25">
      <c r="A25" t="s">
        <v>36</v>
      </c>
      <c r="B25" s="4">
        <v>5.8999999999999997E-2</v>
      </c>
      <c r="C25" s="4">
        <v>0.152</v>
      </c>
      <c r="D25" s="4">
        <v>0.121</v>
      </c>
      <c r="E25" s="4">
        <v>0.08</v>
      </c>
      <c r="F25" s="4">
        <v>1.2999999999999999E-2</v>
      </c>
      <c r="G25" s="4">
        <v>0.03</v>
      </c>
      <c r="H25" s="4">
        <v>8.9999999999999993E-3</v>
      </c>
      <c r="I25" s="4">
        <v>1.2999999999999999E-2</v>
      </c>
      <c r="J25" s="4">
        <v>1.6E-2</v>
      </c>
      <c r="K25" s="4">
        <v>2.1000000000000001E-2</v>
      </c>
      <c r="L25" s="4">
        <v>1.9E-2</v>
      </c>
      <c r="M25" s="4">
        <v>3.3000000000000002E-2</v>
      </c>
      <c r="N25" s="4">
        <v>0.10299999999999999</v>
      </c>
      <c r="O25" s="4">
        <v>0.14399999999999999</v>
      </c>
      <c r="P25" s="4">
        <v>0.126</v>
      </c>
      <c r="Q25" s="4">
        <v>3.5999999999999997E-2</v>
      </c>
      <c r="R25" s="4">
        <v>5.7000000000000002E-2</v>
      </c>
      <c r="S25" s="4">
        <v>0.17499999999999999</v>
      </c>
      <c r="T25" s="4">
        <v>8.5000000000000006E-2</v>
      </c>
      <c r="U25" s="4">
        <v>2.9000000000000001E-2</v>
      </c>
      <c r="V25" s="4">
        <v>0.02</v>
      </c>
    </row>
    <row r="26" spans="1:22" x14ac:dyDescent="0.25">
      <c r="A26" t="s">
        <v>38</v>
      </c>
      <c r="B26" s="6">
        <f t="shared" ref="B26:V26" si="9">ROUND(B25*B13,0)</f>
        <v>19760</v>
      </c>
      <c r="C26" s="6">
        <f t="shared" si="9"/>
        <v>67296</v>
      </c>
      <c r="D26" s="6">
        <f t="shared" si="9"/>
        <v>51091</v>
      </c>
      <c r="E26" s="6">
        <f t="shared" si="9"/>
        <v>30015</v>
      </c>
      <c r="F26" s="6">
        <f t="shared" si="9"/>
        <v>6159</v>
      </c>
      <c r="G26" s="6">
        <f t="shared" si="9"/>
        <v>11368</v>
      </c>
      <c r="H26" s="6">
        <f t="shared" si="9"/>
        <v>3509</v>
      </c>
      <c r="I26" s="6">
        <f t="shared" si="9"/>
        <v>4781</v>
      </c>
      <c r="J26" s="6">
        <f t="shared" si="9"/>
        <v>5039</v>
      </c>
      <c r="K26" s="6">
        <f t="shared" si="9"/>
        <v>5577</v>
      </c>
      <c r="L26" s="6">
        <f t="shared" si="9"/>
        <v>7256</v>
      </c>
      <c r="M26" s="6">
        <f t="shared" si="9"/>
        <v>14084</v>
      </c>
      <c r="N26" s="6">
        <f t="shared" si="9"/>
        <v>51015</v>
      </c>
      <c r="O26" s="6">
        <f t="shared" si="9"/>
        <v>68448</v>
      </c>
      <c r="P26" s="6">
        <f t="shared" si="9"/>
        <v>59010</v>
      </c>
      <c r="Q26" s="6">
        <f t="shared" si="9"/>
        <v>15192</v>
      </c>
      <c r="R26" s="6">
        <f t="shared" si="9"/>
        <v>25365</v>
      </c>
      <c r="S26" s="6">
        <f t="shared" si="9"/>
        <v>82179</v>
      </c>
      <c r="T26" s="6">
        <f t="shared" si="9"/>
        <v>41218</v>
      </c>
      <c r="U26" s="6">
        <f t="shared" si="9"/>
        <v>13070</v>
      </c>
      <c r="V26" s="6">
        <f t="shared" si="9"/>
        <v>8286</v>
      </c>
    </row>
    <row r="27" spans="1:22" x14ac:dyDescent="0.25">
      <c r="A27" t="s">
        <v>39</v>
      </c>
      <c r="B27" s="6">
        <f>-361803*-1</f>
        <v>361803</v>
      </c>
      <c r="C27" s="6">
        <f>-166668*-1</f>
        <v>166668</v>
      </c>
      <c r="D27" s="6">
        <f>-256187*-1</f>
        <v>256187</v>
      </c>
      <c r="E27" s="6">
        <f>-729367*-1</f>
        <v>729367</v>
      </c>
      <c r="F27" s="6">
        <f>-758339*-1</f>
        <v>758339</v>
      </c>
      <c r="G27" s="6">
        <f>1733272*-1</f>
        <v>-1733272</v>
      </c>
      <c r="H27" s="6">
        <f>-778940*-1</f>
        <v>778940</v>
      </c>
      <c r="I27" s="6">
        <f>-1178946*-1</f>
        <v>1178946</v>
      </c>
      <c r="J27" s="6">
        <f>-1006200*-1</f>
        <v>1006200</v>
      </c>
      <c r="K27" s="6">
        <f>-830052*-1</f>
        <v>830052</v>
      </c>
      <c r="L27" s="6">
        <f>-778118*-1</f>
        <v>778118</v>
      </c>
      <c r="M27" s="6">
        <f>-831914*-1</f>
        <v>831914</v>
      </c>
      <c r="N27" s="6">
        <f>-103885*-1</f>
        <v>103885</v>
      </c>
      <c r="O27" s="6">
        <f>308852*-1</f>
        <v>-308852</v>
      </c>
      <c r="P27" s="6">
        <f>-205796*-1</f>
        <v>205796</v>
      </c>
      <c r="Q27" s="6">
        <f>-397271*-1</f>
        <v>397271</v>
      </c>
      <c r="R27" s="6">
        <f>-561065*-1</f>
        <v>561065</v>
      </c>
      <c r="S27" s="6">
        <f>96246*-1</f>
        <v>-96246</v>
      </c>
      <c r="T27" s="6">
        <f>-235763*-1</f>
        <v>235763</v>
      </c>
      <c r="U27" s="6">
        <f>-1386936*-1</f>
        <v>1386936</v>
      </c>
      <c r="V27" s="6">
        <f>-936188*-1</f>
        <v>936188</v>
      </c>
    </row>
    <row r="28" spans="1:22" x14ac:dyDescent="0.25">
      <c r="A28" t="s">
        <v>40</v>
      </c>
      <c r="B28" s="7">
        <f>B27-B26</f>
        <v>342043</v>
      </c>
      <c r="C28" s="7">
        <f t="shared" ref="C28:V28" si="10">C27-C26</f>
        <v>99372</v>
      </c>
      <c r="D28" s="7">
        <f t="shared" si="10"/>
        <v>205096</v>
      </c>
      <c r="E28" s="7">
        <f t="shared" si="10"/>
        <v>699352</v>
      </c>
      <c r="F28" s="7">
        <f>F27-F26</f>
        <v>752180</v>
      </c>
      <c r="G28" s="7">
        <f t="shared" si="10"/>
        <v>-1744640</v>
      </c>
      <c r="H28" s="7">
        <f t="shared" si="10"/>
        <v>775431</v>
      </c>
      <c r="I28" s="7">
        <f t="shared" si="10"/>
        <v>1174165</v>
      </c>
      <c r="J28" s="7">
        <f t="shared" si="10"/>
        <v>1001161</v>
      </c>
      <c r="K28" s="7">
        <f t="shared" si="10"/>
        <v>824475</v>
      </c>
      <c r="L28" s="7">
        <f t="shared" si="10"/>
        <v>770862</v>
      </c>
      <c r="M28" s="7">
        <f t="shared" si="10"/>
        <v>817830</v>
      </c>
      <c r="N28" s="7">
        <f t="shared" si="10"/>
        <v>52870</v>
      </c>
      <c r="O28" s="7">
        <f t="shared" si="10"/>
        <v>-377300</v>
      </c>
      <c r="P28" s="7">
        <f t="shared" si="10"/>
        <v>146786</v>
      </c>
      <c r="Q28" s="7">
        <f t="shared" si="10"/>
        <v>382079</v>
      </c>
      <c r="R28" s="7">
        <f t="shared" si="10"/>
        <v>535700</v>
      </c>
      <c r="S28" s="7">
        <f t="shared" si="10"/>
        <v>-178425</v>
      </c>
      <c r="T28" s="7">
        <f t="shared" si="10"/>
        <v>194545</v>
      </c>
      <c r="U28" s="7">
        <f t="shared" si="10"/>
        <v>1373866</v>
      </c>
      <c r="V28" s="7">
        <f t="shared" si="10"/>
        <v>927902</v>
      </c>
    </row>
    <row r="29" spans="1:22" x14ac:dyDescent="0.25">
      <c r="A29" t="s">
        <v>41</v>
      </c>
      <c r="B29" s="66">
        <v>511016000</v>
      </c>
      <c r="C29" s="66">
        <v>530449000</v>
      </c>
      <c r="D29" s="66">
        <v>520354000</v>
      </c>
      <c r="E29" s="66">
        <v>484558000</v>
      </c>
      <c r="F29" s="66">
        <v>457062000</v>
      </c>
      <c r="G29" s="66">
        <v>481798000</v>
      </c>
      <c r="H29" s="66">
        <v>511879000</v>
      </c>
      <c r="I29" s="66">
        <v>665788000</v>
      </c>
      <c r="J29" s="66">
        <v>564781000</v>
      </c>
      <c r="K29" s="66">
        <v>483533000</v>
      </c>
      <c r="L29" s="66">
        <v>438583000</v>
      </c>
      <c r="M29" s="66">
        <v>441473000</v>
      </c>
      <c r="N29" s="66">
        <v>473438000</v>
      </c>
      <c r="O29" s="66">
        <v>508874000</v>
      </c>
      <c r="P29" s="66">
        <v>540609000</v>
      </c>
      <c r="Q29" s="66">
        <v>456943000</v>
      </c>
      <c r="R29" s="66">
        <v>415353000</v>
      </c>
      <c r="S29" s="66">
        <v>465829000</v>
      </c>
      <c r="T29" s="66">
        <v>571200000</v>
      </c>
      <c r="U29" s="66">
        <v>548930000</v>
      </c>
      <c r="V29" s="66">
        <v>461262000</v>
      </c>
    </row>
    <row r="30" spans="1:22" x14ac:dyDescent="0.25">
      <c r="A30" t="s">
        <v>46</v>
      </c>
      <c r="B30" s="67">
        <f>ROUND(B27/B$29,7)</f>
        <v>7.0799999999999997E-4</v>
      </c>
      <c r="C30" s="67">
        <f t="shared" ref="C30:V30" si="11">ROUND(C27/C$29,7)</f>
        <v>3.1419999999999999E-4</v>
      </c>
      <c r="D30" s="67">
        <f t="shared" si="11"/>
        <v>4.9229999999999999E-4</v>
      </c>
      <c r="E30" s="67">
        <f t="shared" si="11"/>
        <v>1.5051999999999999E-3</v>
      </c>
      <c r="F30" s="67">
        <f t="shared" si="11"/>
        <v>1.6592E-3</v>
      </c>
      <c r="G30" s="67">
        <f t="shared" si="11"/>
        <v>-3.5975E-3</v>
      </c>
      <c r="H30" s="67">
        <f t="shared" si="11"/>
        <v>1.5217E-3</v>
      </c>
      <c r="I30" s="67">
        <f t="shared" si="11"/>
        <v>1.7708000000000001E-3</v>
      </c>
      <c r="J30" s="67">
        <f t="shared" si="11"/>
        <v>1.7815999999999999E-3</v>
      </c>
      <c r="K30" s="67">
        <f t="shared" si="11"/>
        <v>1.7166E-3</v>
      </c>
      <c r="L30" s="67">
        <f t="shared" si="11"/>
        <v>1.7742000000000001E-3</v>
      </c>
      <c r="M30" s="67">
        <f t="shared" si="11"/>
        <v>1.8844000000000001E-3</v>
      </c>
      <c r="N30" s="67">
        <f t="shared" si="11"/>
        <v>2.1939999999999999E-4</v>
      </c>
      <c r="O30" s="67">
        <f t="shared" si="11"/>
        <v>-6.0689999999999995E-4</v>
      </c>
      <c r="P30" s="67">
        <f t="shared" si="11"/>
        <v>3.8069999999999998E-4</v>
      </c>
      <c r="Q30" s="67">
        <f t="shared" si="11"/>
        <v>8.6939999999999999E-4</v>
      </c>
      <c r="R30" s="67">
        <f t="shared" si="11"/>
        <v>1.3508000000000001E-3</v>
      </c>
      <c r="S30" s="67">
        <f t="shared" si="11"/>
        <v>-2.0660000000000001E-4</v>
      </c>
      <c r="T30" s="67">
        <f t="shared" si="11"/>
        <v>4.1280000000000001E-4</v>
      </c>
      <c r="U30" s="67">
        <f t="shared" si="11"/>
        <v>2.5265999999999999E-3</v>
      </c>
      <c r="V30" s="67">
        <f t="shared" si="11"/>
        <v>2.0295999999999999E-3</v>
      </c>
    </row>
    <row r="31" spans="1:22" x14ac:dyDescent="0.25">
      <c r="A31" t="s">
        <v>45</v>
      </c>
      <c r="B31" s="67">
        <f>ROUND(B28/B$29,7)</f>
        <v>6.6929999999999995E-4</v>
      </c>
      <c r="C31" s="67">
        <f t="shared" ref="C31:V31" si="12">ROUND(C28/C$29,7)</f>
        <v>1.873E-4</v>
      </c>
      <c r="D31" s="67">
        <f t="shared" si="12"/>
        <v>3.9409999999999998E-4</v>
      </c>
      <c r="E31" s="67">
        <f t="shared" si="12"/>
        <v>1.4433E-3</v>
      </c>
      <c r="F31" s="67">
        <f t="shared" si="12"/>
        <v>1.6456999999999999E-3</v>
      </c>
      <c r="G31" s="67">
        <f t="shared" si="12"/>
        <v>-3.6210999999999999E-3</v>
      </c>
      <c r="H31" s="67">
        <f t="shared" si="12"/>
        <v>1.5149E-3</v>
      </c>
      <c r="I31" s="67">
        <f t="shared" si="12"/>
        <v>1.7635999999999999E-3</v>
      </c>
      <c r="J31" s="67">
        <f t="shared" si="12"/>
        <v>1.7727000000000001E-3</v>
      </c>
      <c r="K31" s="67">
        <f t="shared" si="12"/>
        <v>1.7051E-3</v>
      </c>
      <c r="L31" s="67">
        <f t="shared" si="12"/>
        <v>1.7576E-3</v>
      </c>
      <c r="M31" s="67">
        <f t="shared" si="12"/>
        <v>1.8525E-3</v>
      </c>
      <c r="N31" s="67">
        <f t="shared" si="12"/>
        <v>1.117E-4</v>
      </c>
      <c r="O31" s="67">
        <f t="shared" si="12"/>
        <v>-7.4140000000000002E-4</v>
      </c>
      <c r="P31" s="67">
        <f t="shared" si="12"/>
        <v>2.7149999999999999E-4</v>
      </c>
      <c r="Q31" s="67">
        <f t="shared" si="12"/>
        <v>8.3620000000000005E-4</v>
      </c>
      <c r="R31" s="67">
        <f t="shared" si="12"/>
        <v>1.2897E-3</v>
      </c>
      <c r="S31" s="67">
        <f t="shared" si="12"/>
        <v>-3.8299999999999999E-4</v>
      </c>
      <c r="T31" s="67">
        <f t="shared" si="12"/>
        <v>3.4059999999999998E-4</v>
      </c>
      <c r="U31" s="67">
        <f t="shared" si="12"/>
        <v>2.5027999999999999E-3</v>
      </c>
      <c r="V31" s="67">
        <f t="shared" si="12"/>
        <v>2.0116999999999999E-3</v>
      </c>
    </row>
    <row r="32" spans="1:22" s="9" customFormat="1" x14ac:dyDescent="0.25">
      <c r="A32" s="9" t="s">
        <v>74</v>
      </c>
      <c r="B32" s="68">
        <f>B30-B31</f>
        <v>3.8700000000000019E-5</v>
      </c>
      <c r="C32" s="68">
        <f t="shared" ref="C32:V32" si="13">C30-C31</f>
        <v>1.2689999999999999E-4</v>
      </c>
      <c r="D32" s="68">
        <f t="shared" si="13"/>
        <v>9.8200000000000002E-5</v>
      </c>
      <c r="E32" s="68">
        <f t="shared" si="13"/>
        <v>6.1899999999999933E-5</v>
      </c>
      <c r="F32" s="68">
        <f t="shared" si="13"/>
        <v>1.3500000000000057E-5</v>
      </c>
      <c r="G32" s="68">
        <f t="shared" si="13"/>
        <v>2.3599999999999923E-5</v>
      </c>
      <c r="H32" s="68">
        <f t="shared" si="13"/>
        <v>6.7999999999999484E-6</v>
      </c>
      <c r="I32" s="68">
        <f t="shared" si="13"/>
        <v>7.200000000000175E-6</v>
      </c>
      <c r="J32" s="68">
        <f t="shared" si="13"/>
        <v>8.8999999999998369E-6</v>
      </c>
      <c r="K32" s="68">
        <f t="shared" si="13"/>
        <v>1.1500000000000008E-5</v>
      </c>
      <c r="L32" s="68">
        <f t="shared" si="13"/>
        <v>1.6600000000000078E-5</v>
      </c>
      <c r="M32" s="68">
        <f t="shared" si="13"/>
        <v>3.1900000000000071E-5</v>
      </c>
      <c r="N32" s="68">
        <f t="shared" si="13"/>
        <v>1.0769999999999999E-4</v>
      </c>
      <c r="O32" s="68">
        <f t="shared" si="13"/>
        <v>1.3450000000000007E-4</v>
      </c>
      <c r="P32" s="68">
        <f t="shared" si="13"/>
        <v>1.092E-4</v>
      </c>
      <c r="Q32" s="68">
        <f t="shared" si="13"/>
        <v>3.319999999999994E-5</v>
      </c>
      <c r="R32" s="68">
        <f t="shared" si="13"/>
        <v>6.110000000000013E-5</v>
      </c>
      <c r="S32" s="68">
        <f t="shared" si="13"/>
        <v>1.7639999999999998E-4</v>
      </c>
      <c r="T32" s="68">
        <f t="shared" si="13"/>
        <v>7.220000000000002E-5</v>
      </c>
      <c r="U32" s="68">
        <f t="shared" si="13"/>
        <v>2.3800000000000036E-5</v>
      </c>
      <c r="V32" s="68">
        <f t="shared" si="13"/>
        <v>1.7899999999999947E-5</v>
      </c>
    </row>
    <row r="35" spans="1:23" x14ac:dyDescent="0.25">
      <c r="A35" t="s">
        <v>43</v>
      </c>
    </row>
    <row r="40" spans="1:23" x14ac:dyDescent="0.25">
      <c r="A40" s="15" t="s">
        <v>61</v>
      </c>
      <c r="B40" s="23" t="s">
        <v>42</v>
      </c>
      <c r="C40" s="24" t="s">
        <v>44</v>
      </c>
      <c r="D40" s="25" t="s">
        <v>3</v>
      </c>
      <c r="E40" s="23" t="s">
        <v>4</v>
      </c>
      <c r="F40" s="23" t="s">
        <v>5</v>
      </c>
      <c r="G40" s="23" t="s">
        <v>6</v>
      </c>
      <c r="H40" s="23" t="s">
        <v>7</v>
      </c>
      <c r="I40" s="40" t="s">
        <v>8</v>
      </c>
      <c r="J40" s="40" t="s">
        <v>13</v>
      </c>
      <c r="K40" s="40" t="s">
        <v>14</v>
      </c>
      <c r="L40" s="40" t="s">
        <v>16</v>
      </c>
      <c r="M40" s="40" t="s">
        <v>17</v>
      </c>
      <c r="N40" s="40" t="s">
        <v>18</v>
      </c>
      <c r="O40" s="40" t="s">
        <v>19</v>
      </c>
      <c r="P40" s="40" t="s">
        <v>20</v>
      </c>
      <c r="Q40" s="40" t="s">
        <v>21</v>
      </c>
      <c r="R40" s="40" t="s">
        <v>22</v>
      </c>
      <c r="S40" s="40" t="s">
        <v>23</v>
      </c>
      <c r="T40" s="40" t="s">
        <v>24</v>
      </c>
      <c r="U40" s="23" t="s">
        <v>25</v>
      </c>
      <c r="V40" s="23" t="s">
        <v>26</v>
      </c>
      <c r="W40" s="20"/>
    </row>
    <row r="41" spans="1:23" x14ac:dyDescent="0.25">
      <c r="A41" t="s">
        <v>72</v>
      </c>
      <c r="B41" s="37">
        <f t="shared" ref="B41:H41" si="14">B$5</f>
        <v>121468654</v>
      </c>
      <c r="C41" s="37">
        <f t="shared" si="14"/>
        <v>169307359</v>
      </c>
      <c r="D41" s="37">
        <f t="shared" si="14"/>
        <v>194635329</v>
      </c>
      <c r="E41" s="37">
        <f t="shared" si="14"/>
        <v>194789351</v>
      </c>
      <c r="F41" s="37">
        <f t="shared" si="14"/>
        <v>218364238</v>
      </c>
      <c r="G41" s="37">
        <f t="shared" si="14"/>
        <v>219538102</v>
      </c>
      <c r="H41" s="37">
        <f t="shared" si="14"/>
        <v>220716679</v>
      </c>
      <c r="I41" s="52">
        <f t="shared" ref="I41:V41" si="15">$H$5</f>
        <v>220716679</v>
      </c>
      <c r="J41" s="52">
        <f t="shared" si="15"/>
        <v>220716679</v>
      </c>
      <c r="K41" s="52">
        <f t="shared" si="15"/>
        <v>220716679</v>
      </c>
      <c r="L41" s="52">
        <f t="shared" si="15"/>
        <v>220716679</v>
      </c>
      <c r="M41" s="52">
        <f t="shared" si="15"/>
        <v>220716679</v>
      </c>
      <c r="N41" s="52">
        <f t="shared" si="15"/>
        <v>220716679</v>
      </c>
      <c r="O41" s="52">
        <f t="shared" si="15"/>
        <v>220716679</v>
      </c>
      <c r="P41" s="52">
        <f t="shared" si="15"/>
        <v>220716679</v>
      </c>
      <c r="Q41" s="52">
        <f t="shared" si="15"/>
        <v>220716679</v>
      </c>
      <c r="R41" s="52">
        <f t="shared" si="15"/>
        <v>220716679</v>
      </c>
      <c r="S41" s="52">
        <f t="shared" si="15"/>
        <v>220716679</v>
      </c>
      <c r="T41" s="52">
        <f t="shared" si="15"/>
        <v>220716679</v>
      </c>
      <c r="U41" s="37">
        <f t="shared" si="15"/>
        <v>220716679</v>
      </c>
      <c r="V41" s="37">
        <f t="shared" si="15"/>
        <v>220716679</v>
      </c>
    </row>
    <row r="42" spans="1:23" x14ac:dyDescent="0.25">
      <c r="A42" t="s">
        <v>51</v>
      </c>
      <c r="B42" s="37">
        <v>0.5</v>
      </c>
      <c r="C42" s="37">
        <v>0.5</v>
      </c>
      <c r="D42" s="37">
        <v>0.5</v>
      </c>
      <c r="E42" s="37">
        <v>0.5</v>
      </c>
      <c r="F42" s="37">
        <v>0.5</v>
      </c>
      <c r="G42" s="37">
        <v>0.5</v>
      </c>
      <c r="H42" s="37">
        <v>0.5</v>
      </c>
      <c r="I42" s="52">
        <v>0.5</v>
      </c>
      <c r="J42" s="52">
        <v>0.5</v>
      </c>
      <c r="K42" s="52">
        <v>0.5</v>
      </c>
      <c r="L42" s="52">
        <v>0.5</v>
      </c>
      <c r="M42" s="52">
        <v>0.5</v>
      </c>
      <c r="N42" s="52">
        <v>0.5</v>
      </c>
      <c r="O42" s="52">
        <v>0.5</v>
      </c>
      <c r="P42" s="52">
        <v>0.5</v>
      </c>
      <c r="Q42" s="52">
        <v>0.5</v>
      </c>
      <c r="R42" s="52">
        <v>0.5</v>
      </c>
      <c r="S42" s="52">
        <v>0.5</v>
      </c>
      <c r="T42" s="52">
        <v>0.5</v>
      </c>
      <c r="U42" s="37">
        <v>0.5</v>
      </c>
      <c r="V42" s="37">
        <v>0.5</v>
      </c>
    </row>
    <row r="43" spans="1:23" x14ac:dyDescent="0.25">
      <c r="A43" t="s">
        <v>52</v>
      </c>
      <c r="B43" s="28">
        <f t="shared" ref="B43:V43" si="16">ROUND(B41*B42,0)</f>
        <v>60734327</v>
      </c>
      <c r="C43" s="28">
        <f t="shared" si="16"/>
        <v>84653680</v>
      </c>
      <c r="D43" s="28">
        <f t="shared" si="16"/>
        <v>97317665</v>
      </c>
      <c r="E43" s="28">
        <f t="shared" si="16"/>
        <v>97394676</v>
      </c>
      <c r="F43" s="28">
        <f t="shared" si="16"/>
        <v>109182119</v>
      </c>
      <c r="G43" s="28">
        <f t="shared" si="16"/>
        <v>109769051</v>
      </c>
      <c r="H43" s="28">
        <f t="shared" si="16"/>
        <v>110358340</v>
      </c>
      <c r="I43" s="43">
        <f t="shared" si="16"/>
        <v>110358340</v>
      </c>
      <c r="J43" s="43">
        <f t="shared" si="16"/>
        <v>110358340</v>
      </c>
      <c r="K43" s="43">
        <f t="shared" si="16"/>
        <v>110358340</v>
      </c>
      <c r="L43" s="43">
        <f t="shared" si="16"/>
        <v>110358340</v>
      </c>
      <c r="M43" s="43">
        <f t="shared" si="16"/>
        <v>110358340</v>
      </c>
      <c r="N43" s="43">
        <f t="shared" si="16"/>
        <v>110358340</v>
      </c>
      <c r="O43" s="43">
        <f t="shared" si="16"/>
        <v>110358340</v>
      </c>
      <c r="P43" s="43">
        <f t="shared" si="16"/>
        <v>110358340</v>
      </c>
      <c r="Q43" s="43">
        <f t="shared" si="16"/>
        <v>110358340</v>
      </c>
      <c r="R43" s="43">
        <f t="shared" si="16"/>
        <v>110358340</v>
      </c>
      <c r="S43" s="43">
        <f t="shared" si="16"/>
        <v>110358340</v>
      </c>
      <c r="T43" s="43">
        <f t="shared" si="16"/>
        <v>110358340</v>
      </c>
      <c r="U43" s="28">
        <f t="shared" si="16"/>
        <v>110358340</v>
      </c>
      <c r="V43" s="28">
        <f t="shared" si="16"/>
        <v>110358340</v>
      </c>
    </row>
    <row r="44" spans="1:23" x14ac:dyDescent="0.25">
      <c r="B44" s="29"/>
      <c r="C44" s="29"/>
      <c r="D44" s="29"/>
      <c r="E44" s="29"/>
      <c r="F44" s="29"/>
      <c r="G44" s="29"/>
      <c r="H44" s="29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29"/>
      <c r="V44" s="29"/>
    </row>
    <row r="45" spans="1:23" x14ac:dyDescent="0.25">
      <c r="A45" t="s">
        <v>53</v>
      </c>
      <c r="B45" s="37">
        <f t="shared" ref="B45:V45" si="17">B41-B43</f>
        <v>60734327</v>
      </c>
      <c r="C45" s="37">
        <f t="shared" si="17"/>
        <v>84653679</v>
      </c>
      <c r="D45" s="37">
        <f t="shared" si="17"/>
        <v>97317664</v>
      </c>
      <c r="E45" s="37">
        <f t="shared" si="17"/>
        <v>97394675</v>
      </c>
      <c r="F45" s="37">
        <f t="shared" si="17"/>
        <v>109182119</v>
      </c>
      <c r="G45" s="37">
        <f t="shared" si="17"/>
        <v>109769051</v>
      </c>
      <c r="H45" s="37">
        <f t="shared" si="17"/>
        <v>110358339</v>
      </c>
      <c r="I45" s="52">
        <f t="shared" si="17"/>
        <v>110358339</v>
      </c>
      <c r="J45" s="52">
        <f t="shared" si="17"/>
        <v>110358339</v>
      </c>
      <c r="K45" s="52">
        <f t="shared" si="17"/>
        <v>110358339</v>
      </c>
      <c r="L45" s="52">
        <f t="shared" si="17"/>
        <v>110358339</v>
      </c>
      <c r="M45" s="52">
        <f t="shared" si="17"/>
        <v>110358339</v>
      </c>
      <c r="N45" s="52">
        <f t="shared" si="17"/>
        <v>110358339</v>
      </c>
      <c r="O45" s="52">
        <f t="shared" si="17"/>
        <v>110358339</v>
      </c>
      <c r="P45" s="52">
        <f t="shared" si="17"/>
        <v>110358339</v>
      </c>
      <c r="Q45" s="52">
        <f t="shared" si="17"/>
        <v>110358339</v>
      </c>
      <c r="R45" s="52">
        <f t="shared" si="17"/>
        <v>110358339</v>
      </c>
      <c r="S45" s="52">
        <f t="shared" si="17"/>
        <v>110358339</v>
      </c>
      <c r="T45" s="52">
        <f t="shared" si="17"/>
        <v>110358339</v>
      </c>
      <c r="U45" s="37">
        <f t="shared" si="17"/>
        <v>110358339</v>
      </c>
      <c r="V45" s="37">
        <f t="shared" si="17"/>
        <v>110358339</v>
      </c>
    </row>
    <row r="46" spans="1:23" x14ac:dyDescent="0.25">
      <c r="A46" t="s">
        <v>64</v>
      </c>
      <c r="B46" s="27">
        <v>3.7499999999999999E-2</v>
      </c>
      <c r="C46" s="27">
        <v>3.7499999999999999E-2</v>
      </c>
      <c r="D46" s="27">
        <v>3.7499999999999999E-2</v>
      </c>
      <c r="E46" s="27">
        <v>3.7499999999999999E-2</v>
      </c>
      <c r="F46" s="27">
        <v>3.7499999999999999E-2</v>
      </c>
      <c r="G46" s="27">
        <v>3.7499999999999999E-2</v>
      </c>
      <c r="H46" s="27">
        <v>3.7499999999999999E-2</v>
      </c>
      <c r="I46" s="42">
        <v>7.2190000000000004E-2</v>
      </c>
      <c r="J46" s="42">
        <v>7.2190000000000004E-2</v>
      </c>
      <c r="K46" s="42">
        <v>7.2190000000000004E-2</v>
      </c>
      <c r="L46" s="42">
        <v>7.2190000000000004E-2</v>
      </c>
      <c r="M46" s="42">
        <v>7.2190000000000004E-2</v>
      </c>
      <c r="N46" s="42">
        <v>7.2190000000000004E-2</v>
      </c>
      <c r="O46" s="42">
        <v>7.2190000000000004E-2</v>
      </c>
      <c r="P46" s="42">
        <v>7.2190000000000004E-2</v>
      </c>
      <c r="Q46" s="42">
        <v>7.2190000000000004E-2</v>
      </c>
      <c r="R46" s="42">
        <v>7.2190000000000004E-2</v>
      </c>
      <c r="S46" s="42">
        <v>7.2190000000000004E-2</v>
      </c>
      <c r="T46" s="42">
        <v>7.2190000000000004E-2</v>
      </c>
      <c r="U46" s="27">
        <v>6.6769999999999996E-2</v>
      </c>
      <c r="V46" s="27">
        <v>6.6769999999999996E-2</v>
      </c>
    </row>
    <row r="47" spans="1:23" x14ac:dyDescent="0.25">
      <c r="A47" t="s">
        <v>54</v>
      </c>
      <c r="B47" s="28">
        <f t="shared" ref="B47:V47" si="18">ROUND(B45*B46,0)</f>
        <v>2277537</v>
      </c>
      <c r="C47" s="28">
        <f t="shared" si="18"/>
        <v>3174513</v>
      </c>
      <c r="D47" s="28">
        <f t="shared" si="18"/>
        <v>3649412</v>
      </c>
      <c r="E47" s="28">
        <f t="shared" si="18"/>
        <v>3652300</v>
      </c>
      <c r="F47" s="28">
        <f t="shared" si="18"/>
        <v>4094329</v>
      </c>
      <c r="G47" s="28">
        <f t="shared" si="18"/>
        <v>4116339</v>
      </c>
      <c r="H47" s="28">
        <f t="shared" si="18"/>
        <v>4138438</v>
      </c>
      <c r="I47" s="43">
        <f t="shared" si="18"/>
        <v>7966768</v>
      </c>
      <c r="J47" s="43">
        <f t="shared" si="18"/>
        <v>7966768</v>
      </c>
      <c r="K47" s="43">
        <f t="shared" si="18"/>
        <v>7966768</v>
      </c>
      <c r="L47" s="43">
        <f t="shared" si="18"/>
        <v>7966768</v>
      </c>
      <c r="M47" s="43">
        <f t="shared" si="18"/>
        <v>7966768</v>
      </c>
      <c r="N47" s="43">
        <f t="shared" si="18"/>
        <v>7966768</v>
      </c>
      <c r="O47" s="43">
        <f t="shared" si="18"/>
        <v>7966768</v>
      </c>
      <c r="P47" s="43">
        <f t="shared" si="18"/>
        <v>7966768</v>
      </c>
      <c r="Q47" s="43">
        <f t="shared" si="18"/>
        <v>7966768</v>
      </c>
      <c r="R47" s="43">
        <f t="shared" si="18"/>
        <v>7966768</v>
      </c>
      <c r="S47" s="43">
        <f t="shared" si="18"/>
        <v>7966768</v>
      </c>
      <c r="T47" s="43">
        <f t="shared" si="18"/>
        <v>7966768</v>
      </c>
      <c r="U47" s="28">
        <f t="shared" si="18"/>
        <v>7368626</v>
      </c>
      <c r="V47" s="28">
        <f t="shared" si="18"/>
        <v>7368626</v>
      </c>
    </row>
    <row r="48" spans="1:23" x14ac:dyDescent="0.25">
      <c r="B48" s="29"/>
      <c r="C48" s="29"/>
      <c r="D48" s="29"/>
      <c r="E48" s="29"/>
      <c r="F48" s="29"/>
      <c r="G48" s="29"/>
      <c r="H48" s="29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29"/>
      <c r="V48" s="29"/>
    </row>
    <row r="49" spans="1:22" x14ac:dyDescent="0.25">
      <c r="A49" t="s">
        <v>55</v>
      </c>
      <c r="B49" s="30">
        <f t="shared" ref="B49:H49" si="19">B43+B47</f>
        <v>63011864</v>
      </c>
      <c r="C49" s="30">
        <f t="shared" si="19"/>
        <v>87828193</v>
      </c>
      <c r="D49" s="30">
        <f t="shared" si="19"/>
        <v>100967077</v>
      </c>
      <c r="E49" s="30">
        <f t="shared" si="19"/>
        <v>101046976</v>
      </c>
      <c r="F49" s="30">
        <f t="shared" si="19"/>
        <v>113276448</v>
      </c>
      <c r="G49" s="30">
        <f t="shared" si="19"/>
        <v>113885390</v>
      </c>
      <c r="H49" s="30">
        <f t="shared" si="19"/>
        <v>114496778</v>
      </c>
      <c r="I49" s="45">
        <f t="shared" ref="I49:V49" si="20">I47</f>
        <v>7966768</v>
      </c>
      <c r="J49" s="45">
        <f t="shared" si="20"/>
        <v>7966768</v>
      </c>
      <c r="K49" s="45">
        <f t="shared" si="20"/>
        <v>7966768</v>
      </c>
      <c r="L49" s="45">
        <f t="shared" si="20"/>
        <v>7966768</v>
      </c>
      <c r="M49" s="45">
        <f t="shared" si="20"/>
        <v>7966768</v>
      </c>
      <c r="N49" s="45">
        <f t="shared" si="20"/>
        <v>7966768</v>
      </c>
      <c r="O49" s="45">
        <f t="shared" si="20"/>
        <v>7966768</v>
      </c>
      <c r="P49" s="45">
        <f t="shared" si="20"/>
        <v>7966768</v>
      </c>
      <c r="Q49" s="45">
        <f t="shared" si="20"/>
        <v>7966768</v>
      </c>
      <c r="R49" s="45">
        <f t="shared" si="20"/>
        <v>7966768</v>
      </c>
      <c r="S49" s="45">
        <f t="shared" si="20"/>
        <v>7966768</v>
      </c>
      <c r="T49" s="45">
        <f t="shared" si="20"/>
        <v>7966768</v>
      </c>
      <c r="U49" s="30">
        <f t="shared" si="20"/>
        <v>7368626</v>
      </c>
      <c r="V49" s="30">
        <f t="shared" si="20"/>
        <v>7368626</v>
      </c>
    </row>
    <row r="50" spans="1:22" x14ac:dyDescent="0.25">
      <c r="A50" t="s">
        <v>57</v>
      </c>
      <c r="B50" s="31">
        <v>6</v>
      </c>
      <c r="C50" s="31">
        <v>7</v>
      </c>
      <c r="D50" s="31">
        <v>8</v>
      </c>
      <c r="E50" s="31">
        <v>9</v>
      </c>
      <c r="F50" s="31">
        <v>10</v>
      </c>
      <c r="G50" s="31">
        <v>11</v>
      </c>
      <c r="H50" s="31">
        <v>12</v>
      </c>
      <c r="I50" s="46">
        <v>1</v>
      </c>
      <c r="J50" s="46">
        <v>2</v>
      </c>
      <c r="K50" s="46">
        <v>3</v>
      </c>
      <c r="L50" s="46">
        <v>4</v>
      </c>
      <c r="M50" s="46">
        <v>5</v>
      </c>
      <c r="N50" s="46">
        <v>6</v>
      </c>
      <c r="O50" s="46">
        <v>7</v>
      </c>
      <c r="P50" s="46">
        <v>8</v>
      </c>
      <c r="Q50" s="46">
        <v>9</v>
      </c>
      <c r="R50" s="46">
        <v>10</v>
      </c>
      <c r="S50" s="46">
        <v>11</v>
      </c>
      <c r="T50" s="46">
        <v>12</v>
      </c>
      <c r="U50" s="31">
        <v>1</v>
      </c>
      <c r="V50" s="31">
        <v>2</v>
      </c>
    </row>
    <row r="51" spans="1:22" x14ac:dyDescent="0.25">
      <c r="A51" t="s">
        <v>56</v>
      </c>
      <c r="B51" s="32">
        <f t="shared" ref="B51:V51" si="21">ROUND(B49/12*B50,0)</f>
        <v>31505932</v>
      </c>
      <c r="C51" s="32">
        <f t="shared" si="21"/>
        <v>51233113</v>
      </c>
      <c r="D51" s="32">
        <f t="shared" si="21"/>
        <v>67311385</v>
      </c>
      <c r="E51" s="32">
        <f t="shared" si="21"/>
        <v>75785232</v>
      </c>
      <c r="F51" s="32">
        <f t="shared" si="21"/>
        <v>94397040</v>
      </c>
      <c r="G51" s="32">
        <f t="shared" si="21"/>
        <v>104394941</v>
      </c>
      <c r="H51" s="32">
        <f t="shared" si="21"/>
        <v>114496778</v>
      </c>
      <c r="I51" s="47">
        <f t="shared" si="21"/>
        <v>663897</v>
      </c>
      <c r="J51" s="47">
        <f t="shared" si="21"/>
        <v>1327795</v>
      </c>
      <c r="K51" s="47">
        <f t="shared" si="21"/>
        <v>1991692</v>
      </c>
      <c r="L51" s="47">
        <f t="shared" si="21"/>
        <v>2655589</v>
      </c>
      <c r="M51" s="47">
        <f t="shared" si="21"/>
        <v>3319487</v>
      </c>
      <c r="N51" s="47">
        <f t="shared" si="21"/>
        <v>3983384</v>
      </c>
      <c r="O51" s="47">
        <f t="shared" si="21"/>
        <v>4647281</v>
      </c>
      <c r="P51" s="47">
        <f t="shared" si="21"/>
        <v>5311179</v>
      </c>
      <c r="Q51" s="47">
        <f t="shared" si="21"/>
        <v>5975076</v>
      </c>
      <c r="R51" s="47">
        <f t="shared" si="21"/>
        <v>6638973</v>
      </c>
      <c r="S51" s="47">
        <f t="shared" si="21"/>
        <v>7302871</v>
      </c>
      <c r="T51" s="47">
        <f t="shared" si="21"/>
        <v>7966768</v>
      </c>
      <c r="U51" s="32">
        <f t="shared" si="21"/>
        <v>614052</v>
      </c>
      <c r="V51" s="32">
        <f t="shared" si="21"/>
        <v>1228104</v>
      </c>
    </row>
    <row r="52" spans="1:22" x14ac:dyDescent="0.25">
      <c r="A52" s="22"/>
      <c r="B52" s="33"/>
      <c r="C52" s="33"/>
      <c r="D52" s="33"/>
      <c r="E52" s="33"/>
      <c r="F52" s="33"/>
      <c r="G52" s="33"/>
      <c r="H52" s="33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33"/>
      <c r="V52" s="33"/>
    </row>
    <row r="53" spans="1:22" x14ac:dyDescent="0.25">
      <c r="A53" s="16"/>
      <c r="B53" s="34"/>
      <c r="C53" s="34"/>
      <c r="D53" s="34"/>
      <c r="E53" s="34"/>
      <c r="F53" s="34"/>
      <c r="G53" s="34"/>
      <c r="H53" s="34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34"/>
      <c r="V53" s="34"/>
    </row>
    <row r="54" spans="1:22" x14ac:dyDescent="0.25">
      <c r="A54" s="15" t="s">
        <v>62</v>
      </c>
      <c r="B54" s="29"/>
      <c r="C54" s="29"/>
      <c r="D54" s="29"/>
      <c r="E54" s="29"/>
      <c r="F54" s="29"/>
      <c r="G54" s="29"/>
      <c r="H54" s="29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29"/>
      <c r="V54" s="29"/>
    </row>
    <row r="55" spans="1:22" x14ac:dyDescent="0.25">
      <c r="A55" t="s">
        <v>72</v>
      </c>
      <c r="B55" s="35"/>
      <c r="C55" s="35"/>
      <c r="D55" s="35"/>
      <c r="E55" s="35"/>
      <c r="F55" s="35"/>
      <c r="G55" s="35"/>
      <c r="H55" s="35"/>
      <c r="I55" s="52">
        <f t="shared" ref="I55:T55" si="22">I5-I41</f>
        <v>332660</v>
      </c>
      <c r="J55" s="52">
        <f t="shared" si="22"/>
        <v>401433</v>
      </c>
      <c r="K55" s="52">
        <f t="shared" si="22"/>
        <v>951923</v>
      </c>
      <c r="L55" s="52">
        <f t="shared" si="22"/>
        <v>1060208</v>
      </c>
      <c r="M55" s="52">
        <f t="shared" si="22"/>
        <v>519246</v>
      </c>
      <c r="N55" s="52">
        <f t="shared" si="22"/>
        <v>648925</v>
      </c>
      <c r="O55" s="52">
        <f t="shared" si="22"/>
        <v>654982</v>
      </c>
      <c r="P55" s="52">
        <f t="shared" si="22"/>
        <v>673000</v>
      </c>
      <c r="Q55" s="52">
        <f t="shared" si="22"/>
        <v>691504</v>
      </c>
      <c r="R55" s="52">
        <f t="shared" si="22"/>
        <v>706006</v>
      </c>
      <c r="S55" s="52">
        <f t="shared" si="22"/>
        <v>1694092</v>
      </c>
      <c r="T55" s="52">
        <f t="shared" si="22"/>
        <v>1694092</v>
      </c>
      <c r="U55" s="37">
        <f>$T$55</f>
        <v>1694092</v>
      </c>
      <c r="V55" s="37">
        <f>$T$55</f>
        <v>1694092</v>
      </c>
    </row>
    <row r="56" spans="1:22" x14ac:dyDescent="0.25">
      <c r="A56" t="s">
        <v>51</v>
      </c>
      <c r="B56" s="56"/>
      <c r="C56" s="56"/>
      <c r="D56" s="56"/>
      <c r="E56" s="56"/>
      <c r="F56" s="56"/>
      <c r="G56" s="56"/>
      <c r="H56" s="56"/>
      <c r="I56" s="42">
        <v>0.5</v>
      </c>
      <c r="J56" s="42">
        <v>0.5</v>
      </c>
      <c r="K56" s="42">
        <v>0.5</v>
      </c>
      <c r="L56" s="42">
        <v>0.5</v>
      </c>
      <c r="M56" s="42">
        <v>0.5</v>
      </c>
      <c r="N56" s="42">
        <v>0.5</v>
      </c>
      <c r="O56" s="42">
        <v>0.5</v>
      </c>
      <c r="P56" s="42">
        <v>0.5</v>
      </c>
      <c r="Q56" s="42">
        <v>0.5</v>
      </c>
      <c r="R56" s="42">
        <v>0.5</v>
      </c>
      <c r="S56" s="42">
        <v>0.5</v>
      </c>
      <c r="T56" s="42">
        <v>0.5</v>
      </c>
      <c r="U56" s="27">
        <v>0.5</v>
      </c>
      <c r="V56" s="27">
        <v>0.5</v>
      </c>
    </row>
    <row r="57" spans="1:22" x14ac:dyDescent="0.25">
      <c r="A57" t="s">
        <v>52</v>
      </c>
      <c r="B57" s="57"/>
      <c r="C57" s="57"/>
      <c r="D57" s="57"/>
      <c r="E57" s="57"/>
      <c r="F57" s="57"/>
      <c r="G57" s="57"/>
      <c r="H57" s="57"/>
      <c r="I57" s="43">
        <f t="shared" ref="I57:V57" si="23">ROUND(I55*I56,0)</f>
        <v>166330</v>
      </c>
      <c r="J57" s="43">
        <f t="shared" si="23"/>
        <v>200717</v>
      </c>
      <c r="K57" s="43">
        <f t="shared" si="23"/>
        <v>475962</v>
      </c>
      <c r="L57" s="43">
        <f t="shared" si="23"/>
        <v>530104</v>
      </c>
      <c r="M57" s="43">
        <f t="shared" si="23"/>
        <v>259623</v>
      </c>
      <c r="N57" s="43">
        <f t="shared" si="23"/>
        <v>324463</v>
      </c>
      <c r="O57" s="43">
        <f t="shared" si="23"/>
        <v>327491</v>
      </c>
      <c r="P57" s="43">
        <f t="shared" si="23"/>
        <v>336500</v>
      </c>
      <c r="Q57" s="43">
        <f t="shared" si="23"/>
        <v>345752</v>
      </c>
      <c r="R57" s="43">
        <f t="shared" si="23"/>
        <v>353003</v>
      </c>
      <c r="S57" s="43">
        <f t="shared" si="23"/>
        <v>847046</v>
      </c>
      <c r="T57" s="43">
        <f t="shared" si="23"/>
        <v>847046</v>
      </c>
      <c r="U57" s="28">
        <f t="shared" si="23"/>
        <v>847046</v>
      </c>
      <c r="V57" s="28">
        <f t="shared" si="23"/>
        <v>847046</v>
      </c>
    </row>
    <row r="58" spans="1:22" x14ac:dyDescent="0.25">
      <c r="B58" s="58"/>
      <c r="C58" s="58"/>
      <c r="D58" s="58"/>
      <c r="E58" s="58"/>
      <c r="F58" s="58"/>
      <c r="G58" s="58"/>
      <c r="H58" s="58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29"/>
      <c r="V58" s="29"/>
    </row>
    <row r="59" spans="1:22" x14ac:dyDescent="0.25">
      <c r="A59" t="s">
        <v>53</v>
      </c>
      <c r="B59" s="35"/>
      <c r="C59" s="35"/>
      <c r="D59" s="35"/>
      <c r="E59" s="35"/>
      <c r="F59" s="35"/>
      <c r="G59" s="35"/>
      <c r="H59" s="35"/>
      <c r="I59" s="52">
        <f t="shared" ref="I59:V59" si="24">I55-I57</f>
        <v>166330</v>
      </c>
      <c r="J59" s="52">
        <f t="shared" si="24"/>
        <v>200716</v>
      </c>
      <c r="K59" s="52">
        <f t="shared" si="24"/>
        <v>475961</v>
      </c>
      <c r="L59" s="52">
        <f t="shared" si="24"/>
        <v>530104</v>
      </c>
      <c r="M59" s="52">
        <f t="shared" si="24"/>
        <v>259623</v>
      </c>
      <c r="N59" s="52">
        <f t="shared" si="24"/>
        <v>324462</v>
      </c>
      <c r="O59" s="52">
        <f t="shared" si="24"/>
        <v>327491</v>
      </c>
      <c r="P59" s="52">
        <f t="shared" si="24"/>
        <v>336500</v>
      </c>
      <c r="Q59" s="52">
        <f t="shared" si="24"/>
        <v>345752</v>
      </c>
      <c r="R59" s="52">
        <f t="shared" si="24"/>
        <v>353003</v>
      </c>
      <c r="S59" s="52">
        <f t="shared" si="24"/>
        <v>847046</v>
      </c>
      <c r="T59" s="52">
        <f t="shared" si="24"/>
        <v>847046</v>
      </c>
      <c r="U59" s="37">
        <f t="shared" si="24"/>
        <v>847046</v>
      </c>
      <c r="V59" s="37">
        <f t="shared" si="24"/>
        <v>847046</v>
      </c>
    </row>
    <row r="60" spans="1:22" x14ac:dyDescent="0.25">
      <c r="A60" t="s">
        <v>64</v>
      </c>
      <c r="B60" s="56"/>
      <c r="C60" s="56"/>
      <c r="D60" s="56"/>
      <c r="E60" s="56"/>
      <c r="F60" s="56"/>
      <c r="G60" s="56"/>
      <c r="H60" s="56"/>
      <c r="I60" s="42">
        <v>3.7499999999999999E-2</v>
      </c>
      <c r="J60" s="42">
        <v>3.7499999999999999E-2</v>
      </c>
      <c r="K60" s="42">
        <v>3.7499999999999999E-2</v>
      </c>
      <c r="L60" s="42">
        <v>3.7499999999999999E-2</v>
      </c>
      <c r="M60" s="42">
        <v>3.7499999999999999E-2</v>
      </c>
      <c r="N60" s="42">
        <v>3.7499999999999999E-2</v>
      </c>
      <c r="O60" s="42">
        <v>3.7499999999999999E-2</v>
      </c>
      <c r="P60" s="42">
        <v>3.7499999999999999E-2</v>
      </c>
      <c r="Q60" s="42">
        <v>3.7499999999999999E-2</v>
      </c>
      <c r="R60" s="42">
        <v>3.7499999999999999E-2</v>
      </c>
      <c r="S60" s="42">
        <v>3.7499999999999999E-2</v>
      </c>
      <c r="T60" s="42">
        <v>3.7499999999999999E-2</v>
      </c>
      <c r="U60" s="27">
        <v>7.2190000000000004E-2</v>
      </c>
      <c r="V60" s="27">
        <v>7.2190000000000004E-2</v>
      </c>
    </row>
    <row r="61" spans="1:22" x14ac:dyDescent="0.25">
      <c r="A61" t="s">
        <v>54</v>
      </c>
      <c r="B61" s="57"/>
      <c r="C61" s="57"/>
      <c r="D61" s="57"/>
      <c r="E61" s="57"/>
      <c r="F61" s="57"/>
      <c r="G61" s="57"/>
      <c r="H61" s="57"/>
      <c r="I61" s="43">
        <f t="shared" ref="I61:V61" si="25">ROUND(I59*I60,0)</f>
        <v>6237</v>
      </c>
      <c r="J61" s="43">
        <f t="shared" si="25"/>
        <v>7527</v>
      </c>
      <c r="K61" s="43">
        <f t="shared" si="25"/>
        <v>17849</v>
      </c>
      <c r="L61" s="43">
        <f t="shared" si="25"/>
        <v>19879</v>
      </c>
      <c r="M61" s="43">
        <f t="shared" si="25"/>
        <v>9736</v>
      </c>
      <c r="N61" s="43">
        <f t="shared" si="25"/>
        <v>12167</v>
      </c>
      <c r="O61" s="43">
        <f t="shared" si="25"/>
        <v>12281</v>
      </c>
      <c r="P61" s="43">
        <f t="shared" si="25"/>
        <v>12619</v>
      </c>
      <c r="Q61" s="43">
        <f t="shared" si="25"/>
        <v>12966</v>
      </c>
      <c r="R61" s="43">
        <f t="shared" si="25"/>
        <v>13238</v>
      </c>
      <c r="S61" s="43">
        <f t="shared" si="25"/>
        <v>31764</v>
      </c>
      <c r="T61" s="43">
        <f t="shared" si="25"/>
        <v>31764</v>
      </c>
      <c r="U61" s="28">
        <f t="shared" si="25"/>
        <v>61148</v>
      </c>
      <c r="V61" s="28">
        <f t="shared" si="25"/>
        <v>61148</v>
      </c>
    </row>
    <row r="62" spans="1:22" x14ac:dyDescent="0.25">
      <c r="B62" s="58"/>
      <c r="C62" s="58"/>
      <c r="D62" s="58"/>
      <c r="E62" s="58"/>
      <c r="F62" s="58"/>
      <c r="G62" s="58"/>
      <c r="H62" s="58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29"/>
      <c r="V62" s="29"/>
    </row>
    <row r="63" spans="1:22" x14ac:dyDescent="0.25">
      <c r="A63" t="s">
        <v>55</v>
      </c>
      <c r="B63" s="34"/>
      <c r="C63" s="34"/>
      <c r="D63" s="34"/>
      <c r="E63" s="34"/>
      <c r="F63" s="34"/>
      <c r="G63" s="34"/>
      <c r="H63" s="34"/>
      <c r="I63" s="45">
        <f t="shared" ref="I63:T63" si="26">I57+I61</f>
        <v>172567</v>
      </c>
      <c r="J63" s="45">
        <f t="shared" si="26"/>
        <v>208244</v>
      </c>
      <c r="K63" s="45">
        <f t="shared" si="26"/>
        <v>493811</v>
      </c>
      <c r="L63" s="45">
        <f t="shared" si="26"/>
        <v>549983</v>
      </c>
      <c r="M63" s="45">
        <f t="shared" si="26"/>
        <v>269359</v>
      </c>
      <c r="N63" s="45">
        <f t="shared" si="26"/>
        <v>336630</v>
      </c>
      <c r="O63" s="45">
        <f t="shared" si="26"/>
        <v>339772</v>
      </c>
      <c r="P63" s="45">
        <f t="shared" si="26"/>
        <v>349119</v>
      </c>
      <c r="Q63" s="45">
        <f t="shared" si="26"/>
        <v>358718</v>
      </c>
      <c r="R63" s="45">
        <f t="shared" si="26"/>
        <v>366241</v>
      </c>
      <c r="S63" s="45">
        <f t="shared" si="26"/>
        <v>878810</v>
      </c>
      <c r="T63" s="45">
        <f t="shared" si="26"/>
        <v>878810</v>
      </c>
      <c r="U63" s="30">
        <f>U61</f>
        <v>61148</v>
      </c>
      <c r="V63" s="30">
        <f>V61</f>
        <v>61148</v>
      </c>
    </row>
    <row r="64" spans="1:22" x14ac:dyDescent="0.25">
      <c r="A64" t="s">
        <v>57</v>
      </c>
      <c r="B64" s="59"/>
      <c r="C64" s="59"/>
      <c r="D64" s="59"/>
      <c r="E64" s="59"/>
      <c r="F64" s="59"/>
      <c r="G64" s="59"/>
      <c r="H64" s="59"/>
      <c r="I64" s="46">
        <f t="shared" ref="I64:V64" si="27">I50</f>
        <v>1</v>
      </c>
      <c r="J64" s="46">
        <f t="shared" si="27"/>
        <v>2</v>
      </c>
      <c r="K64" s="46">
        <f t="shared" si="27"/>
        <v>3</v>
      </c>
      <c r="L64" s="46">
        <f t="shared" si="27"/>
        <v>4</v>
      </c>
      <c r="M64" s="46">
        <f t="shared" si="27"/>
        <v>5</v>
      </c>
      <c r="N64" s="46">
        <f t="shared" si="27"/>
        <v>6</v>
      </c>
      <c r="O64" s="46">
        <f t="shared" si="27"/>
        <v>7</v>
      </c>
      <c r="P64" s="46">
        <f t="shared" si="27"/>
        <v>8</v>
      </c>
      <c r="Q64" s="46">
        <f t="shared" si="27"/>
        <v>9</v>
      </c>
      <c r="R64" s="46">
        <f t="shared" si="27"/>
        <v>10</v>
      </c>
      <c r="S64" s="46">
        <f t="shared" si="27"/>
        <v>11</v>
      </c>
      <c r="T64" s="46">
        <f t="shared" si="27"/>
        <v>12</v>
      </c>
      <c r="U64" s="31">
        <f t="shared" si="27"/>
        <v>1</v>
      </c>
      <c r="V64" s="31">
        <f t="shared" si="27"/>
        <v>2</v>
      </c>
    </row>
    <row r="65" spans="1:22" x14ac:dyDescent="0.25">
      <c r="A65" t="s">
        <v>56</v>
      </c>
      <c r="B65" s="34"/>
      <c r="C65" s="34"/>
      <c r="D65" s="34"/>
      <c r="E65" s="34"/>
      <c r="F65" s="34"/>
      <c r="G65" s="34"/>
      <c r="H65" s="34"/>
      <c r="I65" s="47">
        <f t="shared" ref="I65:V65" si="28">ROUND(I63/12*I64,0)</f>
        <v>14381</v>
      </c>
      <c r="J65" s="47">
        <f t="shared" si="28"/>
        <v>34707</v>
      </c>
      <c r="K65" s="47">
        <f t="shared" si="28"/>
        <v>123453</v>
      </c>
      <c r="L65" s="47">
        <f t="shared" si="28"/>
        <v>183328</v>
      </c>
      <c r="M65" s="47">
        <f t="shared" si="28"/>
        <v>112233</v>
      </c>
      <c r="N65" s="47">
        <f t="shared" si="28"/>
        <v>168315</v>
      </c>
      <c r="O65" s="47">
        <f t="shared" si="28"/>
        <v>198200</v>
      </c>
      <c r="P65" s="47">
        <f t="shared" si="28"/>
        <v>232746</v>
      </c>
      <c r="Q65" s="47">
        <f t="shared" si="28"/>
        <v>269039</v>
      </c>
      <c r="R65" s="47">
        <f t="shared" si="28"/>
        <v>305201</v>
      </c>
      <c r="S65" s="47">
        <f t="shared" si="28"/>
        <v>805576</v>
      </c>
      <c r="T65" s="47">
        <f t="shared" si="28"/>
        <v>878810</v>
      </c>
      <c r="U65" s="32">
        <f t="shared" si="28"/>
        <v>5096</v>
      </c>
      <c r="V65" s="32">
        <f t="shared" si="28"/>
        <v>10191</v>
      </c>
    </row>
    <row r="66" spans="1:22" x14ac:dyDescent="0.25">
      <c r="A66" s="22"/>
      <c r="B66" s="60"/>
      <c r="C66" s="60"/>
      <c r="D66" s="60"/>
      <c r="E66" s="60"/>
      <c r="F66" s="60"/>
      <c r="G66" s="60"/>
      <c r="H66" s="60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33"/>
      <c r="V66" s="33"/>
    </row>
    <row r="67" spans="1:22" x14ac:dyDescent="0.25">
      <c r="B67" s="58"/>
      <c r="C67" s="58"/>
      <c r="D67" s="58"/>
      <c r="E67" s="58"/>
      <c r="F67" s="58"/>
      <c r="G67" s="58"/>
      <c r="H67" s="58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29"/>
      <c r="V67" s="29"/>
    </row>
    <row r="68" spans="1:22" x14ac:dyDescent="0.25">
      <c r="A68" s="55" t="s">
        <v>63</v>
      </c>
      <c r="B68" s="58"/>
      <c r="C68" s="58"/>
      <c r="D68" s="58"/>
      <c r="E68" s="58"/>
      <c r="F68" s="58"/>
      <c r="G68" s="58"/>
      <c r="H68" s="58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29"/>
      <c r="V68" s="29"/>
    </row>
    <row r="69" spans="1:22" x14ac:dyDescent="0.25">
      <c r="A69" t="s">
        <v>72</v>
      </c>
      <c r="B69" s="35"/>
      <c r="C69" s="35"/>
      <c r="D69" s="35"/>
      <c r="E69" s="35"/>
      <c r="F69" s="35"/>
      <c r="G69" s="35"/>
      <c r="H69" s="35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37">
        <f>U5-U41-U55</f>
        <v>-406872</v>
      </c>
      <c r="V69" s="37">
        <f>V5-V41-V55</f>
        <v>-439608</v>
      </c>
    </row>
    <row r="70" spans="1:22" x14ac:dyDescent="0.25">
      <c r="A70" t="s">
        <v>51</v>
      </c>
      <c r="B70" s="56"/>
      <c r="C70" s="56"/>
      <c r="D70" s="56"/>
      <c r="E70" s="56"/>
      <c r="F70" s="56"/>
      <c r="G70" s="56"/>
      <c r="H70" s="56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27">
        <v>0.5</v>
      </c>
      <c r="V70" s="27">
        <v>0.5</v>
      </c>
    </row>
    <row r="71" spans="1:22" x14ac:dyDescent="0.25">
      <c r="A71" t="s">
        <v>52</v>
      </c>
      <c r="B71" s="57"/>
      <c r="C71" s="57"/>
      <c r="D71" s="57"/>
      <c r="E71" s="57"/>
      <c r="F71" s="57"/>
      <c r="G71" s="57"/>
      <c r="H71" s="57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28">
        <f>ROUND(U69*U70,0)</f>
        <v>-203436</v>
      </c>
      <c r="V71" s="28">
        <f>ROUND(V69*V70,0)</f>
        <v>-219804</v>
      </c>
    </row>
    <row r="72" spans="1:22" x14ac:dyDescent="0.25">
      <c r="B72" s="58"/>
      <c r="C72" s="58"/>
      <c r="D72" s="58"/>
      <c r="E72" s="58"/>
      <c r="F72" s="58"/>
      <c r="G72" s="58"/>
      <c r="H72" s="58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29"/>
      <c r="V72" s="29"/>
    </row>
    <row r="73" spans="1:22" x14ac:dyDescent="0.25">
      <c r="A73" t="s">
        <v>53</v>
      </c>
      <c r="B73" s="35"/>
      <c r="C73" s="35"/>
      <c r="D73" s="35"/>
      <c r="E73" s="35"/>
      <c r="F73" s="35"/>
      <c r="G73" s="35"/>
      <c r="H73" s="35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37">
        <f>U69-U71</f>
        <v>-203436</v>
      </c>
      <c r="V73" s="37">
        <f>V69-V71</f>
        <v>-219804</v>
      </c>
    </row>
    <row r="74" spans="1:22" x14ac:dyDescent="0.25">
      <c r="A74" t="s">
        <v>64</v>
      </c>
      <c r="B74" s="56"/>
      <c r="C74" s="56"/>
      <c r="D74" s="56"/>
      <c r="E74" s="56"/>
      <c r="F74" s="56"/>
      <c r="G74" s="56"/>
      <c r="H74" s="56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27">
        <v>3.7499999999999999E-2</v>
      </c>
      <c r="V74" s="27">
        <v>3.7499999999999999E-2</v>
      </c>
    </row>
    <row r="75" spans="1:22" x14ac:dyDescent="0.25">
      <c r="A75" t="s">
        <v>54</v>
      </c>
      <c r="B75" s="57"/>
      <c r="C75" s="57"/>
      <c r="D75" s="57"/>
      <c r="E75" s="57"/>
      <c r="F75" s="57"/>
      <c r="G75" s="57"/>
      <c r="H75" s="57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28">
        <f>ROUND(U73*U74,0)</f>
        <v>-7629</v>
      </c>
      <c r="V75" s="28">
        <f>ROUND(V73*V74,0)</f>
        <v>-8243</v>
      </c>
    </row>
    <row r="76" spans="1:22" x14ac:dyDescent="0.25">
      <c r="B76" s="58"/>
      <c r="C76" s="58"/>
      <c r="D76" s="58"/>
      <c r="E76" s="58"/>
      <c r="F76" s="58"/>
      <c r="G76" s="58"/>
      <c r="H76" s="58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29"/>
      <c r="V76" s="29"/>
    </row>
    <row r="77" spans="1:22" x14ac:dyDescent="0.25">
      <c r="A77" t="s">
        <v>55</v>
      </c>
      <c r="B77" s="34"/>
      <c r="C77" s="34"/>
      <c r="D77" s="34"/>
      <c r="E77" s="34"/>
      <c r="F77" s="34"/>
      <c r="G77" s="34"/>
      <c r="H77" s="34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30">
        <f>U71+U75</f>
        <v>-211065</v>
      </c>
      <c r="V77" s="30">
        <f>V71+V75</f>
        <v>-228047</v>
      </c>
    </row>
    <row r="78" spans="1:22" x14ac:dyDescent="0.25">
      <c r="A78" t="s">
        <v>57</v>
      </c>
      <c r="B78" s="59"/>
      <c r="C78" s="59"/>
      <c r="D78" s="59"/>
      <c r="E78" s="59"/>
      <c r="F78" s="59"/>
      <c r="G78" s="59"/>
      <c r="H78" s="59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31">
        <f>U50</f>
        <v>1</v>
      </c>
      <c r="V78" s="31">
        <f>V50</f>
        <v>2</v>
      </c>
    </row>
    <row r="79" spans="1:22" x14ac:dyDescent="0.25">
      <c r="A79" t="s">
        <v>56</v>
      </c>
      <c r="B79" s="34"/>
      <c r="C79" s="34"/>
      <c r="D79" s="34"/>
      <c r="E79" s="34"/>
      <c r="F79" s="34"/>
      <c r="G79" s="34"/>
      <c r="H79" s="34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32">
        <f>ROUND(U77/12*U78,0)</f>
        <v>-17589</v>
      </c>
      <c r="V79" s="32">
        <f>ROUND(V77/12*V78,0)</f>
        <v>-38008</v>
      </c>
    </row>
    <row r="80" spans="1:22" x14ac:dyDescent="0.25">
      <c r="A80" s="22"/>
      <c r="B80" s="60"/>
      <c r="C80" s="60"/>
      <c r="D80" s="60"/>
      <c r="E80" s="60"/>
      <c r="F80" s="60"/>
      <c r="G80" s="60"/>
      <c r="H80" s="60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33"/>
      <c r="V80" s="33"/>
    </row>
    <row r="81" spans="1:22" x14ac:dyDescent="0.25">
      <c r="B81" s="29"/>
      <c r="C81" s="29"/>
      <c r="D81" s="29"/>
      <c r="E81" s="29"/>
      <c r="F81" s="29"/>
      <c r="G81" s="29"/>
      <c r="H81" s="29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29"/>
      <c r="V81" s="29"/>
    </row>
    <row r="82" spans="1:22" x14ac:dyDescent="0.25">
      <c r="A82" s="15" t="s">
        <v>73</v>
      </c>
      <c r="B82" s="29"/>
      <c r="C82" s="29"/>
      <c r="D82" s="29"/>
      <c r="E82" s="29"/>
      <c r="F82" s="29"/>
      <c r="G82" s="29"/>
      <c r="H82" s="29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29"/>
      <c r="V82" s="29"/>
    </row>
    <row r="83" spans="1:22" x14ac:dyDescent="0.25">
      <c r="B83" s="26"/>
      <c r="C83" s="26"/>
      <c r="D83" s="26"/>
      <c r="E83" s="26"/>
      <c r="F83" s="26"/>
      <c r="G83" s="26"/>
      <c r="H83" s="26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26"/>
      <c r="V83" s="26"/>
    </row>
    <row r="84" spans="1:22" x14ac:dyDescent="0.25">
      <c r="A84" t="s">
        <v>58</v>
      </c>
      <c r="B84" s="31">
        <f t="shared" ref="B84:V84" si="29">B6</f>
        <v>818525</v>
      </c>
      <c r="C84" s="31">
        <f t="shared" si="29"/>
        <v>1397904</v>
      </c>
      <c r="D84" s="31">
        <f t="shared" si="29"/>
        <v>1918294</v>
      </c>
      <c r="E84" s="31">
        <f t="shared" si="29"/>
        <v>2251617</v>
      </c>
      <c r="F84" s="31">
        <f t="shared" si="29"/>
        <v>2880267</v>
      </c>
      <c r="G84" s="31">
        <f t="shared" si="29"/>
        <v>3291641</v>
      </c>
      <c r="H84" s="31">
        <f t="shared" si="29"/>
        <v>3727362</v>
      </c>
      <c r="I84" s="46">
        <f t="shared" si="29"/>
        <v>4177146</v>
      </c>
      <c r="J84" s="46">
        <f t="shared" si="29"/>
        <v>4997995</v>
      </c>
      <c r="K84" s="46">
        <f t="shared" si="29"/>
        <v>5850778</v>
      </c>
      <c r="L84" s="46">
        <f t="shared" si="29"/>
        <v>6724680</v>
      </c>
      <c r="M84" s="46">
        <f t="shared" si="29"/>
        <v>7566351</v>
      </c>
      <c r="N84" s="46">
        <f t="shared" si="29"/>
        <v>8449404</v>
      </c>
      <c r="O84" s="46">
        <f t="shared" si="29"/>
        <v>9406858</v>
      </c>
      <c r="P84" s="46">
        <f t="shared" si="29"/>
        <v>10399929</v>
      </c>
      <c r="Q84" s="46">
        <f t="shared" si="29"/>
        <v>11391853</v>
      </c>
      <c r="R84" s="46">
        <f t="shared" si="29"/>
        <v>12447645</v>
      </c>
      <c r="S84" s="46">
        <f t="shared" si="29"/>
        <v>13561349</v>
      </c>
      <c r="T84" s="46">
        <f t="shared" si="29"/>
        <v>13561349</v>
      </c>
      <c r="U84" s="31">
        <f t="shared" si="29"/>
        <v>15719706</v>
      </c>
      <c r="V84" s="31">
        <f t="shared" si="29"/>
        <v>16865779</v>
      </c>
    </row>
    <row r="85" spans="1:22" x14ac:dyDescent="0.25">
      <c r="B85" s="35"/>
      <c r="C85" s="35"/>
      <c r="D85" s="35"/>
      <c r="E85" s="35"/>
      <c r="F85" s="35"/>
      <c r="G85" s="35"/>
      <c r="H85" s="35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35"/>
      <c r="V85" s="35"/>
    </row>
    <row r="86" spans="1:22" x14ac:dyDescent="0.25">
      <c r="A86" t="s">
        <v>65</v>
      </c>
      <c r="B86" s="30">
        <f t="shared" ref="B86:H86" si="30">B51+B65+B79</f>
        <v>31505932</v>
      </c>
      <c r="C86" s="30">
        <f t="shared" si="30"/>
        <v>51233113</v>
      </c>
      <c r="D86" s="30">
        <f t="shared" si="30"/>
        <v>67311385</v>
      </c>
      <c r="E86" s="30">
        <f t="shared" si="30"/>
        <v>75785232</v>
      </c>
      <c r="F86" s="30">
        <f t="shared" si="30"/>
        <v>94397040</v>
      </c>
      <c r="G86" s="30">
        <f t="shared" si="30"/>
        <v>104394941</v>
      </c>
      <c r="H86" s="30">
        <f t="shared" si="30"/>
        <v>114496778</v>
      </c>
      <c r="I86" s="45">
        <f t="shared" ref="I86:V86" si="31">$H$86</f>
        <v>114496778</v>
      </c>
      <c r="J86" s="45">
        <f t="shared" si="31"/>
        <v>114496778</v>
      </c>
      <c r="K86" s="45">
        <f t="shared" si="31"/>
        <v>114496778</v>
      </c>
      <c r="L86" s="45">
        <f t="shared" si="31"/>
        <v>114496778</v>
      </c>
      <c r="M86" s="45">
        <f t="shared" si="31"/>
        <v>114496778</v>
      </c>
      <c r="N86" s="45">
        <f t="shared" si="31"/>
        <v>114496778</v>
      </c>
      <c r="O86" s="45">
        <f t="shared" si="31"/>
        <v>114496778</v>
      </c>
      <c r="P86" s="45">
        <f t="shared" si="31"/>
        <v>114496778</v>
      </c>
      <c r="Q86" s="45">
        <f t="shared" si="31"/>
        <v>114496778</v>
      </c>
      <c r="R86" s="45">
        <f t="shared" si="31"/>
        <v>114496778</v>
      </c>
      <c r="S86" s="45">
        <f t="shared" si="31"/>
        <v>114496778</v>
      </c>
      <c r="T86" s="45">
        <f t="shared" si="31"/>
        <v>114496778</v>
      </c>
      <c r="U86" s="30">
        <f t="shared" si="31"/>
        <v>114496778</v>
      </c>
      <c r="V86" s="30">
        <f t="shared" si="31"/>
        <v>114496778</v>
      </c>
    </row>
    <row r="87" spans="1:22" x14ac:dyDescent="0.25">
      <c r="A87" t="s">
        <v>66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45">
        <f t="shared" ref="I87:T87" si="32">I51+I65+I79</f>
        <v>678278</v>
      </c>
      <c r="J87" s="45">
        <f t="shared" si="32"/>
        <v>1362502</v>
      </c>
      <c r="K87" s="45">
        <f t="shared" si="32"/>
        <v>2115145</v>
      </c>
      <c r="L87" s="45">
        <f t="shared" si="32"/>
        <v>2838917</v>
      </c>
      <c r="M87" s="45">
        <f t="shared" si="32"/>
        <v>3431720</v>
      </c>
      <c r="N87" s="45">
        <f t="shared" si="32"/>
        <v>4151699</v>
      </c>
      <c r="O87" s="45">
        <f t="shared" si="32"/>
        <v>4845481</v>
      </c>
      <c r="P87" s="45">
        <f t="shared" si="32"/>
        <v>5543925</v>
      </c>
      <c r="Q87" s="45">
        <f t="shared" si="32"/>
        <v>6244115</v>
      </c>
      <c r="R87" s="45">
        <f t="shared" si="32"/>
        <v>6944174</v>
      </c>
      <c r="S87" s="45">
        <f t="shared" si="32"/>
        <v>8108447</v>
      </c>
      <c r="T87" s="45">
        <f t="shared" si="32"/>
        <v>8845578</v>
      </c>
      <c r="U87" s="30">
        <f>$T$87</f>
        <v>8845578</v>
      </c>
      <c r="V87" s="30">
        <f>$T$87</f>
        <v>8845578</v>
      </c>
    </row>
    <row r="88" spans="1:22" x14ac:dyDescent="0.25">
      <c r="A88" t="s">
        <v>67</v>
      </c>
      <c r="B88" s="30">
        <v>0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30">
        <f>U51+U65+U79</f>
        <v>601559</v>
      </c>
      <c r="V88" s="30">
        <f>V51+V65+V79</f>
        <v>1200287</v>
      </c>
    </row>
    <row r="89" spans="1:22" x14ac:dyDescent="0.25">
      <c r="A89" t="s">
        <v>68</v>
      </c>
      <c r="B89" s="32">
        <f t="shared" ref="B89:V89" si="33">SUM(B86:B88)</f>
        <v>31505932</v>
      </c>
      <c r="C89" s="32">
        <f t="shared" si="33"/>
        <v>51233113</v>
      </c>
      <c r="D89" s="32">
        <f t="shared" si="33"/>
        <v>67311385</v>
      </c>
      <c r="E89" s="32">
        <f t="shared" si="33"/>
        <v>75785232</v>
      </c>
      <c r="F89" s="32">
        <f t="shared" si="33"/>
        <v>94397040</v>
      </c>
      <c r="G89" s="32">
        <f t="shared" si="33"/>
        <v>104394941</v>
      </c>
      <c r="H89" s="32">
        <f t="shared" si="33"/>
        <v>114496778</v>
      </c>
      <c r="I89" s="47">
        <f t="shared" si="33"/>
        <v>115175056</v>
      </c>
      <c r="J89" s="47">
        <f t="shared" si="33"/>
        <v>115859280</v>
      </c>
      <c r="K89" s="47">
        <f t="shared" si="33"/>
        <v>116611923</v>
      </c>
      <c r="L89" s="47">
        <f t="shared" si="33"/>
        <v>117335695</v>
      </c>
      <c r="M89" s="47">
        <f t="shared" si="33"/>
        <v>117928498</v>
      </c>
      <c r="N89" s="47">
        <f t="shared" si="33"/>
        <v>118648477</v>
      </c>
      <c r="O89" s="47">
        <f t="shared" si="33"/>
        <v>119342259</v>
      </c>
      <c r="P89" s="47">
        <f t="shared" si="33"/>
        <v>120040703</v>
      </c>
      <c r="Q89" s="47">
        <f t="shared" si="33"/>
        <v>120740893</v>
      </c>
      <c r="R89" s="47">
        <f t="shared" si="33"/>
        <v>121440952</v>
      </c>
      <c r="S89" s="47">
        <f t="shared" si="33"/>
        <v>122605225</v>
      </c>
      <c r="T89" s="47">
        <f t="shared" si="33"/>
        <v>123342356</v>
      </c>
      <c r="U89" s="32">
        <f t="shared" si="33"/>
        <v>123943915</v>
      </c>
      <c r="V89" s="32">
        <f t="shared" si="33"/>
        <v>124542643</v>
      </c>
    </row>
    <row r="90" spans="1:22" x14ac:dyDescent="0.25">
      <c r="B90" s="30"/>
      <c r="C90" s="30"/>
      <c r="D90" s="30"/>
      <c r="E90" s="30"/>
      <c r="F90" s="30"/>
      <c r="G90" s="30"/>
      <c r="H90" s="30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30"/>
      <c r="V90" s="30"/>
    </row>
    <row r="91" spans="1:22" x14ac:dyDescent="0.25">
      <c r="A91" t="s">
        <v>69</v>
      </c>
      <c r="B91" s="30">
        <f t="shared" ref="B91:V91" si="34">B89-B84</f>
        <v>30687407</v>
      </c>
      <c r="C91" s="30">
        <f t="shared" si="34"/>
        <v>49835209</v>
      </c>
      <c r="D91" s="30">
        <f t="shared" si="34"/>
        <v>65393091</v>
      </c>
      <c r="E91" s="30">
        <f t="shared" si="34"/>
        <v>73533615</v>
      </c>
      <c r="F91" s="30">
        <f t="shared" si="34"/>
        <v>91516773</v>
      </c>
      <c r="G91" s="30">
        <f t="shared" si="34"/>
        <v>101103300</v>
      </c>
      <c r="H91" s="30">
        <f t="shared" si="34"/>
        <v>110769416</v>
      </c>
      <c r="I91" s="45">
        <f t="shared" si="34"/>
        <v>110997910</v>
      </c>
      <c r="J91" s="45">
        <f t="shared" si="34"/>
        <v>110861285</v>
      </c>
      <c r="K91" s="45">
        <f t="shared" si="34"/>
        <v>110761145</v>
      </c>
      <c r="L91" s="45">
        <f t="shared" si="34"/>
        <v>110611015</v>
      </c>
      <c r="M91" s="45">
        <f t="shared" si="34"/>
        <v>110362147</v>
      </c>
      <c r="N91" s="45">
        <f t="shared" si="34"/>
        <v>110199073</v>
      </c>
      <c r="O91" s="45">
        <f t="shared" si="34"/>
        <v>109935401</v>
      </c>
      <c r="P91" s="45">
        <f t="shared" si="34"/>
        <v>109640774</v>
      </c>
      <c r="Q91" s="45">
        <f t="shared" si="34"/>
        <v>109349040</v>
      </c>
      <c r="R91" s="45">
        <f t="shared" si="34"/>
        <v>108993307</v>
      </c>
      <c r="S91" s="45">
        <f t="shared" si="34"/>
        <v>109043876</v>
      </c>
      <c r="T91" s="45">
        <f t="shared" si="34"/>
        <v>109781007</v>
      </c>
      <c r="U91" s="30">
        <f t="shared" si="34"/>
        <v>108224209</v>
      </c>
      <c r="V91" s="30">
        <f t="shared" si="34"/>
        <v>107676864</v>
      </c>
    </row>
    <row r="92" spans="1:22" x14ac:dyDescent="0.25">
      <c r="A92" t="s">
        <v>59</v>
      </c>
      <c r="B92" s="27">
        <v>0.35</v>
      </c>
      <c r="C92" s="27">
        <v>0.35</v>
      </c>
      <c r="D92" s="27">
        <v>0.35</v>
      </c>
      <c r="E92" s="27">
        <v>0.35</v>
      </c>
      <c r="F92" s="27">
        <v>0.35</v>
      </c>
      <c r="G92" s="27">
        <v>0.35</v>
      </c>
      <c r="H92" s="27">
        <v>0.35</v>
      </c>
      <c r="I92" s="42">
        <v>0.35</v>
      </c>
      <c r="J92" s="42">
        <v>0.35</v>
      </c>
      <c r="K92" s="42">
        <v>0.35</v>
      </c>
      <c r="L92" s="42">
        <v>0.35</v>
      </c>
      <c r="M92" s="42">
        <v>0.35</v>
      </c>
      <c r="N92" s="42">
        <v>0.35</v>
      </c>
      <c r="O92" s="42">
        <v>0.35</v>
      </c>
      <c r="P92" s="42">
        <v>0.35</v>
      </c>
      <c r="Q92" s="42">
        <v>0.35</v>
      </c>
      <c r="R92" s="42">
        <v>0.35</v>
      </c>
      <c r="S92" s="42">
        <v>0.35</v>
      </c>
      <c r="T92" s="42">
        <v>0.35</v>
      </c>
      <c r="U92" s="27">
        <v>0.35</v>
      </c>
      <c r="V92" s="27">
        <v>0.35</v>
      </c>
    </row>
    <row r="93" spans="1:22" x14ac:dyDescent="0.25">
      <c r="B93" s="29"/>
      <c r="C93" s="29"/>
      <c r="D93" s="29"/>
      <c r="E93" s="29"/>
      <c r="F93" s="29"/>
      <c r="G93" s="29"/>
      <c r="H93" s="29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29"/>
      <c r="V93" s="29"/>
    </row>
    <row r="94" spans="1:22" ht="15.75" thickBot="1" x14ac:dyDescent="0.3">
      <c r="A94" t="s">
        <v>60</v>
      </c>
      <c r="B94" s="36">
        <f t="shared" ref="B94:V94" si="35">ROUND(B91*B92,0)</f>
        <v>10740592</v>
      </c>
      <c r="C94" s="36">
        <f t="shared" si="35"/>
        <v>17442323</v>
      </c>
      <c r="D94" s="36">
        <f t="shared" si="35"/>
        <v>22887582</v>
      </c>
      <c r="E94" s="36">
        <f t="shared" si="35"/>
        <v>25736765</v>
      </c>
      <c r="F94" s="36">
        <f t="shared" si="35"/>
        <v>32030871</v>
      </c>
      <c r="G94" s="36">
        <f t="shared" si="35"/>
        <v>35386155</v>
      </c>
      <c r="H94" s="36">
        <f t="shared" si="35"/>
        <v>38769296</v>
      </c>
      <c r="I94" s="51">
        <f t="shared" si="35"/>
        <v>38849269</v>
      </c>
      <c r="J94" s="51">
        <f t="shared" si="35"/>
        <v>38801450</v>
      </c>
      <c r="K94" s="51">
        <f t="shared" si="35"/>
        <v>38766401</v>
      </c>
      <c r="L94" s="51">
        <f t="shared" si="35"/>
        <v>38713855</v>
      </c>
      <c r="M94" s="51">
        <f t="shared" si="35"/>
        <v>38626751</v>
      </c>
      <c r="N94" s="51">
        <f t="shared" si="35"/>
        <v>38569676</v>
      </c>
      <c r="O94" s="51">
        <f t="shared" si="35"/>
        <v>38477390</v>
      </c>
      <c r="P94" s="51">
        <f t="shared" si="35"/>
        <v>38374271</v>
      </c>
      <c r="Q94" s="51">
        <f t="shared" si="35"/>
        <v>38272164</v>
      </c>
      <c r="R94" s="51">
        <f t="shared" si="35"/>
        <v>38147657</v>
      </c>
      <c r="S94" s="51">
        <f t="shared" si="35"/>
        <v>38165357</v>
      </c>
      <c r="T94" s="51">
        <f t="shared" si="35"/>
        <v>38423352</v>
      </c>
      <c r="U94" s="36">
        <f t="shared" si="35"/>
        <v>37878473</v>
      </c>
      <c r="V94" s="36">
        <f t="shared" si="35"/>
        <v>37686902</v>
      </c>
    </row>
    <row r="95" spans="1:22" ht="15.75" thickTop="1" x14ac:dyDescent="0.25">
      <c r="B95" s="37"/>
      <c r="C95" s="37"/>
      <c r="D95" s="37"/>
      <c r="E95" s="37"/>
      <c r="F95" s="37"/>
      <c r="G95" s="37"/>
      <c r="H95" s="37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37"/>
      <c r="V95" s="37"/>
    </row>
    <row r="96" spans="1:22" x14ac:dyDescent="0.25">
      <c r="B96" s="37"/>
      <c r="C96" s="37"/>
      <c r="D96" s="37"/>
      <c r="E96" s="37"/>
      <c r="F96" s="37"/>
      <c r="G96" s="37"/>
      <c r="H96" s="37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37"/>
      <c r="V96" s="37"/>
    </row>
    <row r="97" spans="1:22" x14ac:dyDescent="0.25">
      <c r="A97" t="s">
        <v>70</v>
      </c>
      <c r="B97" s="37">
        <f t="shared" ref="B97:V97" si="36">B41+B55+B69</f>
        <v>121468654</v>
      </c>
      <c r="C97" s="37">
        <f t="shared" si="36"/>
        <v>169307359</v>
      </c>
      <c r="D97" s="37">
        <f t="shared" si="36"/>
        <v>194635329</v>
      </c>
      <c r="E97" s="37">
        <f t="shared" si="36"/>
        <v>194789351</v>
      </c>
      <c r="F97" s="37">
        <f t="shared" si="36"/>
        <v>218364238</v>
      </c>
      <c r="G97" s="37">
        <f t="shared" si="36"/>
        <v>219538102</v>
      </c>
      <c r="H97" s="37">
        <f t="shared" si="36"/>
        <v>220716679</v>
      </c>
      <c r="I97" s="52">
        <f t="shared" si="36"/>
        <v>221049339</v>
      </c>
      <c r="J97" s="52">
        <f t="shared" si="36"/>
        <v>221118112</v>
      </c>
      <c r="K97" s="52">
        <f t="shared" si="36"/>
        <v>221668602</v>
      </c>
      <c r="L97" s="52">
        <f t="shared" si="36"/>
        <v>221776887</v>
      </c>
      <c r="M97" s="52">
        <f t="shared" si="36"/>
        <v>221235925</v>
      </c>
      <c r="N97" s="52">
        <f t="shared" si="36"/>
        <v>221365604</v>
      </c>
      <c r="O97" s="52">
        <f t="shared" si="36"/>
        <v>221371661</v>
      </c>
      <c r="P97" s="52">
        <f t="shared" si="36"/>
        <v>221389679</v>
      </c>
      <c r="Q97" s="52">
        <f t="shared" si="36"/>
        <v>221408183</v>
      </c>
      <c r="R97" s="52">
        <f t="shared" si="36"/>
        <v>221422685</v>
      </c>
      <c r="S97" s="52">
        <f t="shared" si="36"/>
        <v>222410771</v>
      </c>
      <c r="T97" s="52">
        <f t="shared" si="36"/>
        <v>222410771</v>
      </c>
      <c r="U97" s="37">
        <f t="shared" si="36"/>
        <v>222003899</v>
      </c>
      <c r="V97" s="37">
        <f t="shared" si="36"/>
        <v>221971163</v>
      </c>
    </row>
    <row r="98" spans="1:22" x14ac:dyDescent="0.25">
      <c r="B98" s="38" t="str">
        <f t="shared" ref="B98:V98" si="37">IF(B97=B5,"OK","Error")</f>
        <v>OK</v>
      </c>
      <c r="C98" s="38" t="str">
        <f t="shared" si="37"/>
        <v>OK</v>
      </c>
      <c r="D98" s="38" t="str">
        <f t="shared" si="37"/>
        <v>OK</v>
      </c>
      <c r="E98" s="38" t="str">
        <f t="shared" si="37"/>
        <v>OK</v>
      </c>
      <c r="F98" s="38" t="str">
        <f t="shared" si="37"/>
        <v>OK</v>
      </c>
      <c r="G98" s="38" t="str">
        <f t="shared" si="37"/>
        <v>OK</v>
      </c>
      <c r="H98" s="38" t="str">
        <f t="shared" si="37"/>
        <v>OK</v>
      </c>
      <c r="I98" s="53" t="str">
        <f t="shared" si="37"/>
        <v>OK</v>
      </c>
      <c r="J98" s="53" t="str">
        <f t="shared" si="37"/>
        <v>OK</v>
      </c>
      <c r="K98" s="53" t="str">
        <f t="shared" si="37"/>
        <v>OK</v>
      </c>
      <c r="L98" s="53" t="str">
        <f t="shared" si="37"/>
        <v>OK</v>
      </c>
      <c r="M98" s="53" t="str">
        <f t="shared" si="37"/>
        <v>OK</v>
      </c>
      <c r="N98" s="53" t="str">
        <f t="shared" si="37"/>
        <v>OK</v>
      </c>
      <c r="O98" s="53" t="str">
        <f t="shared" si="37"/>
        <v>OK</v>
      </c>
      <c r="P98" s="53" t="str">
        <f t="shared" si="37"/>
        <v>OK</v>
      </c>
      <c r="Q98" s="53" t="str">
        <f t="shared" si="37"/>
        <v>OK</v>
      </c>
      <c r="R98" s="53" t="str">
        <f t="shared" si="37"/>
        <v>OK</v>
      </c>
      <c r="S98" s="53" t="str">
        <f t="shared" si="37"/>
        <v>OK</v>
      </c>
      <c r="T98" s="53" t="str">
        <f t="shared" si="37"/>
        <v>OK</v>
      </c>
      <c r="U98" s="38" t="str">
        <f t="shared" si="37"/>
        <v>OK</v>
      </c>
      <c r="V98" s="38" t="str">
        <f t="shared" si="37"/>
        <v>OK</v>
      </c>
    </row>
    <row r="99" spans="1:22" x14ac:dyDescent="0.25">
      <c r="B99" s="29"/>
      <c r="C99" s="29"/>
      <c r="D99" s="29"/>
      <c r="E99" s="29"/>
      <c r="F99" s="29"/>
      <c r="G99" s="29"/>
      <c r="H99" s="29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29"/>
      <c r="V99" s="29"/>
    </row>
    <row r="100" spans="1:22" x14ac:dyDescent="0.25">
      <c r="A100" s="21" t="s">
        <v>71</v>
      </c>
      <c r="B100" s="39">
        <f t="shared" ref="B100:V100" si="38">B89/B97</f>
        <v>0.2593749989194743</v>
      </c>
      <c r="C100" s="39">
        <f t="shared" si="38"/>
        <v>0.30260417091498071</v>
      </c>
      <c r="D100" s="39">
        <f t="shared" si="38"/>
        <v>0.34583333532423605</v>
      </c>
      <c r="E100" s="39">
        <f t="shared" si="38"/>
        <v>0.38906250064974035</v>
      </c>
      <c r="F100" s="39">
        <f t="shared" si="38"/>
        <v>0.43229166490164933</v>
      </c>
      <c r="G100" s="39">
        <f t="shared" si="38"/>
        <v>0.47552083237013681</v>
      </c>
      <c r="H100" s="39">
        <f t="shared" si="38"/>
        <v>0.51875000348297196</v>
      </c>
      <c r="I100" s="54">
        <f t="shared" si="38"/>
        <v>0.52103777609577018</v>
      </c>
      <c r="J100" s="54">
        <f t="shared" si="38"/>
        <v>0.52397010336267702</v>
      </c>
      <c r="K100" s="54">
        <f t="shared" si="38"/>
        <v>0.52606423258806856</v>
      </c>
      <c r="L100" s="54">
        <f t="shared" si="38"/>
        <v>0.52907089006078434</v>
      </c>
      <c r="M100" s="54">
        <f t="shared" si="38"/>
        <v>0.53304407048719593</v>
      </c>
      <c r="N100" s="54">
        <f t="shared" si="38"/>
        <v>0.53598424893507846</v>
      </c>
      <c r="O100" s="54">
        <f t="shared" si="38"/>
        <v>0.53910359826951837</v>
      </c>
      <c r="P100" s="54">
        <f t="shared" si="38"/>
        <v>0.54221454018188442</v>
      </c>
      <c r="Q100" s="54">
        <f t="shared" si="38"/>
        <v>0.54533166463861005</v>
      </c>
      <c r="R100" s="54">
        <f t="shared" si="38"/>
        <v>0.54845758915803955</v>
      </c>
      <c r="S100" s="54">
        <f t="shared" si="38"/>
        <v>0.5512557887765247</v>
      </c>
      <c r="T100" s="54">
        <f t="shared" si="38"/>
        <v>0.55457006621320515</v>
      </c>
      <c r="U100" s="39">
        <f t="shared" si="38"/>
        <v>0.55829611803349455</v>
      </c>
      <c r="V100" s="39">
        <f t="shared" si="38"/>
        <v>0.56107577811807929</v>
      </c>
    </row>
    <row r="101" spans="1:22" x14ac:dyDescent="0.25">
      <c r="B101" s="29"/>
      <c r="C101" s="29"/>
      <c r="D101" s="29"/>
      <c r="E101" s="29"/>
      <c r="F101" s="29"/>
      <c r="G101" s="29"/>
      <c r="H101" s="29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29"/>
      <c r="V101" s="2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"/>
  <sheetViews>
    <sheetView topLeftCell="B1" workbookViewId="0">
      <selection activeCell="D26" sqref="D26"/>
    </sheetView>
  </sheetViews>
  <sheetFormatPr defaultRowHeight="15" x14ac:dyDescent="0.25"/>
  <cols>
    <col min="1" max="1" width="11.85546875" customWidth="1"/>
    <col min="2" max="2" width="6.7109375" customWidth="1"/>
    <col min="3" max="3" width="4.140625" customWidth="1"/>
    <col min="4" max="4" width="62.140625" customWidth="1"/>
    <col min="5" max="5" width="13.7109375" bestFit="1" customWidth="1"/>
    <col min="6" max="6" width="13.5703125" customWidth="1"/>
    <col min="7" max="7" width="4.28515625" customWidth="1"/>
    <col min="8" max="8" width="4.140625" customWidth="1"/>
    <col min="9" max="9" width="62.140625" customWidth="1"/>
    <col min="10" max="10" width="13.7109375" bestFit="1" customWidth="1"/>
    <col min="11" max="11" width="13.5703125" customWidth="1"/>
    <col min="12" max="12" width="4.28515625" customWidth="1"/>
    <col min="13" max="13" width="4.140625" customWidth="1"/>
    <col min="14" max="14" width="62.140625" customWidth="1"/>
    <col min="15" max="15" width="13.7109375" bestFit="1" customWidth="1"/>
    <col min="16" max="16" width="13.5703125" customWidth="1"/>
    <col min="17" max="17" width="4.28515625" customWidth="1"/>
    <col min="18" max="18" width="4.140625" customWidth="1"/>
    <col min="19" max="19" width="62.140625" customWidth="1"/>
    <col min="20" max="20" width="13.7109375" bestFit="1" customWidth="1"/>
    <col min="21" max="21" width="13.5703125" customWidth="1"/>
    <col min="22" max="22" width="4.28515625" customWidth="1"/>
    <col min="23" max="23" width="4.140625" customWidth="1"/>
    <col min="24" max="24" width="62.140625" customWidth="1"/>
    <col min="25" max="25" width="13.7109375" bestFit="1" customWidth="1"/>
    <col min="26" max="26" width="13.5703125" customWidth="1"/>
    <col min="27" max="27" width="4.28515625" customWidth="1"/>
  </cols>
  <sheetData>
    <row r="1" spans="1:26" ht="15.75" thickBot="1" x14ac:dyDescent="0.3">
      <c r="A1" s="112" t="s">
        <v>96</v>
      </c>
      <c r="B1" s="113">
        <v>1250</v>
      </c>
      <c r="C1" s="114"/>
    </row>
    <row r="2" spans="1:26" ht="15.75" thickBot="1" x14ac:dyDescent="0.3"/>
    <row r="3" spans="1:26" s="119" customFormat="1" ht="15.75" thickBot="1" x14ac:dyDescent="0.3">
      <c r="C3" s="121"/>
      <c r="D3" s="122" t="s">
        <v>100</v>
      </c>
      <c r="E3" s="123" t="str">
        <f>'Surcharge Factors'!B5</f>
        <v>August 2015</v>
      </c>
      <c r="F3" s="124"/>
      <c r="H3" s="121"/>
      <c r="I3" s="122" t="s">
        <v>100</v>
      </c>
      <c r="J3" s="123" t="str">
        <f>'Surcharge Factors'!B6</f>
        <v>September 2015</v>
      </c>
      <c r="K3" s="124"/>
      <c r="M3" s="121"/>
      <c r="N3" s="122" t="s">
        <v>100</v>
      </c>
      <c r="O3" s="123" t="str">
        <f>'Surcharge Factors'!B7</f>
        <v>October 2015</v>
      </c>
      <c r="P3" s="124"/>
      <c r="R3" s="121"/>
      <c r="S3" s="122" t="s">
        <v>100</v>
      </c>
      <c r="T3" s="123" t="str">
        <f>'Surcharge Factors'!B8</f>
        <v>November 2015</v>
      </c>
      <c r="U3" s="124"/>
      <c r="W3" s="121"/>
      <c r="X3" s="122" t="s">
        <v>100</v>
      </c>
      <c r="Y3" s="123" t="str">
        <f>'Surcharge Factors'!B9</f>
        <v>December 2015</v>
      </c>
      <c r="Z3" s="124"/>
    </row>
    <row r="4" spans="1:26" s="119" customFormat="1" ht="30.75" thickBot="1" x14ac:dyDescent="0.3">
      <c r="C4" s="120" t="s">
        <v>104</v>
      </c>
      <c r="D4" s="109" t="s">
        <v>75</v>
      </c>
      <c r="E4" s="110" t="s">
        <v>101</v>
      </c>
      <c r="F4" s="111" t="s">
        <v>102</v>
      </c>
      <c r="H4" s="120" t="s">
        <v>104</v>
      </c>
      <c r="I4" s="109" t="s">
        <v>75</v>
      </c>
      <c r="J4" s="110" t="s">
        <v>101</v>
      </c>
      <c r="K4" s="111" t="s">
        <v>102</v>
      </c>
      <c r="M4" s="120" t="s">
        <v>104</v>
      </c>
      <c r="N4" s="109" t="s">
        <v>75</v>
      </c>
      <c r="O4" s="110" t="s">
        <v>101</v>
      </c>
      <c r="P4" s="111" t="s">
        <v>102</v>
      </c>
      <c r="R4" s="120" t="s">
        <v>104</v>
      </c>
      <c r="S4" s="109" t="s">
        <v>75</v>
      </c>
      <c r="T4" s="110" t="s">
        <v>101</v>
      </c>
      <c r="U4" s="111" t="s">
        <v>102</v>
      </c>
      <c r="W4" s="120" t="s">
        <v>104</v>
      </c>
      <c r="X4" s="109" t="s">
        <v>75</v>
      </c>
      <c r="Y4" s="110" t="s">
        <v>101</v>
      </c>
      <c r="Z4" s="111" t="s">
        <v>102</v>
      </c>
    </row>
    <row r="5" spans="1:26" x14ac:dyDescent="0.25">
      <c r="C5" s="115">
        <v>1</v>
      </c>
      <c r="D5" s="90" t="str">
        <f>'Surcharge Factors'!$C$3</f>
        <v>Service Charge ($/customer)</v>
      </c>
      <c r="E5" s="97">
        <f>VLOOKUP(E3,'Surcharge Factors'!$B$3:$O$25,2,FALSE)</f>
        <v>11</v>
      </c>
      <c r="F5" s="97">
        <f>E5</f>
        <v>11</v>
      </c>
      <c r="H5" s="115">
        <v>1</v>
      </c>
      <c r="I5" s="90" t="str">
        <f>'Surcharge Factors'!$C$3</f>
        <v>Service Charge ($/customer)</v>
      </c>
      <c r="J5" s="97">
        <f>VLOOKUP(J3,'Surcharge Factors'!$B$3:$O$25,2,FALSE)</f>
        <v>11</v>
      </c>
      <c r="K5" s="97">
        <f>J5</f>
        <v>11</v>
      </c>
      <c r="M5" s="115">
        <v>1</v>
      </c>
      <c r="N5" s="90" t="str">
        <f>'Surcharge Factors'!$C$3</f>
        <v>Service Charge ($/customer)</v>
      </c>
      <c r="O5" s="97">
        <f>VLOOKUP(O3,'Surcharge Factors'!$B$3:$O$25,2,FALSE)</f>
        <v>11</v>
      </c>
      <c r="P5" s="97">
        <f>O5</f>
        <v>11</v>
      </c>
      <c r="R5" s="115">
        <v>1</v>
      </c>
      <c r="S5" s="90" t="str">
        <f>'Surcharge Factors'!$C$3</f>
        <v>Service Charge ($/customer)</v>
      </c>
      <c r="T5" s="97">
        <f>VLOOKUP(T3,'Surcharge Factors'!$B$3:$O$25,2,FALSE)</f>
        <v>11</v>
      </c>
      <c r="U5" s="97">
        <f>T5</f>
        <v>11</v>
      </c>
      <c r="W5" s="115">
        <v>1</v>
      </c>
      <c r="X5" s="90" t="str">
        <f>'Surcharge Factors'!$C$3</f>
        <v>Service Charge ($/customer)</v>
      </c>
      <c r="Y5" s="97">
        <f>VLOOKUP(Y3,'Surcharge Factors'!$B$3:$O$25,2,FALSE)</f>
        <v>11</v>
      </c>
      <c r="Z5" s="97">
        <f>Y5</f>
        <v>11</v>
      </c>
    </row>
    <row r="6" spans="1:26" x14ac:dyDescent="0.25">
      <c r="C6" s="116">
        <v>2</v>
      </c>
      <c r="D6" s="89" t="str">
        <f>'Surcharge Factors'!$D$3</f>
        <v>Energy Usage ($/kWh)</v>
      </c>
      <c r="E6" s="98">
        <f>VLOOKUP(E$3,'Surcharge Factors'!$B$3:$O$25,3,FALSE)</f>
        <v>8.9099999999999999E-2</v>
      </c>
      <c r="F6" s="100">
        <f>ROUND(E$6*$B$1,2)</f>
        <v>111.38</v>
      </c>
      <c r="H6" s="116">
        <v>2</v>
      </c>
      <c r="I6" s="89" t="str">
        <f>'Surcharge Factors'!$D$3</f>
        <v>Energy Usage ($/kWh)</v>
      </c>
      <c r="J6" s="98">
        <f>VLOOKUP(J$3,'Surcharge Factors'!$B$3:$O$25,3,FALSE)</f>
        <v>8.9099999999999999E-2</v>
      </c>
      <c r="K6" s="100">
        <f>ROUND(J$6*$B$1,2)</f>
        <v>111.38</v>
      </c>
      <c r="M6" s="116">
        <v>2</v>
      </c>
      <c r="N6" s="89" t="str">
        <f>'Surcharge Factors'!$D$3</f>
        <v>Energy Usage ($/kWh)</v>
      </c>
      <c r="O6" s="98">
        <f>VLOOKUP(O$3,'Surcharge Factors'!$B$3:$O$25,3,FALSE)</f>
        <v>8.795E-2</v>
      </c>
      <c r="P6" s="100">
        <f>ROUND(O$6*$B$1,2)</f>
        <v>109.94</v>
      </c>
      <c r="R6" s="116">
        <v>2</v>
      </c>
      <c r="S6" s="89" t="str">
        <f>'Surcharge Factors'!$D$3</f>
        <v>Energy Usage ($/kWh)</v>
      </c>
      <c r="T6" s="98">
        <f>VLOOKUP(T$3,'Surcharge Factors'!$B$3:$O$25,3,FALSE)</f>
        <v>8.795E-2</v>
      </c>
      <c r="U6" s="100">
        <f>ROUND(T$6*$B$1,2)</f>
        <v>109.94</v>
      </c>
      <c r="W6" s="116">
        <v>2</v>
      </c>
      <c r="X6" s="89" t="str">
        <f>'Surcharge Factors'!$D$3</f>
        <v>Energy Usage ($/kWh)</v>
      </c>
      <c r="Y6" s="98">
        <f>VLOOKUP(Y$3,'Surcharge Factors'!$B$3:$O$25,3,FALSE)</f>
        <v>8.795E-2</v>
      </c>
      <c r="Z6" s="100">
        <f>ROUND(Y$6*$B$1,2)</f>
        <v>109.94</v>
      </c>
    </row>
    <row r="7" spans="1:26" x14ac:dyDescent="0.25">
      <c r="C7" s="116">
        <v>3</v>
      </c>
      <c r="D7" s="91" t="str">
        <f>'Surcharge Factors'!$E$3</f>
        <v>Fuel Adj. Clause (/kWh)</v>
      </c>
      <c r="E7" s="98">
        <f>VLOOKUP(E$3,'Surcharge Factors'!$B$3:$O$25,4,FALSE)</f>
        <v>2.5899999999999999E-3</v>
      </c>
      <c r="F7" s="100">
        <f>ROUND(E7*$B$1,2)</f>
        <v>3.24</v>
      </c>
      <c r="H7" s="116">
        <v>3</v>
      </c>
      <c r="I7" s="91" t="str">
        <f>'Surcharge Factors'!$E$3</f>
        <v>Fuel Adj. Clause (/kWh)</v>
      </c>
      <c r="J7" s="98">
        <f>VLOOKUP(J$3,'Surcharge Factors'!$B$3:$O$25,4,FALSE)</f>
        <v>-8.6999999999999994E-3</v>
      </c>
      <c r="K7" s="100">
        <f>ROUND(J7*$B$1,2)</f>
        <v>-10.88</v>
      </c>
      <c r="M7" s="116">
        <v>3</v>
      </c>
      <c r="N7" s="91" t="str">
        <f>'Surcharge Factors'!$E$3</f>
        <v>Fuel Adj. Clause (/kWh)</v>
      </c>
      <c r="O7" s="98">
        <f>VLOOKUP(O$3,'Surcharge Factors'!$B$3:$O$25,4,FALSE)</f>
        <v>-6.28E-3</v>
      </c>
      <c r="P7" s="100">
        <f>ROUND(O7*$B$1,2)</f>
        <v>-7.85</v>
      </c>
      <c r="R7" s="116">
        <v>3</v>
      </c>
      <c r="S7" s="91" t="str">
        <f>'Surcharge Factors'!$E$3</f>
        <v>Fuel Adj. Clause (/kWh)</v>
      </c>
      <c r="T7" s="98">
        <f>VLOOKUP(T$3,'Surcharge Factors'!$B$3:$O$25,4,FALSE)</f>
        <v>-9.9900000000000006E-3</v>
      </c>
      <c r="U7" s="100">
        <f>ROUND(T7*$B$1,2)</f>
        <v>-12.49</v>
      </c>
      <c r="W7" s="116">
        <v>3</v>
      </c>
      <c r="X7" s="91" t="str">
        <f>'Surcharge Factors'!$E$3</f>
        <v>Fuel Adj. Clause (/kWh)</v>
      </c>
      <c r="Y7" s="98">
        <f>VLOOKUP(Y$3,'Surcharge Factors'!$B$3:$O$25,4,FALSE)</f>
        <v>-1.076E-2</v>
      </c>
      <c r="Z7" s="100">
        <f>ROUND(Y7*$B$1,2)</f>
        <v>-13.45</v>
      </c>
    </row>
    <row r="8" spans="1:26" x14ac:dyDescent="0.25">
      <c r="C8" s="116">
        <v>4</v>
      </c>
      <c r="D8" s="91" t="str">
        <f>'Surcharge Factors'!$F$3</f>
        <v>System Sales Clause (/kWh)</v>
      </c>
      <c r="E8" s="101">
        <f>VLOOKUP(E$3,'Surcharge Factors'!$B$3:$O$25,5,FALSE)</f>
        <v>7.0799999999999997E-4</v>
      </c>
      <c r="F8" s="100">
        <f>ROUND(E8*$B$1,2)</f>
        <v>0.89</v>
      </c>
      <c r="H8" s="116">
        <v>4</v>
      </c>
      <c r="I8" s="91" t="str">
        <f>'Surcharge Factors'!$F$3</f>
        <v>System Sales Clause (/kWh)</v>
      </c>
      <c r="J8" s="101">
        <f>VLOOKUP(J$3,'Surcharge Factors'!$B$3:$O$25,5,FALSE)</f>
        <v>3.1419999999999999E-4</v>
      </c>
      <c r="K8" s="100">
        <f>ROUND(J8*$B$1,2)</f>
        <v>0.39</v>
      </c>
      <c r="M8" s="116">
        <v>4</v>
      </c>
      <c r="N8" s="91" t="str">
        <f>'Surcharge Factors'!$F$3</f>
        <v>System Sales Clause (/kWh)</v>
      </c>
      <c r="O8" s="101">
        <f>VLOOKUP(O$3,'Surcharge Factors'!$B$3:$O$25,5,FALSE)</f>
        <v>4.9229999999999999E-4</v>
      </c>
      <c r="P8" s="100">
        <f>ROUND(O8*$B$1,2)</f>
        <v>0.62</v>
      </c>
      <c r="R8" s="116">
        <v>4</v>
      </c>
      <c r="S8" s="91" t="str">
        <f>'Surcharge Factors'!$F$3</f>
        <v>System Sales Clause (/kWh)</v>
      </c>
      <c r="T8" s="101">
        <f>VLOOKUP(T$3,'Surcharge Factors'!$B$3:$O$25,5,FALSE)</f>
        <v>1.5051999999999999E-3</v>
      </c>
      <c r="U8" s="100">
        <f>ROUND(T8*$B$1,2)</f>
        <v>1.88</v>
      </c>
      <c r="W8" s="116">
        <v>4</v>
      </c>
      <c r="X8" s="91" t="str">
        <f>'Surcharge Factors'!$F$3</f>
        <v>System Sales Clause (/kWh)</v>
      </c>
      <c r="Y8" s="101">
        <f>VLOOKUP(Y$3,'Surcharge Factors'!$B$3:$O$25,5,FALSE)</f>
        <v>1.6592E-3</v>
      </c>
      <c r="Z8" s="100">
        <f>ROUND(Y8*$B$1,2)</f>
        <v>2.0699999999999998</v>
      </c>
    </row>
    <row r="9" spans="1:26" x14ac:dyDescent="0.25">
      <c r="C9" s="116">
        <v>5</v>
      </c>
      <c r="D9" s="102" t="s">
        <v>103</v>
      </c>
      <c r="E9" s="101">
        <f>'DSI in ES and SSC'!B31</f>
        <v>6.6929999999999995E-4</v>
      </c>
      <c r="F9" s="100">
        <f>ROUND(E9*$B$1,2)</f>
        <v>0.84</v>
      </c>
      <c r="H9" s="116">
        <v>5</v>
      </c>
      <c r="I9" s="102" t="s">
        <v>103</v>
      </c>
      <c r="J9" s="101">
        <f>'DSI in ES and SSC'!C31</f>
        <v>1.873E-4</v>
      </c>
      <c r="K9" s="100">
        <f>ROUND(J9*$B$1,2)</f>
        <v>0.23</v>
      </c>
      <c r="M9" s="116">
        <v>5</v>
      </c>
      <c r="N9" s="102" t="s">
        <v>103</v>
      </c>
      <c r="O9" s="101">
        <f>'DSI in ES and SSC'!D31</f>
        <v>3.9409999999999998E-4</v>
      </c>
      <c r="P9" s="100">
        <f>ROUND(O9*$B$1,2)</f>
        <v>0.49</v>
      </c>
      <c r="R9" s="116">
        <v>5</v>
      </c>
      <c r="S9" s="102" t="s">
        <v>103</v>
      </c>
      <c r="T9" s="101">
        <f>'DSI in ES and SSC'!E31</f>
        <v>1.4433E-3</v>
      </c>
      <c r="U9" s="100">
        <f>ROUND(T9*$B$1,2)</f>
        <v>1.8</v>
      </c>
      <c r="W9" s="116">
        <v>5</v>
      </c>
      <c r="X9" s="102" t="s">
        <v>103</v>
      </c>
      <c r="Y9" s="101">
        <f>'DSI in ES and SSC'!F31</f>
        <v>1.6456999999999999E-3</v>
      </c>
      <c r="Z9" s="100">
        <f>ROUND(Y9*$B$1,2)</f>
        <v>2.06</v>
      </c>
    </row>
    <row r="10" spans="1:26" x14ac:dyDescent="0.25">
      <c r="C10" s="116">
        <v>6</v>
      </c>
      <c r="D10" s="89" t="str">
        <f>'Surcharge Factors'!$G$3</f>
        <v>Capacity Charge (/kWh)</v>
      </c>
      <c r="E10" s="99">
        <f>VLOOKUP(E$3,'Surcharge Factors'!$B$3:$O$25,6,FALSE)</f>
        <v>1.1850000000000001E-3</v>
      </c>
      <c r="F10" s="100">
        <f>ROUND(E10*$B$1,2)</f>
        <v>1.48</v>
      </c>
      <c r="H10" s="116">
        <v>6</v>
      </c>
      <c r="I10" s="89" t="str">
        <f>'Surcharge Factors'!$G$3</f>
        <v>Capacity Charge (/kWh)</v>
      </c>
      <c r="J10" s="99">
        <f>VLOOKUP(J$3,'Surcharge Factors'!$B$3:$O$25,6,FALSE)</f>
        <v>1.1850000000000001E-3</v>
      </c>
      <c r="K10" s="100">
        <f>ROUND(J10*$B$1,2)</f>
        <v>1.48</v>
      </c>
      <c r="M10" s="116">
        <v>6</v>
      </c>
      <c r="N10" s="89" t="str">
        <f>'Surcharge Factors'!$G$3</f>
        <v>Capacity Charge (/kWh)</v>
      </c>
      <c r="O10" s="99">
        <f>VLOOKUP(O$3,'Surcharge Factors'!$B$3:$O$25,6,FALSE)</f>
        <v>1.1850000000000001E-3</v>
      </c>
      <c r="P10" s="100">
        <f>ROUND(O10*$B$1,2)</f>
        <v>1.48</v>
      </c>
      <c r="R10" s="116">
        <v>6</v>
      </c>
      <c r="S10" s="89" t="str">
        <f>'Surcharge Factors'!$G$3</f>
        <v>Capacity Charge (/kWh)</v>
      </c>
      <c r="T10" s="99">
        <f>VLOOKUP(T$3,'Surcharge Factors'!$B$3:$O$25,6,FALSE)</f>
        <v>1.1850000000000001E-3</v>
      </c>
      <c r="U10" s="100">
        <f>ROUND(T10*$B$1,2)</f>
        <v>1.48</v>
      </c>
      <c r="W10" s="116">
        <v>6</v>
      </c>
      <c r="X10" s="89" t="str">
        <f>'Surcharge Factors'!$G$3</f>
        <v>Capacity Charge (/kWh)</v>
      </c>
      <c r="Y10" s="99">
        <f>VLOOKUP(Y$3,'Surcharge Factors'!$B$3:$O$25,6,FALSE)</f>
        <v>1.1850000000000001E-3</v>
      </c>
      <c r="Z10" s="100">
        <f>ROUND(Y10*$B$1,2)</f>
        <v>1.48</v>
      </c>
    </row>
    <row r="11" spans="1:26" x14ac:dyDescent="0.25">
      <c r="C11" s="116">
        <v>7</v>
      </c>
      <c r="D11" s="92" t="str">
        <f>'Surcharge Factors'!$K$3</f>
        <v>DSM Residential (/kWh)</v>
      </c>
      <c r="E11" s="99">
        <f>VLOOKUP(E$3,'Surcharge Factors'!$B$3:$O$25,10,FALSE)</f>
        <v>3.8299999999999999E-4</v>
      </c>
      <c r="F11" s="100">
        <f>ROUND(E11*$B$1,2)</f>
        <v>0.48</v>
      </c>
      <c r="H11" s="116">
        <v>7</v>
      </c>
      <c r="I11" s="92" t="str">
        <f>'Surcharge Factors'!$K$3</f>
        <v>DSM Residential (/kWh)</v>
      </c>
      <c r="J11" s="99">
        <f>VLOOKUP(J$3,'Surcharge Factors'!$B$3:$O$25,10,FALSE)</f>
        <v>3.8299999999999999E-4</v>
      </c>
      <c r="K11" s="100">
        <f>ROUND(J11*$B$1,2)</f>
        <v>0.48</v>
      </c>
      <c r="M11" s="116">
        <v>7</v>
      </c>
      <c r="N11" s="92" t="str">
        <f>'Surcharge Factors'!$K$3</f>
        <v>DSM Residential (/kWh)</v>
      </c>
      <c r="O11" s="99">
        <f>VLOOKUP(O$3,'Surcharge Factors'!$B$3:$O$25,10,FALSE)</f>
        <v>3.8299999999999999E-4</v>
      </c>
      <c r="P11" s="100">
        <f>ROUND(O11*$B$1,2)</f>
        <v>0.48</v>
      </c>
      <c r="R11" s="116">
        <v>7</v>
      </c>
      <c r="S11" s="92" t="str">
        <f>'Surcharge Factors'!$K$3</f>
        <v>DSM Residential (/kWh)</v>
      </c>
      <c r="T11" s="99">
        <f>VLOOKUP(T$3,'Surcharge Factors'!$B$3:$O$25,10,FALSE)</f>
        <v>3.8299999999999999E-4</v>
      </c>
      <c r="U11" s="100">
        <f>ROUND(T11*$B$1,2)</f>
        <v>0.48</v>
      </c>
      <c r="W11" s="116">
        <v>7</v>
      </c>
      <c r="X11" s="92" t="str">
        <f>'Surcharge Factors'!$K$3</f>
        <v>DSM Residential (/kWh)</v>
      </c>
      <c r="Y11" s="99">
        <f>VLOOKUP(Y$3,'Surcharge Factors'!$B$3:$O$25,10,FALSE)</f>
        <v>3.8299999999999999E-4</v>
      </c>
      <c r="Z11" s="100">
        <f>ROUND(Y11*$B$1,2)</f>
        <v>0.48</v>
      </c>
    </row>
    <row r="12" spans="1:26" x14ac:dyDescent="0.25">
      <c r="C12" s="116">
        <v>8</v>
      </c>
      <c r="D12" s="89" t="str">
        <f>'Surcharge Factors'!$L$3</f>
        <v>Home Energy Assistance Program (Residential only)</v>
      </c>
      <c r="E12" s="100">
        <f>VLOOKUP(E$3,'Surcharge Factors'!$B$3:$O$25,11,FALSE)</f>
        <v>0.15</v>
      </c>
      <c r="F12" s="100">
        <f>E12</f>
        <v>0.15</v>
      </c>
      <c r="H12" s="116">
        <v>8</v>
      </c>
      <c r="I12" s="89" t="str">
        <f>'Surcharge Factors'!$L$3</f>
        <v>Home Energy Assistance Program (Residential only)</v>
      </c>
      <c r="J12" s="100">
        <f>VLOOKUP(J$3,'Surcharge Factors'!$B$3:$O$25,11,FALSE)</f>
        <v>0.15</v>
      </c>
      <c r="K12" s="100">
        <f>J12</f>
        <v>0.15</v>
      </c>
      <c r="M12" s="116">
        <v>8</v>
      </c>
      <c r="N12" s="89" t="str">
        <f>'Surcharge Factors'!$L$3</f>
        <v>Home Energy Assistance Program (Residential only)</v>
      </c>
      <c r="O12" s="100">
        <f>VLOOKUP(O$3,'Surcharge Factors'!$B$3:$O$25,11,FALSE)</f>
        <v>0.15</v>
      </c>
      <c r="P12" s="100">
        <f>O12</f>
        <v>0.15</v>
      </c>
      <c r="R12" s="116">
        <v>8</v>
      </c>
      <c r="S12" s="89" t="str">
        <f>'Surcharge Factors'!$L$3</f>
        <v>Home Energy Assistance Program (Residential only)</v>
      </c>
      <c r="T12" s="100">
        <f>VLOOKUP(T$3,'Surcharge Factors'!$B$3:$O$25,11,FALSE)</f>
        <v>0.15</v>
      </c>
      <c r="U12" s="100">
        <f>T12</f>
        <v>0.15</v>
      </c>
      <c r="W12" s="116">
        <v>8</v>
      </c>
      <c r="X12" s="89" t="str">
        <f>'Surcharge Factors'!$L$3</f>
        <v>Home Energy Assistance Program (Residential only)</v>
      </c>
      <c r="Y12" s="100">
        <f>VLOOKUP(Y$3,'Surcharge Factors'!$B$3:$O$25,11,FALSE)</f>
        <v>0.15</v>
      </c>
      <c r="Z12" s="100">
        <f>Y12</f>
        <v>0.15</v>
      </c>
    </row>
    <row r="13" spans="1:26" x14ac:dyDescent="0.25">
      <c r="C13" s="116">
        <v>9</v>
      </c>
      <c r="D13" s="89" t="str">
        <f>'Surcharge Factors'!$M$3</f>
        <v>Kentucky Economic Develop. Surcharge</v>
      </c>
      <c r="E13" s="100">
        <f>VLOOKUP(E$3,'Surcharge Factors'!$B$3:$O$25,12,FALSE)</f>
        <v>0.15</v>
      </c>
      <c r="F13" s="100">
        <f>E13</f>
        <v>0.15</v>
      </c>
      <c r="H13" s="116">
        <v>9</v>
      </c>
      <c r="I13" s="89" t="str">
        <f>'Surcharge Factors'!$M$3</f>
        <v>Kentucky Economic Develop. Surcharge</v>
      </c>
      <c r="J13" s="100">
        <f>VLOOKUP(J$3,'Surcharge Factors'!$B$3:$O$25,12,FALSE)</f>
        <v>0.15</v>
      </c>
      <c r="K13" s="100">
        <f>J13</f>
        <v>0.15</v>
      </c>
      <c r="M13" s="116">
        <v>9</v>
      </c>
      <c r="N13" s="89" t="str">
        <f>'Surcharge Factors'!$M$3</f>
        <v>Kentucky Economic Develop. Surcharge</v>
      </c>
      <c r="O13" s="100">
        <f>VLOOKUP(O$3,'Surcharge Factors'!$B$3:$O$25,12,FALSE)</f>
        <v>0.15</v>
      </c>
      <c r="P13" s="100">
        <f>O13</f>
        <v>0.15</v>
      </c>
      <c r="R13" s="116">
        <v>9</v>
      </c>
      <c r="S13" s="89" t="str">
        <f>'Surcharge Factors'!$M$3</f>
        <v>Kentucky Economic Develop. Surcharge</v>
      </c>
      <c r="T13" s="100">
        <f>VLOOKUP(T$3,'Surcharge Factors'!$B$3:$O$25,12,FALSE)</f>
        <v>0.15</v>
      </c>
      <c r="U13" s="100">
        <f>T13</f>
        <v>0.15</v>
      </c>
      <c r="W13" s="116">
        <v>9</v>
      </c>
      <c r="X13" s="89" t="str">
        <f>'Surcharge Factors'!$M$3</f>
        <v>Kentucky Economic Develop. Surcharge</v>
      </c>
      <c r="Y13" s="100">
        <f>VLOOKUP(Y$3,'Surcharge Factors'!$B$3:$O$25,12,FALSE)</f>
        <v>0.15</v>
      </c>
      <c r="Z13" s="100">
        <f>Y13</f>
        <v>0.15</v>
      </c>
    </row>
    <row r="14" spans="1:26" x14ac:dyDescent="0.25">
      <c r="C14" s="116">
        <v>10</v>
      </c>
      <c r="D14" s="89" t="str">
        <f>'Surcharge Factors'!$O$3</f>
        <v>Big Sandy 1 Operation Rider (/kwh)</v>
      </c>
      <c r="E14" s="99">
        <f>VLOOKUP(E$3,'Surcharge Factors'!$B$3:$O$25,14,FALSE)</f>
        <v>3.3E-3</v>
      </c>
      <c r="F14" s="100">
        <f>ROUND(E14*$B$1,2)</f>
        <v>4.13</v>
      </c>
      <c r="H14" s="116">
        <v>10</v>
      </c>
      <c r="I14" s="89" t="str">
        <f>'Surcharge Factors'!$O$3</f>
        <v>Big Sandy 1 Operation Rider (/kwh)</v>
      </c>
      <c r="J14" s="99">
        <f>VLOOKUP(J$3,'Surcharge Factors'!$B$3:$O$25,14,FALSE)</f>
        <v>3.3E-3</v>
      </c>
      <c r="K14" s="100">
        <f>ROUND(J14*$B$1,2)</f>
        <v>4.13</v>
      </c>
      <c r="M14" s="116">
        <v>10</v>
      </c>
      <c r="N14" s="89" t="str">
        <f>'Surcharge Factors'!$O$3</f>
        <v>Big Sandy 1 Operation Rider (/kwh)</v>
      </c>
      <c r="O14" s="99">
        <f>VLOOKUP(O$3,'Surcharge Factors'!$B$3:$O$25,14,FALSE)</f>
        <v>3.3E-3</v>
      </c>
      <c r="P14" s="100">
        <f>ROUND(O14*$B$1,2)</f>
        <v>4.13</v>
      </c>
      <c r="R14" s="116">
        <v>10</v>
      </c>
      <c r="S14" s="89" t="str">
        <f>'Surcharge Factors'!$O$3</f>
        <v>Big Sandy 1 Operation Rider (/kwh)</v>
      </c>
      <c r="T14" s="99">
        <f>VLOOKUP(T$3,'Surcharge Factors'!$B$3:$O$25,14,FALSE)</f>
        <v>3.3E-3</v>
      </c>
      <c r="U14" s="100">
        <f>ROUND(T14*$B$1,2)</f>
        <v>4.13</v>
      </c>
      <c r="W14" s="116">
        <v>10</v>
      </c>
      <c r="X14" s="89" t="str">
        <f>'Surcharge Factors'!$O$3</f>
        <v>Big Sandy 1 Operation Rider (/kwh)</v>
      </c>
      <c r="Y14" s="99">
        <f>VLOOKUP(Y$3,'Surcharge Factors'!$B$3:$O$25,14,FALSE)</f>
        <v>3.3E-3</v>
      </c>
      <c r="Z14" s="100">
        <f>ROUND(Y14*$B$1,2)</f>
        <v>4.13</v>
      </c>
    </row>
    <row r="15" spans="1:26" x14ac:dyDescent="0.25">
      <c r="C15" s="116">
        <v>11</v>
      </c>
      <c r="D15" s="89" t="str">
        <f>'Surcharge Factors'!$N$3</f>
        <v>Big Sandy Retirement Rider Residential (/dollar)</v>
      </c>
      <c r="E15" s="99">
        <f>VLOOKUP(E$3,'Surcharge Factors'!$B$3:$O$25,13,FALSE)</f>
        <v>3.0071000000000001E-2</v>
      </c>
      <c r="F15" s="100">
        <f>((SUM(F5:F8))+(SUM(F10:F14)))*E15</f>
        <v>3.9964358999999994</v>
      </c>
      <c r="H15" s="116">
        <v>11</v>
      </c>
      <c r="I15" s="89" t="str">
        <f>'Surcharge Factors'!$N$3</f>
        <v>Big Sandy Retirement Rider Residential (/dollar)</v>
      </c>
      <c r="J15" s="99">
        <f>VLOOKUP(J$3,'Surcharge Factors'!$B$3:$O$25,13,FALSE)</f>
        <v>3.0071000000000001E-2</v>
      </c>
      <c r="K15" s="100">
        <f>((SUM(K5:K8))+(SUM(K10:K14)))*J15</f>
        <v>3.55679788</v>
      </c>
      <c r="M15" s="116">
        <v>11</v>
      </c>
      <c r="N15" s="89" t="str">
        <f>'Surcharge Factors'!$N$3</f>
        <v>Big Sandy Retirement Rider Residential (/dollar)</v>
      </c>
      <c r="O15" s="99">
        <f>VLOOKUP(O$3,'Surcharge Factors'!$B$3:$O$25,13,FALSE)</f>
        <v>3.0071000000000001E-2</v>
      </c>
      <c r="P15" s="100">
        <f>((SUM(P5:P8))+(SUM(P10:P14)))*O15</f>
        <v>3.6115271000000004</v>
      </c>
      <c r="R15" s="116">
        <v>11</v>
      </c>
      <c r="S15" s="89" t="str">
        <f>'Surcharge Factors'!$N$3</f>
        <v>Big Sandy Retirement Rider Residential (/dollar)</v>
      </c>
      <c r="T15" s="99">
        <f>VLOOKUP(T$3,'Surcharge Factors'!$B$3:$O$25,13,FALSE)</f>
        <v>3.0071000000000001E-2</v>
      </c>
      <c r="U15" s="100">
        <f>((SUM(U5:U8))+(SUM(U10:U14)))*T15</f>
        <v>3.5098871200000001</v>
      </c>
      <c r="W15" s="116">
        <v>11</v>
      </c>
      <c r="X15" s="89" t="str">
        <f>'Surcharge Factors'!$N$3</f>
        <v>Big Sandy Retirement Rider Residential (/dollar)</v>
      </c>
      <c r="Y15" s="99">
        <f>VLOOKUP(Y$3,'Surcharge Factors'!$B$3:$O$25,13,FALSE)</f>
        <v>3.0071000000000001E-2</v>
      </c>
      <c r="Z15" s="100">
        <f>((SUM(Z5:Z8))+(SUM(Z10:Z14)))*Y15</f>
        <v>3.4867324499999999</v>
      </c>
    </row>
    <row r="16" spans="1:26" x14ac:dyDescent="0.25">
      <c r="C16" s="116">
        <v>12</v>
      </c>
      <c r="D16" s="102" t="s">
        <v>105</v>
      </c>
      <c r="E16" s="99">
        <f>VLOOKUP(E$3,'Surcharge Factors'!$B$3:$O$25,13,FALSE)</f>
        <v>3.0071000000000001E-2</v>
      </c>
      <c r="F16" s="100">
        <f>(F5+F6+F7+F9+F10+F11+F12+F13+F14)*E16</f>
        <v>3.99493235</v>
      </c>
      <c r="H16" s="116">
        <v>12</v>
      </c>
      <c r="I16" s="102" t="s">
        <v>105</v>
      </c>
      <c r="J16" s="99">
        <f>VLOOKUP(J$3,'Surcharge Factors'!$B$3:$O$25,13,FALSE)</f>
        <v>3.0071000000000001E-2</v>
      </c>
      <c r="K16" s="100">
        <f>(K5+K6+K7+K9+K10+K11+K12+K13+K14)*J16</f>
        <v>3.5519865200000007</v>
      </c>
      <c r="M16" s="116">
        <v>12</v>
      </c>
      <c r="N16" s="102" t="s">
        <v>105</v>
      </c>
      <c r="O16" s="99">
        <f>VLOOKUP(O$3,'Surcharge Factors'!$B$3:$O$25,13,FALSE)</f>
        <v>3.0071000000000001E-2</v>
      </c>
      <c r="P16" s="100">
        <f>(P5+P6+P7+P9+P10+P11+P12+P13+P14)*O16</f>
        <v>3.6076178700000003</v>
      </c>
      <c r="R16" s="116">
        <v>12</v>
      </c>
      <c r="S16" s="102" t="s">
        <v>105</v>
      </c>
      <c r="T16" s="99">
        <f>VLOOKUP(T$3,'Surcharge Factors'!$B$3:$O$25,13,FALSE)</f>
        <v>3.0071000000000001E-2</v>
      </c>
      <c r="U16" s="100">
        <f>(U5+U6+U7+U9+U10+U11+U12+U13+U14)*T16</f>
        <v>3.5074814400000003</v>
      </c>
      <c r="W16" s="116">
        <v>12</v>
      </c>
      <c r="X16" s="102" t="s">
        <v>105</v>
      </c>
      <c r="Y16" s="99">
        <f>VLOOKUP(Y$3,'Surcharge Factors'!$B$3:$O$25,13,FALSE)</f>
        <v>3.0071000000000001E-2</v>
      </c>
      <c r="Z16" s="100">
        <f>(Z5+Z6+Z7+Z9+Z10+Z11+Z12+Z13+Z14)*Y16</f>
        <v>3.4864317400000004</v>
      </c>
    </row>
    <row r="17" spans="3:26" x14ac:dyDescent="0.25">
      <c r="C17" s="116">
        <v>13</v>
      </c>
      <c r="D17" s="89" t="str">
        <f>'Surcharge Factors'!$I$3</f>
        <v>Purchased Power Adjustment (/dollar)</v>
      </c>
      <c r="E17" s="99">
        <f>VLOOKUP(E$3,'Surcharge Factors'!$B$3:$O$25,8,FALSE)</f>
        <v>0</v>
      </c>
      <c r="F17" s="100">
        <f>((SUM(F5:F8))+(SUM(F10:F14)))*E17</f>
        <v>0</v>
      </c>
      <c r="H17" s="116">
        <v>13</v>
      </c>
      <c r="I17" s="89" t="str">
        <f>'Surcharge Factors'!$I$3</f>
        <v>Purchased Power Adjustment (/dollar)</v>
      </c>
      <c r="J17" s="99">
        <f>VLOOKUP(J$3,'Surcharge Factors'!$B$3:$O$25,8,FALSE)</f>
        <v>2.1099999999999999E-3</v>
      </c>
      <c r="K17" s="100">
        <f>((SUM(K5:K8))+(SUM(K10:K14)))*J17</f>
        <v>0.24957079999999998</v>
      </c>
      <c r="M17" s="116">
        <v>13</v>
      </c>
      <c r="N17" s="89" t="str">
        <f>'Surcharge Factors'!$I$3</f>
        <v>Purchased Power Adjustment (/dollar)</v>
      </c>
      <c r="O17" s="99">
        <f>VLOOKUP(O$3,'Surcharge Factors'!$B$3:$O$25,8,FALSE)</f>
        <v>7.2199999999999999E-4</v>
      </c>
      <c r="P17" s="100">
        <f>((SUM(P5:P8))+(SUM(P10:P14)))*O17</f>
        <v>8.6712200000000003E-2</v>
      </c>
      <c r="R17" s="116">
        <v>13</v>
      </c>
      <c r="S17" s="89" t="str">
        <f>'Surcharge Factors'!$I$3</f>
        <v>Purchased Power Adjustment (/dollar)</v>
      </c>
      <c r="T17" s="99">
        <f>VLOOKUP(T$3,'Surcharge Factors'!$B$3:$O$25,8,FALSE)</f>
        <v>1.1E-4</v>
      </c>
      <c r="U17" s="100">
        <f>((SUM(U5:U8))+(SUM(U10:U14)))*T17</f>
        <v>1.28392E-2</v>
      </c>
      <c r="W17" s="116">
        <v>13</v>
      </c>
      <c r="X17" s="89" t="str">
        <f>'Surcharge Factors'!$I$3</f>
        <v>Purchased Power Adjustment (/dollar)</v>
      </c>
      <c r="Y17" s="99">
        <f>VLOOKUP(Y$3,'Surcharge Factors'!$B$3:$O$25,8,FALSE)</f>
        <v>3.6099999999999999E-4</v>
      </c>
      <c r="Z17" s="100">
        <f>((SUM(Z5:Z8))+(SUM(Z10:Z14)))*Y17</f>
        <v>4.1857949999999998E-2</v>
      </c>
    </row>
    <row r="18" spans="3:26" x14ac:dyDescent="0.25">
      <c r="C18" s="116">
        <v>14</v>
      </c>
      <c r="D18" s="102" t="s">
        <v>106</v>
      </c>
      <c r="E18" s="99">
        <f>VLOOKUP(E$3,'Surcharge Factors'!$B$3:$O$25,8,FALSE)</f>
        <v>0</v>
      </c>
      <c r="F18" s="100">
        <f>(F5+F6+F7+F9+F10+F11+F12+F13+F14)*E18</f>
        <v>0</v>
      </c>
      <c r="H18" s="116">
        <v>14</v>
      </c>
      <c r="I18" s="102" t="s">
        <v>106</v>
      </c>
      <c r="J18" s="99">
        <f>VLOOKUP(J$3,'Surcharge Factors'!$B$3:$O$25,8,FALSE)</f>
        <v>2.1099999999999999E-3</v>
      </c>
      <c r="K18" s="100">
        <f>(K5+K6+K7+K9+K10+K11+K12+K13+K14)*J18</f>
        <v>0.24923320000000002</v>
      </c>
      <c r="M18" s="116">
        <v>14</v>
      </c>
      <c r="N18" s="102" t="s">
        <v>106</v>
      </c>
      <c r="O18" s="99">
        <f>VLOOKUP(O$3,'Surcharge Factors'!$B$3:$O$25,8,FALSE)</f>
        <v>7.2199999999999999E-4</v>
      </c>
      <c r="P18" s="100">
        <f>(P5+P6+P7+P9+P10+P11+P12+P13+P14)*O18</f>
        <v>8.6618340000000002E-2</v>
      </c>
      <c r="R18" s="116">
        <v>14</v>
      </c>
      <c r="S18" s="102" t="s">
        <v>106</v>
      </c>
      <c r="T18" s="99">
        <f>VLOOKUP(T$3,'Surcharge Factors'!$B$3:$O$25,8,FALSE)</f>
        <v>1.1E-4</v>
      </c>
      <c r="U18" s="100">
        <f>(U5+U6+U7+U9+U10+U11+U12+U13+U14)*T18</f>
        <v>1.2830400000000002E-2</v>
      </c>
      <c r="W18" s="116">
        <v>14</v>
      </c>
      <c r="X18" s="102" t="s">
        <v>106</v>
      </c>
      <c r="Y18" s="99">
        <f>VLOOKUP(Y$3,'Surcharge Factors'!$B$3:$O$25,8,FALSE)</f>
        <v>3.6099999999999999E-4</v>
      </c>
      <c r="Z18" s="100">
        <f>(Z5+Z6+Z7+Z9+Z10+Z11+Z12+Z13+Z14)*Y18</f>
        <v>4.1854340000000004E-2</v>
      </c>
    </row>
    <row r="19" spans="3:26" x14ac:dyDescent="0.25">
      <c r="C19" s="116">
        <v>15</v>
      </c>
      <c r="D19" s="89" t="str">
        <f>'Surcharge Factors'!$H$3</f>
        <v>Environmental Surcharge (/dollar)</v>
      </c>
      <c r="E19" s="99">
        <f>VLOOKUP(E$3,'Surcharge Factors'!$B$3:$O$25,7,FALSE)</f>
        <v>0.12175800000000001</v>
      </c>
      <c r="F19" s="100">
        <f>((SUM(F5:F8))+(SUM(F10:F14)))*E19</f>
        <v>16.181638199999998</v>
      </c>
      <c r="H19" s="116">
        <v>15</v>
      </c>
      <c r="I19" s="89" t="str">
        <f>'Surcharge Factors'!$H$3</f>
        <v>Environmental Surcharge (/dollar)</v>
      </c>
      <c r="J19" s="99">
        <f>VLOOKUP(J$3,'Surcharge Factors'!$B$3:$O$25,7,FALSE)</f>
        <v>9.7656000000000007E-2</v>
      </c>
      <c r="K19" s="100">
        <f>((SUM(K5:K8))+(SUM(K10:K14)))*J19</f>
        <v>11.550751680000001</v>
      </c>
      <c r="M19" s="116">
        <v>15</v>
      </c>
      <c r="N19" s="89" t="str">
        <f>'Surcharge Factors'!$H$3</f>
        <v>Environmental Surcharge (/dollar)</v>
      </c>
      <c r="O19" s="99">
        <f>VLOOKUP(O$3,'Surcharge Factors'!$B$3:$O$25,7,FALSE)</f>
        <v>9.5034999999999994E-2</v>
      </c>
      <c r="P19" s="100">
        <f>((SUM(P5:P8))+(SUM(P10:P14)))*O19</f>
        <v>11.4137035</v>
      </c>
      <c r="R19" s="116">
        <v>15</v>
      </c>
      <c r="S19" s="89" t="str">
        <f>'Surcharge Factors'!$H$3</f>
        <v>Environmental Surcharge (/dollar)</v>
      </c>
      <c r="T19" s="99">
        <f>VLOOKUP(T$3,'Surcharge Factors'!$B$3:$O$25,7,FALSE)</f>
        <v>8.9069999999999996E-2</v>
      </c>
      <c r="U19" s="100">
        <f>((SUM(U5:U8))+(SUM(U10:U14)))*T19</f>
        <v>10.3962504</v>
      </c>
      <c r="W19" s="116">
        <v>15</v>
      </c>
      <c r="X19" s="89" t="str">
        <f>'Surcharge Factors'!$H$3</f>
        <v>Environmental Surcharge (/dollar)</v>
      </c>
      <c r="Y19" s="99">
        <f>VLOOKUP(Y$3,'Surcharge Factors'!$B$3:$O$25,7,FALSE)</f>
        <v>0.161907</v>
      </c>
      <c r="Z19" s="100">
        <f>((SUM(Z5:Z8))+(SUM(Z10:Z14)))*Y19</f>
        <v>18.773116649999999</v>
      </c>
    </row>
    <row r="20" spans="3:26" x14ac:dyDescent="0.25">
      <c r="C20" s="116">
        <v>16</v>
      </c>
      <c r="D20" s="102" t="s">
        <v>97</v>
      </c>
      <c r="E20" s="99">
        <f>'DSI in ES and SSC'!B22</f>
        <v>0.11276899999999999</v>
      </c>
      <c r="F20" s="100">
        <f>(F5+F6+F7+F9+F10+F11+F12+F13+F14)*E20</f>
        <v>14.981361649999998</v>
      </c>
      <c r="H20" s="116">
        <v>16</v>
      </c>
      <c r="I20" s="102" t="s">
        <v>97</v>
      </c>
      <c r="J20" s="99">
        <f>'DSI in ES and SSC'!C22</f>
        <v>8.7787000000000004E-2</v>
      </c>
      <c r="K20" s="100">
        <f>(K5+K6+K7+K9+K10+K11+K12+K13+K14)*J20</f>
        <v>10.369400440000001</v>
      </c>
      <c r="M20" s="116">
        <v>16</v>
      </c>
      <c r="N20" s="102" t="s">
        <v>97</v>
      </c>
      <c r="O20" s="99">
        <f>'DSI in ES and SSC'!D22</f>
        <v>8.7335999999999997E-2</v>
      </c>
      <c r="P20" s="100">
        <f>(P5+P6+P7+P9+P10+P11+P12+P13+P14)*O20</f>
        <v>10.477699920000001</v>
      </c>
      <c r="R20" s="116">
        <v>16</v>
      </c>
      <c r="S20" s="102" t="s">
        <v>97</v>
      </c>
      <c r="T20" s="99">
        <f>'DSI in ES and SSC'!E22</f>
        <v>8.0270999999999995E-2</v>
      </c>
      <c r="U20" s="100">
        <f>(U5+U6+U7+U9+U10+U11+U12+U13+U14)*T20</f>
        <v>9.3628094400000013</v>
      </c>
      <c r="W20" s="116">
        <v>16</v>
      </c>
      <c r="X20" s="102" t="s">
        <v>97</v>
      </c>
      <c r="Y20" s="99">
        <f>'DSI in ES and SSC'!F22</f>
        <v>0.147895</v>
      </c>
      <c r="Z20" s="100">
        <f>(Z5+Z6+Z7+Z9+Z10+Z11+Z12+Z13+Z14)*Y20</f>
        <v>17.146946300000003</v>
      </c>
    </row>
    <row r="21" spans="3:26" x14ac:dyDescent="0.25">
      <c r="C21" s="116">
        <v>17</v>
      </c>
      <c r="D21" s="89" t="str">
        <f>'Surcharge Factors'!$J$3</f>
        <v>Asset Transfer Rider (/dollar)</v>
      </c>
      <c r="E21" s="99">
        <f>VLOOKUP(E$3,'Surcharge Factors'!$B$3:$O$25,9,FALSE)</f>
        <v>2.3567899999999999E-2</v>
      </c>
      <c r="F21" s="100">
        <f>((SUM(F5:F8))+(SUM(F10:F14)))*E21</f>
        <v>3.1321739099999992</v>
      </c>
      <c r="H21" s="116">
        <v>17</v>
      </c>
      <c r="I21" s="89" t="str">
        <f>'Surcharge Factors'!$J$3</f>
        <v>Asset Transfer Rider (/dollar)</v>
      </c>
      <c r="J21" s="99">
        <f>VLOOKUP(J$3,'Surcharge Factors'!$B$3:$O$25,9,FALSE)</f>
        <v>0</v>
      </c>
      <c r="K21" s="100">
        <f>((SUM(K5:K8))+(SUM(K10:K14)))*J21</f>
        <v>0</v>
      </c>
      <c r="M21" s="116">
        <v>17</v>
      </c>
      <c r="N21" s="89" t="str">
        <f>'Surcharge Factors'!$J$3</f>
        <v>Asset Transfer Rider (/dollar)</v>
      </c>
      <c r="O21" s="99">
        <f>VLOOKUP(O$3,'Surcharge Factors'!$B$3:$O$25,9,FALSE)</f>
        <v>0</v>
      </c>
      <c r="P21" s="100">
        <f>((SUM(P5:P8))+(SUM(P10:P14)))*O21</f>
        <v>0</v>
      </c>
      <c r="R21" s="116">
        <v>17</v>
      </c>
      <c r="S21" s="89" t="str">
        <f>'Surcharge Factors'!$J$3</f>
        <v>Asset Transfer Rider (/dollar)</v>
      </c>
      <c r="T21" s="99">
        <f>VLOOKUP(T$3,'Surcharge Factors'!$B$3:$O$25,9,FALSE)</f>
        <v>-4.3189999999999998E-4</v>
      </c>
      <c r="U21" s="100">
        <f>((SUM(U5:U8))+(SUM(U10:U14)))*T21</f>
        <v>-5.0411367999999998E-2</v>
      </c>
      <c r="W21" s="116">
        <v>17</v>
      </c>
      <c r="X21" s="89" t="str">
        <f>'Surcharge Factors'!$J$3</f>
        <v>Asset Transfer Rider (/dollar)</v>
      </c>
      <c r="Y21" s="99">
        <f>VLOOKUP(Y$3,'Surcharge Factors'!$B$3:$O$25,9,FALSE)</f>
        <v>0</v>
      </c>
      <c r="Z21" s="100">
        <f>((SUM(Z5:Z8))+(SUM(Z10:Z14)))*Y21</f>
        <v>0</v>
      </c>
    </row>
    <row r="22" spans="3:26" ht="15.75" thickBot="1" x14ac:dyDescent="0.3">
      <c r="C22" s="116"/>
      <c r="D22" s="102" t="s">
        <v>107</v>
      </c>
      <c r="E22" s="99">
        <f>VLOOKUP(E$3,'Surcharge Factors'!$B$3:$O$25,9,FALSE)</f>
        <v>2.3567899999999999E-2</v>
      </c>
      <c r="F22" s="100">
        <f>(F5+F6+F7+F9+F10+F11+F12+F13+F14)*E22</f>
        <v>3.130995515</v>
      </c>
      <c r="H22" s="116"/>
      <c r="I22" s="102" t="s">
        <v>107</v>
      </c>
      <c r="J22" s="99">
        <f>VLOOKUP(J$3,'Surcharge Factors'!$B$3:$O$25,9,FALSE)</f>
        <v>0</v>
      </c>
      <c r="K22" s="100">
        <f>(K5+K6+K7+K9+K10+K11+K12+K13+K14)*J22</f>
        <v>0</v>
      </c>
      <c r="M22" s="116"/>
      <c r="N22" s="102" t="s">
        <v>107</v>
      </c>
      <c r="O22" s="99">
        <f>VLOOKUP(O$3,'Surcharge Factors'!$B$3:$O$25,9,FALSE)</f>
        <v>0</v>
      </c>
      <c r="P22" s="100">
        <f>(P5+P6+P7+P9+P10+P11+P12+P13+P14)*O22</f>
        <v>0</v>
      </c>
      <c r="R22" s="116"/>
      <c r="S22" s="102" t="s">
        <v>107</v>
      </c>
      <c r="T22" s="99">
        <f>VLOOKUP(T$3,'Surcharge Factors'!$B$3:$O$25,9,FALSE)</f>
        <v>-4.3189999999999998E-4</v>
      </c>
      <c r="U22" s="100">
        <f>(U5+U6+U7+U9+U10+U11+U12+U13+U14)*T22</f>
        <v>-5.0376816000000005E-2</v>
      </c>
      <c r="W22" s="116"/>
      <c r="X22" s="102" t="s">
        <v>107</v>
      </c>
      <c r="Y22" s="99">
        <f>VLOOKUP(Y$3,'Surcharge Factors'!$B$3:$O$25,9,FALSE)</f>
        <v>0</v>
      </c>
      <c r="Z22" s="100">
        <f>(Z5+Z6+Z7+Z9+Z10+Z11+Z12+Z13+Z14)*Y22</f>
        <v>0</v>
      </c>
    </row>
    <row r="23" spans="3:26" ht="15.75" thickBot="1" x14ac:dyDescent="0.3">
      <c r="C23" s="118">
        <v>18</v>
      </c>
      <c r="D23" s="103" t="s">
        <v>98</v>
      </c>
      <c r="E23" s="104"/>
      <c r="F23" s="105">
        <f>F5+F6+F7+F8+F10+F11+F12+F13+F14+F15+F17+F19+F21</f>
        <v>156.21024801000002</v>
      </c>
      <c r="H23" s="118">
        <v>18</v>
      </c>
      <c r="I23" s="103" t="s">
        <v>98</v>
      </c>
      <c r="J23" s="104"/>
      <c r="K23" s="105">
        <f>K5+K6+K7+K8+K10+K11+K12+K13+K14+K15+K17+K19+K21</f>
        <v>133.63712036000001</v>
      </c>
      <c r="M23" s="118">
        <v>18</v>
      </c>
      <c r="N23" s="103" t="s">
        <v>98</v>
      </c>
      <c r="O23" s="104"/>
      <c r="P23" s="105">
        <f>P5+P6+P7+P8+P10+P11+P12+P13+P14+P15+P17+P19+P21</f>
        <v>135.21194280000003</v>
      </c>
      <c r="R23" s="118">
        <v>18</v>
      </c>
      <c r="S23" s="103" t="s">
        <v>98</v>
      </c>
      <c r="T23" s="104"/>
      <c r="U23" s="105">
        <f>U5+U6+U7+U8+U10+U11+U12+U13+U14+U15+U17+U19+U21</f>
        <v>130.58856535200002</v>
      </c>
      <c r="W23" s="118">
        <v>18</v>
      </c>
      <c r="X23" s="103" t="s">
        <v>98</v>
      </c>
      <c r="Y23" s="104"/>
      <c r="Z23" s="105">
        <f>Z5+Z6+Z7+Z8+Z10+Z11+Z12+Z13+Z14+Z15+Z17+Z19+Z21</f>
        <v>138.25170704999999</v>
      </c>
    </row>
    <row r="24" spans="3:26" ht="15.75" thickBot="1" x14ac:dyDescent="0.3">
      <c r="C24" s="117">
        <v>19</v>
      </c>
      <c r="D24" s="106" t="s">
        <v>99</v>
      </c>
      <c r="E24" s="107"/>
      <c r="F24" s="108">
        <f>F5+F6+F7+F9+F10+F11+F12+F13+F14+F16+F18+F20+F22</f>
        <v>154.95728951499999</v>
      </c>
      <c r="H24" s="117">
        <v>19</v>
      </c>
      <c r="I24" s="106" t="s">
        <v>99</v>
      </c>
      <c r="J24" s="107"/>
      <c r="K24" s="108">
        <f>K5+K6+K7+K9+K10+K11+K12+K13+K14+K16+K18+K20+K22</f>
        <v>132.29062016000003</v>
      </c>
      <c r="M24" s="117">
        <v>19</v>
      </c>
      <c r="N24" s="106" t="s">
        <v>99</v>
      </c>
      <c r="O24" s="107"/>
      <c r="P24" s="108">
        <f>P5+P6+P7+P9+P10+P11+P12+P13+P14+P16+P18+P20+P22</f>
        <v>134.14193613</v>
      </c>
      <c r="R24" s="117">
        <v>19</v>
      </c>
      <c r="S24" s="106" t="s">
        <v>99</v>
      </c>
      <c r="T24" s="107"/>
      <c r="U24" s="108">
        <f>U5+U6+U7+U9+U10+U11+U12+U13+U14+U16+U18+U20+U22</f>
        <v>129.47274446400002</v>
      </c>
      <c r="W24" s="117">
        <v>19</v>
      </c>
      <c r="X24" s="106" t="s">
        <v>99</v>
      </c>
      <c r="Y24" s="107"/>
      <c r="Z24" s="108">
        <f>Z5+Z6+Z7+Z9+Z10+Z11+Z12+Z13+Z14+Z16+Z18+Z20+Z22</f>
        <v>136.61523238000001</v>
      </c>
    </row>
    <row r="25" spans="3:26" ht="15.75" thickBot="1" x14ac:dyDescent="0.3">
      <c r="E25" s="125" t="s">
        <v>108</v>
      </c>
      <c r="F25" s="126">
        <f>F23-F24</f>
        <v>1.2529584950000299</v>
      </c>
      <c r="J25" s="125" t="s">
        <v>108</v>
      </c>
      <c r="K25" s="126">
        <f>K23-K24</f>
        <v>1.3465001999999799</v>
      </c>
      <c r="O25" s="125" t="s">
        <v>108</v>
      </c>
      <c r="P25" s="126">
        <f>P23-P24</f>
        <v>1.0700066700000264</v>
      </c>
      <c r="T25" s="125" t="s">
        <v>108</v>
      </c>
      <c r="U25" s="126">
        <f>U23-U24</f>
        <v>1.1158208880000018</v>
      </c>
      <c r="Y25" s="125" t="s">
        <v>108</v>
      </c>
      <c r="Z25" s="126">
        <f>Z23-Z24</f>
        <v>1.6364746699999841</v>
      </c>
    </row>
    <row r="26" spans="3:26" ht="15.75" thickBot="1" x14ac:dyDescent="0.3"/>
    <row r="27" spans="3:26" ht="15.75" thickBot="1" x14ac:dyDescent="0.3">
      <c r="C27" s="121"/>
      <c r="D27" s="122" t="s">
        <v>100</v>
      </c>
      <c r="E27" s="123" t="str">
        <f>'Surcharge Factors'!B10</f>
        <v>January 2016</v>
      </c>
      <c r="F27" s="124"/>
      <c r="H27" s="121"/>
      <c r="I27" s="122" t="s">
        <v>100</v>
      </c>
      <c r="J27" s="123" t="str">
        <f>'Surcharge Factors'!B11</f>
        <v>February 2016</v>
      </c>
      <c r="K27" s="124"/>
      <c r="M27" s="121"/>
      <c r="N27" s="122" t="s">
        <v>100</v>
      </c>
      <c r="O27" s="123" t="str">
        <f>'Surcharge Factors'!B12</f>
        <v>March 2016</v>
      </c>
      <c r="P27" s="124"/>
      <c r="R27" s="121"/>
      <c r="S27" s="122" t="s">
        <v>100</v>
      </c>
      <c r="T27" s="123" t="str">
        <f>'Surcharge Factors'!B13</f>
        <v>April 2016</v>
      </c>
      <c r="U27" s="124"/>
      <c r="W27" s="121"/>
      <c r="X27" s="122" t="s">
        <v>100</v>
      </c>
      <c r="Y27" s="123" t="str">
        <f>'Surcharge Factors'!B14</f>
        <v>May 2016</v>
      </c>
      <c r="Z27" s="124"/>
    </row>
    <row r="28" spans="3:26" ht="30.75" thickBot="1" x14ac:dyDescent="0.3">
      <c r="C28" s="120" t="s">
        <v>104</v>
      </c>
      <c r="D28" s="109" t="s">
        <v>75</v>
      </c>
      <c r="E28" s="110" t="s">
        <v>101</v>
      </c>
      <c r="F28" s="111" t="s">
        <v>102</v>
      </c>
      <c r="H28" s="120" t="s">
        <v>104</v>
      </c>
      <c r="I28" s="109" t="s">
        <v>75</v>
      </c>
      <c r="J28" s="110" t="s">
        <v>101</v>
      </c>
      <c r="K28" s="111" t="s">
        <v>102</v>
      </c>
      <c r="M28" s="120" t="s">
        <v>104</v>
      </c>
      <c r="N28" s="109" t="s">
        <v>75</v>
      </c>
      <c r="O28" s="110" t="s">
        <v>101</v>
      </c>
      <c r="P28" s="111" t="s">
        <v>102</v>
      </c>
      <c r="R28" s="120" t="s">
        <v>104</v>
      </c>
      <c r="S28" s="109" t="s">
        <v>75</v>
      </c>
      <c r="T28" s="110" t="s">
        <v>101</v>
      </c>
      <c r="U28" s="111" t="s">
        <v>102</v>
      </c>
      <c r="W28" s="120" t="s">
        <v>104</v>
      </c>
      <c r="X28" s="109" t="s">
        <v>75</v>
      </c>
      <c r="Y28" s="110" t="s">
        <v>101</v>
      </c>
      <c r="Z28" s="111" t="s">
        <v>102</v>
      </c>
    </row>
    <row r="29" spans="3:26" x14ac:dyDescent="0.25">
      <c r="C29" s="115">
        <v>1</v>
      </c>
      <c r="D29" s="90" t="str">
        <f>'Surcharge Factors'!$C$3</f>
        <v>Service Charge ($/customer)</v>
      </c>
      <c r="E29" s="97">
        <f>VLOOKUP(E27,'Surcharge Factors'!$B$3:$O$25,2,FALSE)</f>
        <v>11</v>
      </c>
      <c r="F29" s="97">
        <f>E29</f>
        <v>11</v>
      </c>
      <c r="H29" s="115">
        <v>1</v>
      </c>
      <c r="I29" s="90" t="str">
        <f>'Surcharge Factors'!$C$3</f>
        <v>Service Charge ($/customer)</v>
      </c>
      <c r="J29" s="97">
        <f>VLOOKUP(J27,'Surcharge Factors'!$B$3:$O$25,2,FALSE)</f>
        <v>11</v>
      </c>
      <c r="K29" s="97">
        <f>J29</f>
        <v>11</v>
      </c>
      <c r="M29" s="115">
        <v>1</v>
      </c>
      <c r="N29" s="90" t="str">
        <f>'Surcharge Factors'!$C$3</f>
        <v>Service Charge ($/customer)</v>
      </c>
      <c r="O29" s="97">
        <f>VLOOKUP(O27,'Surcharge Factors'!$B$3:$O$25,2,FALSE)</f>
        <v>11</v>
      </c>
      <c r="P29" s="97">
        <f>O29</f>
        <v>11</v>
      </c>
      <c r="R29" s="115">
        <v>1</v>
      </c>
      <c r="S29" s="90" t="str">
        <f>'Surcharge Factors'!$C$3</f>
        <v>Service Charge ($/customer)</v>
      </c>
      <c r="T29" s="97">
        <f>VLOOKUP(T27,'Surcharge Factors'!$B$3:$O$25,2,FALSE)</f>
        <v>11</v>
      </c>
      <c r="U29" s="97">
        <f>T29</f>
        <v>11</v>
      </c>
      <c r="W29" s="115">
        <v>1</v>
      </c>
      <c r="X29" s="90" t="str">
        <f>'Surcharge Factors'!$C$3</f>
        <v>Service Charge ($/customer)</v>
      </c>
      <c r="Y29" s="97">
        <f>VLOOKUP(Y27,'Surcharge Factors'!$B$3:$O$25,2,FALSE)</f>
        <v>11</v>
      </c>
      <c r="Z29" s="97">
        <f>Y29</f>
        <v>11</v>
      </c>
    </row>
    <row r="30" spans="3:26" x14ac:dyDescent="0.25">
      <c r="C30" s="116">
        <v>2</v>
      </c>
      <c r="D30" s="89" t="str">
        <f>'Surcharge Factors'!$D$3</f>
        <v>Energy Usage ($/kWh)</v>
      </c>
      <c r="E30" s="98">
        <f>VLOOKUP(E$27,'Surcharge Factors'!$B$3:$O$25,3,FALSE)</f>
        <v>8.795E-2</v>
      </c>
      <c r="F30" s="100">
        <f>ROUND(E$6*$B$1,2)</f>
        <v>111.38</v>
      </c>
      <c r="H30" s="116">
        <v>2</v>
      </c>
      <c r="I30" s="89" t="str">
        <f>'Surcharge Factors'!$D$3</f>
        <v>Energy Usage ($/kWh)</v>
      </c>
      <c r="J30" s="98">
        <f>VLOOKUP(J$27,'Surcharge Factors'!$B$3:$O$25,3,FALSE)</f>
        <v>8.795E-2</v>
      </c>
      <c r="K30" s="100">
        <f>ROUND(J$6*$B$1,2)</f>
        <v>111.38</v>
      </c>
      <c r="M30" s="116">
        <v>2</v>
      </c>
      <c r="N30" s="89" t="str">
        <f>'Surcharge Factors'!$D$3</f>
        <v>Energy Usage ($/kWh)</v>
      </c>
      <c r="O30" s="98">
        <f>VLOOKUP(O$27,'Surcharge Factors'!$B$3:$O$25,3,FALSE)</f>
        <v>8.795E-2</v>
      </c>
      <c r="P30" s="100">
        <f>ROUND(O$6*$B$1,2)</f>
        <v>109.94</v>
      </c>
      <c r="R30" s="116">
        <v>2</v>
      </c>
      <c r="S30" s="89" t="str">
        <f>'Surcharge Factors'!$D$3</f>
        <v>Energy Usage ($/kWh)</v>
      </c>
      <c r="T30" s="98">
        <f>VLOOKUP(T$27,'Surcharge Factors'!$B$3:$O$25,3,FALSE)</f>
        <v>8.795E-2</v>
      </c>
      <c r="U30" s="100">
        <f>ROUND(T$6*$B$1,2)</f>
        <v>109.94</v>
      </c>
      <c r="W30" s="116">
        <v>2</v>
      </c>
      <c r="X30" s="89" t="str">
        <f>'Surcharge Factors'!$D$3</f>
        <v>Energy Usage ($/kWh)</v>
      </c>
      <c r="Y30" s="98">
        <f>VLOOKUP(Y$27,'Surcharge Factors'!$B$3:$O$25,3,FALSE)</f>
        <v>8.795E-2</v>
      </c>
      <c r="Z30" s="100">
        <f>ROUND(Y$6*$B$1,2)</f>
        <v>109.94</v>
      </c>
    </row>
    <row r="31" spans="3:26" x14ac:dyDescent="0.25">
      <c r="C31" s="116">
        <v>3</v>
      </c>
      <c r="D31" s="91" t="str">
        <f>'Surcharge Factors'!$E$3</f>
        <v>Fuel Adj. Clause (/kWh)</v>
      </c>
      <c r="E31" s="98">
        <f>VLOOKUP(E$27,'Surcharge Factors'!$B$3:$O$25,4,FALSE)</f>
        <v>-3.0599999999999998E-3</v>
      </c>
      <c r="F31" s="100">
        <f>ROUND(E31*$B$1,2)</f>
        <v>-3.83</v>
      </c>
      <c r="H31" s="116">
        <v>3</v>
      </c>
      <c r="I31" s="91" t="str">
        <f>'Surcharge Factors'!$E$3</f>
        <v>Fuel Adj. Clause (/kWh)</v>
      </c>
      <c r="J31" s="98">
        <f>VLOOKUP(J$27,'Surcharge Factors'!$B$3:$O$25,4,FALSE)</f>
        <v>-1.24E-3</v>
      </c>
      <c r="K31" s="100">
        <f>ROUND(J31*$B$1,2)</f>
        <v>-1.55</v>
      </c>
      <c r="M31" s="116">
        <v>3</v>
      </c>
      <c r="N31" s="91" t="str">
        <f>'Surcharge Factors'!$E$3</f>
        <v>Fuel Adj. Clause (/kWh)</v>
      </c>
      <c r="O31" s="98">
        <f>VLOOKUP(O$27,'Surcharge Factors'!$B$3:$O$25,4,FALSE)</f>
        <v>-1.41E-3</v>
      </c>
      <c r="P31" s="100">
        <f>ROUND(O31*$B$1,2)</f>
        <v>-1.76</v>
      </c>
      <c r="R31" s="116">
        <v>3</v>
      </c>
      <c r="S31" s="91" t="str">
        <f>'Surcharge Factors'!$E$3</f>
        <v>Fuel Adj. Clause (/kWh)</v>
      </c>
      <c r="T31" s="98">
        <f>VLOOKUP(T$27,'Surcharge Factors'!$B$3:$O$25,4,FALSE)</f>
        <v>-1.67E-3</v>
      </c>
      <c r="U31" s="100">
        <f>ROUND(T31*$B$1,2)</f>
        <v>-2.09</v>
      </c>
      <c r="W31" s="116">
        <v>3</v>
      </c>
      <c r="X31" s="91" t="str">
        <f>'Surcharge Factors'!$E$3</f>
        <v>Fuel Adj. Clause (/kWh)</v>
      </c>
      <c r="Y31" s="98">
        <f>VLOOKUP(Y$27,'Surcharge Factors'!$B$3:$O$25,4,FALSE)</f>
        <v>-1.8000000000000001E-4</v>
      </c>
      <c r="Z31" s="100">
        <f>ROUND(Y31*$B$1,2)</f>
        <v>-0.23</v>
      </c>
    </row>
    <row r="32" spans="3:26" x14ac:dyDescent="0.25">
      <c r="C32" s="116">
        <v>4</v>
      </c>
      <c r="D32" s="91" t="str">
        <f>'Surcharge Factors'!$F$3</f>
        <v>System Sales Clause (/kWh)</v>
      </c>
      <c r="E32" s="101">
        <f>VLOOKUP(E$27,'Surcharge Factors'!$B$3:$O$25,5,FALSE)</f>
        <v>-3.5975E-3</v>
      </c>
      <c r="F32" s="100">
        <f>ROUND(E32*$B$1,2)</f>
        <v>-4.5</v>
      </c>
      <c r="H32" s="116">
        <v>4</v>
      </c>
      <c r="I32" s="91" t="str">
        <f>'Surcharge Factors'!$F$3</f>
        <v>System Sales Clause (/kWh)</v>
      </c>
      <c r="J32" s="101">
        <f>VLOOKUP(J$27,'Surcharge Factors'!$B$3:$O$25,5,FALSE)</f>
        <v>1.5217E-3</v>
      </c>
      <c r="K32" s="100">
        <f>ROUND(J32*$B$1,2)</f>
        <v>1.9</v>
      </c>
      <c r="M32" s="116">
        <v>4</v>
      </c>
      <c r="N32" s="91" t="str">
        <f>'Surcharge Factors'!$F$3</f>
        <v>System Sales Clause (/kWh)</v>
      </c>
      <c r="O32" s="101">
        <f>VLOOKUP(O$27,'Surcharge Factors'!$B$3:$O$25,5,FALSE)</f>
        <v>1.7708000000000001E-3</v>
      </c>
      <c r="P32" s="100">
        <f>ROUND(O32*$B$1,2)</f>
        <v>2.21</v>
      </c>
      <c r="R32" s="116">
        <v>4</v>
      </c>
      <c r="S32" s="91" t="str">
        <f>'Surcharge Factors'!$F$3</f>
        <v>System Sales Clause (/kWh)</v>
      </c>
      <c r="T32" s="101">
        <f>VLOOKUP(T$27,'Surcharge Factors'!$B$3:$O$25,5,FALSE)</f>
        <v>1.7815999999999999E-3</v>
      </c>
      <c r="U32" s="100">
        <f>ROUND(T32*$B$1,2)</f>
        <v>2.23</v>
      </c>
      <c r="W32" s="116">
        <v>4</v>
      </c>
      <c r="X32" s="91" t="str">
        <f>'Surcharge Factors'!$F$3</f>
        <v>System Sales Clause (/kWh)</v>
      </c>
      <c r="Y32" s="101">
        <f>VLOOKUP(Y$27,'Surcharge Factors'!$B$3:$O$25,5,FALSE)</f>
        <v>1.7166E-3</v>
      </c>
      <c r="Z32" s="100">
        <f>ROUND(Y32*$B$1,2)</f>
        <v>2.15</v>
      </c>
    </row>
    <row r="33" spans="3:26" x14ac:dyDescent="0.25">
      <c r="C33" s="116">
        <v>5</v>
      </c>
      <c r="D33" s="102" t="s">
        <v>103</v>
      </c>
      <c r="E33" s="101">
        <f>'DSI in ES and SSC'!G31</f>
        <v>-3.6210999999999999E-3</v>
      </c>
      <c r="F33" s="100">
        <f>ROUND(E33*$B$1,2)</f>
        <v>-4.53</v>
      </c>
      <c r="H33" s="116">
        <v>5</v>
      </c>
      <c r="I33" s="102" t="s">
        <v>103</v>
      </c>
      <c r="J33" s="101">
        <f>'DSI in ES and SSC'!H31</f>
        <v>1.5149E-3</v>
      </c>
      <c r="K33" s="100">
        <f>ROUND(J33*$B$1,2)</f>
        <v>1.89</v>
      </c>
      <c r="M33" s="116">
        <v>5</v>
      </c>
      <c r="N33" s="102" t="s">
        <v>103</v>
      </c>
      <c r="O33" s="101">
        <f>'DSI in ES and SSC'!I31</f>
        <v>1.7635999999999999E-3</v>
      </c>
      <c r="P33" s="100">
        <f>ROUND(O33*$B$1,2)</f>
        <v>2.2000000000000002</v>
      </c>
      <c r="R33" s="116">
        <v>5</v>
      </c>
      <c r="S33" s="102" t="s">
        <v>103</v>
      </c>
      <c r="T33" s="101">
        <f>'DSI in ES and SSC'!J31</f>
        <v>1.7727000000000001E-3</v>
      </c>
      <c r="U33" s="100">
        <f>ROUND(T33*$B$1,2)</f>
        <v>2.2200000000000002</v>
      </c>
      <c r="W33" s="116">
        <v>5</v>
      </c>
      <c r="X33" s="102" t="s">
        <v>103</v>
      </c>
      <c r="Y33" s="101">
        <f>'DSI in ES and SSC'!K31</f>
        <v>1.7051E-3</v>
      </c>
      <c r="Z33" s="100">
        <f>ROUND(Y33*$B$1,2)</f>
        <v>2.13</v>
      </c>
    </row>
    <row r="34" spans="3:26" x14ac:dyDescent="0.25">
      <c r="C34" s="116">
        <v>6</v>
      </c>
      <c r="D34" s="89" t="str">
        <f>'Surcharge Factors'!$G$3</f>
        <v>Capacity Charge (/kWh)</v>
      </c>
      <c r="E34" s="99">
        <f>VLOOKUP(E$27,'Surcharge Factors'!$B$3:$O$25,6,FALSE)</f>
        <v>1.1850000000000001E-3</v>
      </c>
      <c r="F34" s="100">
        <f>ROUND(E34*$B$1,2)</f>
        <v>1.48</v>
      </c>
      <c r="H34" s="116">
        <v>6</v>
      </c>
      <c r="I34" s="89" t="str">
        <f>'Surcharge Factors'!$G$3</f>
        <v>Capacity Charge (/kWh)</v>
      </c>
      <c r="J34" s="99">
        <f>VLOOKUP(J$27,'Surcharge Factors'!$B$3:$O$25,6,FALSE)</f>
        <v>1.1850000000000001E-3</v>
      </c>
      <c r="K34" s="100">
        <f>ROUND(J34*$B$1,2)</f>
        <v>1.48</v>
      </c>
      <c r="M34" s="116">
        <v>6</v>
      </c>
      <c r="N34" s="89" t="str">
        <f>'Surcharge Factors'!$G$3</f>
        <v>Capacity Charge (/kWh)</v>
      </c>
      <c r="O34" s="99">
        <f>VLOOKUP(O$27,'Surcharge Factors'!$B$3:$O$25,6,FALSE)</f>
        <v>1.1850000000000001E-3</v>
      </c>
      <c r="P34" s="100">
        <f>ROUND(O34*$B$1,2)</f>
        <v>1.48</v>
      </c>
      <c r="R34" s="116">
        <v>6</v>
      </c>
      <c r="S34" s="89" t="str">
        <f>'Surcharge Factors'!$G$3</f>
        <v>Capacity Charge (/kWh)</v>
      </c>
      <c r="T34" s="99">
        <f>VLOOKUP(T$27,'Surcharge Factors'!$B$3:$O$25,6,FALSE)</f>
        <v>1.1850000000000001E-3</v>
      </c>
      <c r="U34" s="100">
        <f>ROUND(T34*$B$1,2)</f>
        <v>1.48</v>
      </c>
      <c r="W34" s="116">
        <v>6</v>
      </c>
      <c r="X34" s="89" t="str">
        <f>'Surcharge Factors'!$G$3</f>
        <v>Capacity Charge (/kWh)</v>
      </c>
      <c r="Y34" s="99">
        <f>VLOOKUP(Y$27,'Surcharge Factors'!$B$3:$O$25,6,FALSE)</f>
        <v>1.1850000000000001E-3</v>
      </c>
      <c r="Z34" s="100">
        <f>ROUND(Y34*$B$1,2)</f>
        <v>1.48</v>
      </c>
    </row>
    <row r="35" spans="3:26" x14ac:dyDescent="0.25">
      <c r="C35" s="116">
        <v>7</v>
      </c>
      <c r="D35" s="92" t="str">
        <f>'Surcharge Factors'!$K$3</f>
        <v>DSM Residential (/kWh)</v>
      </c>
      <c r="E35" s="99">
        <f>VLOOKUP(E$27,'Surcharge Factors'!$B$3:$O$25,10,FALSE)</f>
        <v>3.8299999999999999E-4</v>
      </c>
      <c r="F35" s="100">
        <f>ROUND(E35*$B$1,2)</f>
        <v>0.48</v>
      </c>
      <c r="H35" s="116">
        <v>7</v>
      </c>
      <c r="I35" s="92" t="str">
        <f>'Surcharge Factors'!$K$3</f>
        <v>DSM Residential (/kWh)</v>
      </c>
      <c r="J35" s="99">
        <f>VLOOKUP(J$27,'Surcharge Factors'!$B$3:$O$25,10,FALSE)</f>
        <v>3.8299999999999999E-4</v>
      </c>
      <c r="K35" s="100">
        <f>ROUND(J35*$B$1,2)</f>
        <v>0.48</v>
      </c>
      <c r="M35" s="116">
        <v>7</v>
      </c>
      <c r="N35" s="92" t="str">
        <f>'Surcharge Factors'!$K$3</f>
        <v>DSM Residential (/kWh)</v>
      </c>
      <c r="O35" s="99">
        <f>VLOOKUP(O$27,'Surcharge Factors'!$B$3:$O$25,10,FALSE)</f>
        <v>3.8299999999999999E-4</v>
      </c>
      <c r="P35" s="100">
        <f>ROUND(O35*$B$1,2)</f>
        <v>0.48</v>
      </c>
      <c r="R35" s="116">
        <v>7</v>
      </c>
      <c r="S35" s="92" t="str">
        <f>'Surcharge Factors'!$K$3</f>
        <v>DSM Residential (/kWh)</v>
      </c>
      <c r="T35" s="99">
        <f>VLOOKUP(T$27,'Surcharge Factors'!$B$3:$O$25,10,FALSE)</f>
        <v>3.1589999999999999E-3</v>
      </c>
      <c r="U35" s="100">
        <f>ROUND(T35*$B$1,2)</f>
        <v>3.95</v>
      </c>
      <c r="W35" s="116">
        <v>7</v>
      </c>
      <c r="X35" s="92" t="str">
        <f>'Surcharge Factors'!$K$3</f>
        <v>DSM Residential (/kWh)</v>
      </c>
      <c r="Y35" s="99">
        <f>VLOOKUP(Y$27,'Surcharge Factors'!$B$3:$O$25,10,FALSE)</f>
        <v>3.1589999999999999E-3</v>
      </c>
      <c r="Z35" s="100">
        <f>ROUND(Y35*$B$1,2)</f>
        <v>3.95</v>
      </c>
    </row>
    <row r="36" spans="3:26" x14ac:dyDescent="0.25">
      <c r="C36" s="116">
        <v>8</v>
      </c>
      <c r="D36" s="89" t="str">
        <f>'Surcharge Factors'!$L$3</f>
        <v>Home Energy Assistance Program (Residential only)</v>
      </c>
      <c r="E36" s="100">
        <f>VLOOKUP(E$27,'Surcharge Factors'!$B$3:$O$25,11,FALSE)</f>
        <v>0.15</v>
      </c>
      <c r="F36" s="100">
        <f>E36</f>
        <v>0.15</v>
      </c>
      <c r="H36" s="116">
        <v>8</v>
      </c>
      <c r="I36" s="89" t="str">
        <f>'Surcharge Factors'!$L$3</f>
        <v>Home Energy Assistance Program (Residential only)</v>
      </c>
      <c r="J36" s="100">
        <f>VLOOKUP(J$27,'Surcharge Factors'!$B$3:$O$25,11,FALSE)</f>
        <v>0.15</v>
      </c>
      <c r="K36" s="100">
        <f>J36</f>
        <v>0.15</v>
      </c>
      <c r="M36" s="116">
        <v>8</v>
      </c>
      <c r="N36" s="89" t="str">
        <f>'Surcharge Factors'!$L$3</f>
        <v>Home Energy Assistance Program (Residential only)</v>
      </c>
      <c r="O36" s="100">
        <f>VLOOKUP(O$27,'Surcharge Factors'!$B$3:$O$25,11,FALSE)</f>
        <v>0.15</v>
      </c>
      <c r="P36" s="100">
        <f>O36</f>
        <v>0.15</v>
      </c>
      <c r="R36" s="116">
        <v>8</v>
      </c>
      <c r="S36" s="89" t="str">
        <f>'Surcharge Factors'!$L$3</f>
        <v>Home Energy Assistance Program (Residential only)</v>
      </c>
      <c r="T36" s="100">
        <f>VLOOKUP(T$27,'Surcharge Factors'!$B$3:$O$25,11,FALSE)</f>
        <v>0.15</v>
      </c>
      <c r="U36" s="100">
        <f>T36</f>
        <v>0.15</v>
      </c>
      <c r="W36" s="116">
        <v>8</v>
      </c>
      <c r="X36" s="89" t="str">
        <f>'Surcharge Factors'!$L$3</f>
        <v>Home Energy Assistance Program (Residential only)</v>
      </c>
      <c r="Y36" s="100">
        <f>VLOOKUP(Y$27,'Surcharge Factors'!$B$3:$O$25,11,FALSE)</f>
        <v>0.15</v>
      </c>
      <c r="Z36" s="100">
        <f>Y36</f>
        <v>0.15</v>
      </c>
    </row>
    <row r="37" spans="3:26" x14ac:dyDescent="0.25">
      <c r="C37" s="116">
        <v>9</v>
      </c>
      <c r="D37" s="89" t="str">
        <f>'Surcharge Factors'!$M$3</f>
        <v>Kentucky Economic Develop. Surcharge</v>
      </c>
      <c r="E37" s="100">
        <f>VLOOKUP(E$27,'Surcharge Factors'!$B$3:$O$25,12,FALSE)</f>
        <v>0.15</v>
      </c>
      <c r="F37" s="100">
        <f>E37</f>
        <v>0.15</v>
      </c>
      <c r="H37" s="116">
        <v>9</v>
      </c>
      <c r="I37" s="89" t="str">
        <f>'Surcharge Factors'!$M$3</f>
        <v>Kentucky Economic Develop. Surcharge</v>
      </c>
      <c r="J37" s="100">
        <f>VLOOKUP(J$27,'Surcharge Factors'!$B$3:$O$25,12,FALSE)</f>
        <v>0.15</v>
      </c>
      <c r="K37" s="100">
        <f>J37</f>
        <v>0.15</v>
      </c>
      <c r="M37" s="116">
        <v>9</v>
      </c>
      <c r="N37" s="89" t="str">
        <f>'Surcharge Factors'!$M$3</f>
        <v>Kentucky Economic Develop. Surcharge</v>
      </c>
      <c r="O37" s="100">
        <f>VLOOKUP(O$27,'Surcharge Factors'!$B$3:$O$25,12,FALSE)</f>
        <v>0.15</v>
      </c>
      <c r="P37" s="100">
        <f>O37</f>
        <v>0.15</v>
      </c>
      <c r="R37" s="116">
        <v>9</v>
      </c>
      <c r="S37" s="89" t="str">
        <f>'Surcharge Factors'!$M$3</f>
        <v>Kentucky Economic Develop. Surcharge</v>
      </c>
      <c r="T37" s="100">
        <f>VLOOKUP(T$27,'Surcharge Factors'!$B$3:$O$25,12,FALSE)</f>
        <v>0.15</v>
      </c>
      <c r="U37" s="100">
        <f>T37</f>
        <v>0.15</v>
      </c>
      <c r="W37" s="116">
        <v>9</v>
      </c>
      <c r="X37" s="89" t="str">
        <f>'Surcharge Factors'!$M$3</f>
        <v>Kentucky Economic Develop. Surcharge</v>
      </c>
      <c r="Y37" s="100">
        <f>VLOOKUP(Y$27,'Surcharge Factors'!$B$3:$O$25,12,FALSE)</f>
        <v>0.15</v>
      </c>
      <c r="Z37" s="100">
        <f>Y37</f>
        <v>0.15</v>
      </c>
    </row>
    <row r="38" spans="3:26" x14ac:dyDescent="0.25">
      <c r="C38" s="116">
        <v>10</v>
      </c>
      <c r="D38" s="89" t="str">
        <f>'Surcharge Factors'!$O$3</f>
        <v>Big Sandy 1 Operation Rider (/kwh)</v>
      </c>
      <c r="E38" s="99">
        <f>VLOOKUP(E$27,'Surcharge Factors'!$B$3:$O$25,14,FALSE)</f>
        <v>3.3E-3</v>
      </c>
      <c r="F38" s="100">
        <f>ROUND(E38*$B$1,2)</f>
        <v>4.13</v>
      </c>
      <c r="H38" s="116">
        <v>10</v>
      </c>
      <c r="I38" s="89" t="str">
        <f>'Surcharge Factors'!$O$3</f>
        <v>Big Sandy 1 Operation Rider (/kwh)</v>
      </c>
      <c r="J38" s="99">
        <f>VLOOKUP(J$27,'Surcharge Factors'!$B$3:$O$25,14,FALSE)</f>
        <v>3.3E-3</v>
      </c>
      <c r="K38" s="100">
        <f>ROUND(J38*$B$1,2)</f>
        <v>4.13</v>
      </c>
      <c r="M38" s="116">
        <v>10</v>
      </c>
      <c r="N38" s="89" t="str">
        <f>'Surcharge Factors'!$O$3</f>
        <v>Big Sandy 1 Operation Rider (/kwh)</v>
      </c>
      <c r="O38" s="99">
        <f>VLOOKUP(O$27,'Surcharge Factors'!$B$3:$O$25,14,FALSE)</f>
        <v>3.3E-3</v>
      </c>
      <c r="P38" s="100">
        <f>ROUND(O38*$B$1,2)</f>
        <v>4.13</v>
      </c>
      <c r="R38" s="116">
        <v>10</v>
      </c>
      <c r="S38" s="89" t="str">
        <f>'Surcharge Factors'!$O$3</f>
        <v>Big Sandy 1 Operation Rider (/kwh)</v>
      </c>
      <c r="T38" s="99">
        <f>VLOOKUP(T$27,'Surcharge Factors'!$B$3:$O$25,14,FALSE)</f>
        <v>3.3E-3</v>
      </c>
      <c r="U38" s="100">
        <f>ROUND(T38*$B$1,2)</f>
        <v>4.13</v>
      </c>
      <c r="W38" s="116">
        <v>10</v>
      </c>
      <c r="X38" s="89" t="str">
        <f>'Surcharge Factors'!$O$3</f>
        <v>Big Sandy 1 Operation Rider (/kwh)</v>
      </c>
      <c r="Y38" s="99">
        <f>VLOOKUP(Y$27,'Surcharge Factors'!$B$3:$O$25,14,FALSE)</f>
        <v>3.3E-3</v>
      </c>
      <c r="Z38" s="100">
        <f>ROUND(Y38*$B$1,2)</f>
        <v>4.13</v>
      </c>
    </row>
    <row r="39" spans="3:26" x14ac:dyDescent="0.25">
      <c r="C39" s="116">
        <v>11</v>
      </c>
      <c r="D39" s="89" t="str">
        <f>'Surcharge Factors'!$N$3</f>
        <v>Big Sandy Retirement Rider Residential (/dollar)</v>
      </c>
      <c r="E39" s="99">
        <f>VLOOKUP(E$27,'Surcharge Factors'!$B$3:$O$25,13,FALSE)</f>
        <v>3.0071000000000001E-2</v>
      </c>
      <c r="F39" s="100">
        <f>((SUM(F29:F32))+(SUM(F34:F38)))*E39</f>
        <v>3.62175124</v>
      </c>
      <c r="H39" s="116">
        <v>11</v>
      </c>
      <c r="I39" s="89" t="str">
        <f>'Surcharge Factors'!$N$3</f>
        <v>Big Sandy Retirement Rider Residential (/dollar)</v>
      </c>
      <c r="J39" s="99">
        <f>VLOOKUP(J$27,'Surcharge Factors'!$B$3:$O$25,13,FALSE)</f>
        <v>3.0071000000000001E-2</v>
      </c>
      <c r="K39" s="100">
        <f>((SUM(K29:K32))+(SUM(K34:K38)))*J39</f>
        <v>3.8827675200000002</v>
      </c>
      <c r="M39" s="116">
        <v>11</v>
      </c>
      <c r="N39" s="89" t="str">
        <f>'Surcharge Factors'!$N$3</f>
        <v>Big Sandy Retirement Rider Residential (/dollar)</v>
      </c>
      <c r="O39" s="99">
        <f>VLOOKUP(O$27,'Surcharge Factors'!$B$3:$O$25,13,FALSE)</f>
        <v>3.0071000000000001E-2</v>
      </c>
      <c r="P39" s="100">
        <f>((SUM(P29:P32))+(SUM(P34:P38)))*O39</f>
        <v>3.8424723799999998</v>
      </c>
      <c r="R39" s="116">
        <v>11</v>
      </c>
      <c r="S39" s="89" t="str">
        <f>'Surcharge Factors'!$N$3</f>
        <v>Big Sandy Retirement Rider Residential (/dollar)</v>
      </c>
      <c r="T39" s="99">
        <f>VLOOKUP(T$27,'Surcharge Factors'!$B$3:$O$25,13,FALSE)</f>
        <v>3.0071000000000001E-2</v>
      </c>
      <c r="U39" s="100">
        <f>((SUM(U29:U32))+(SUM(U34:U38)))*T39</f>
        <v>3.9374967399999998</v>
      </c>
      <c r="W39" s="116">
        <v>11</v>
      </c>
      <c r="X39" s="89" t="str">
        <f>'Surcharge Factors'!$N$3</f>
        <v>Big Sandy Retirement Rider Residential (/dollar)</v>
      </c>
      <c r="Y39" s="99">
        <f>VLOOKUP(Y$27,'Surcharge Factors'!$B$3:$O$25,13,FALSE)</f>
        <v>3.0071000000000001E-2</v>
      </c>
      <c r="Z39" s="100">
        <f>((SUM(Z29:Z32))+(SUM(Z34:Z38)))*Y39</f>
        <v>3.9910231199999999</v>
      </c>
    </row>
    <row r="40" spans="3:26" x14ac:dyDescent="0.25">
      <c r="C40" s="116">
        <v>12</v>
      </c>
      <c r="D40" s="102" t="s">
        <v>105</v>
      </c>
      <c r="E40" s="99">
        <f>VLOOKUP(E$27,'Surcharge Factors'!$B$3:$O$25,13,FALSE)</f>
        <v>3.0071000000000001E-2</v>
      </c>
      <c r="F40" s="100">
        <f>(F29+F30+F31+F33+F34+F35+F36+F37+F38)*E40</f>
        <v>3.6208491100000004</v>
      </c>
      <c r="H40" s="116">
        <v>12</v>
      </c>
      <c r="I40" s="102" t="s">
        <v>105</v>
      </c>
      <c r="J40" s="99">
        <f>VLOOKUP(J$27,'Surcharge Factors'!$B$3:$O$25,13,FALSE)</f>
        <v>3.0071000000000001E-2</v>
      </c>
      <c r="K40" s="100">
        <f>(K29+K30+K31+K33+K34+K35+K36+K37+K38)*J40</f>
        <v>3.8824668100000004</v>
      </c>
      <c r="M40" s="116">
        <v>12</v>
      </c>
      <c r="N40" s="102" t="s">
        <v>105</v>
      </c>
      <c r="O40" s="99">
        <f>VLOOKUP(O$27,'Surcharge Factors'!$B$3:$O$25,13,FALSE)</f>
        <v>3.0071000000000001E-2</v>
      </c>
      <c r="P40" s="100">
        <f>(P29+P30+P31+P33+P34+P35+P36+P37+P38)*O40</f>
        <v>3.8421716700000004</v>
      </c>
      <c r="R40" s="116">
        <v>12</v>
      </c>
      <c r="S40" s="102" t="s">
        <v>105</v>
      </c>
      <c r="T40" s="99">
        <f>VLOOKUP(T$27,'Surcharge Factors'!$B$3:$O$25,13,FALSE)</f>
        <v>3.0071000000000001E-2</v>
      </c>
      <c r="U40" s="100">
        <f>(U29+U30+U31+U33+U34+U35+U36+U37+U38)*T40</f>
        <v>3.9371960300000004</v>
      </c>
      <c r="W40" s="116">
        <v>12</v>
      </c>
      <c r="X40" s="102" t="s">
        <v>105</v>
      </c>
      <c r="Y40" s="99">
        <f>VLOOKUP(Y$27,'Surcharge Factors'!$B$3:$O$25,13,FALSE)</f>
        <v>3.0071000000000001E-2</v>
      </c>
      <c r="Z40" s="100">
        <f>(Z29+Z30+Z31+Z33+Z34+Z35+Z36+Z37+Z38)*Y40</f>
        <v>3.9904216999999997</v>
      </c>
    </row>
    <row r="41" spans="3:26" x14ac:dyDescent="0.25">
      <c r="C41" s="116">
        <v>13</v>
      </c>
      <c r="D41" s="89" t="str">
        <f>'Surcharge Factors'!$I$3</f>
        <v>Purchased Power Adjustment (/dollar)</v>
      </c>
      <c r="E41" s="99">
        <f>VLOOKUP(E$27,'Surcharge Factors'!$B$3:$O$25,8,FALSE)</f>
        <v>3.3799999999999998E-4</v>
      </c>
      <c r="F41" s="100">
        <f>((SUM(F29:F32))+(SUM(F34:F38)))*E41</f>
        <v>4.0708719999999997E-2</v>
      </c>
      <c r="H41" s="116">
        <v>13</v>
      </c>
      <c r="I41" s="89" t="str">
        <f>'Surcharge Factors'!$I$3</f>
        <v>Purchased Power Adjustment (/dollar)</v>
      </c>
      <c r="J41" s="99">
        <f>VLOOKUP(J$27,'Surcharge Factors'!$B$3:$O$25,8,FALSE)</f>
        <v>5.3220000000000003E-3</v>
      </c>
      <c r="K41" s="100">
        <f>((SUM(K29:K32))+(SUM(K34:K38)))*J41</f>
        <v>0.68717664000000012</v>
      </c>
      <c r="M41" s="116">
        <v>13</v>
      </c>
      <c r="N41" s="89" t="str">
        <f>'Surcharge Factors'!$I$3</f>
        <v>Purchased Power Adjustment (/dollar)</v>
      </c>
      <c r="O41" s="99">
        <f>VLOOKUP(O$27,'Surcharge Factors'!$B$3:$O$25,8,FALSE)</f>
        <v>4.2680000000000001E-3</v>
      </c>
      <c r="P41" s="100">
        <f>((SUM(P29:P32))+(SUM(P34:P38)))*O41</f>
        <v>0.54536503999999997</v>
      </c>
      <c r="R41" s="116">
        <v>13</v>
      </c>
      <c r="S41" s="89" t="str">
        <f>'Surcharge Factors'!$I$3</f>
        <v>Purchased Power Adjustment (/dollar)</v>
      </c>
      <c r="T41" s="99">
        <f>VLOOKUP(T$27,'Surcharge Factors'!$B$3:$O$25,8,FALSE)</f>
        <v>3.8099999999999999E-4</v>
      </c>
      <c r="U41" s="100">
        <f>((SUM(U29:U32))+(SUM(U34:U38)))*T41</f>
        <v>4.9888139999999997E-2</v>
      </c>
      <c r="W41" s="116">
        <v>13</v>
      </c>
      <c r="X41" s="89" t="str">
        <f>'Surcharge Factors'!$I$3</f>
        <v>Purchased Power Adjustment (/dollar)</v>
      </c>
      <c r="Y41" s="99">
        <f>VLOOKUP(Y$27,'Surcharge Factors'!$B$3:$O$25,8,FALSE)</f>
        <v>-3.0000000000000001E-6</v>
      </c>
      <c r="Z41" s="100">
        <f>((SUM(Z29:Z32))+(SUM(Z34:Z38)))*Y41</f>
        <v>-3.9816E-4</v>
      </c>
    </row>
    <row r="42" spans="3:26" x14ac:dyDescent="0.25">
      <c r="C42" s="116">
        <v>14</v>
      </c>
      <c r="D42" s="102" t="s">
        <v>106</v>
      </c>
      <c r="E42" s="99">
        <f>VLOOKUP(E$27,'Surcharge Factors'!$B$3:$O$25,8,FALSE)</f>
        <v>3.3799999999999998E-4</v>
      </c>
      <c r="F42" s="100">
        <f>(F29+F30+F31+F33+F34+F35+F36+F37+F38)*E42</f>
        <v>4.0698579999999998E-2</v>
      </c>
      <c r="H42" s="116">
        <v>14</v>
      </c>
      <c r="I42" s="102" t="s">
        <v>106</v>
      </c>
      <c r="J42" s="99">
        <f>VLOOKUP(J$27,'Surcharge Factors'!$B$3:$O$25,8,FALSE)</f>
        <v>5.3220000000000003E-3</v>
      </c>
      <c r="K42" s="100">
        <f>(K29+K30+K31+K33+K34+K35+K36+K37+K38)*J42</f>
        <v>0.68712342000000015</v>
      </c>
      <c r="M42" s="116">
        <v>14</v>
      </c>
      <c r="N42" s="102" t="s">
        <v>106</v>
      </c>
      <c r="O42" s="99">
        <f>VLOOKUP(O$27,'Surcharge Factors'!$B$3:$O$25,8,FALSE)</f>
        <v>4.2680000000000001E-3</v>
      </c>
      <c r="P42" s="100">
        <f>(P29+P30+P31+P33+P34+P35+P36+P37+P38)*O42</f>
        <v>0.54532236000000001</v>
      </c>
      <c r="R42" s="116">
        <v>14</v>
      </c>
      <c r="S42" s="102" t="s">
        <v>106</v>
      </c>
      <c r="T42" s="99">
        <f>VLOOKUP(T$27,'Surcharge Factors'!$B$3:$O$25,8,FALSE)</f>
        <v>3.8099999999999999E-4</v>
      </c>
      <c r="U42" s="100">
        <f>(U29+U30+U31+U33+U34+U35+U36+U37+U38)*T42</f>
        <v>4.9884330000000005E-2</v>
      </c>
      <c r="W42" s="116">
        <v>14</v>
      </c>
      <c r="X42" s="102" t="s">
        <v>106</v>
      </c>
      <c r="Y42" s="99">
        <f>VLOOKUP(Y$27,'Surcharge Factors'!$B$3:$O$25,8,FALSE)</f>
        <v>-3.0000000000000001E-6</v>
      </c>
      <c r="Z42" s="100">
        <f>(Z29+Z30+Z31+Z33+Z34+Z35+Z36+Z37+Z38)*Y42</f>
        <v>-3.9809999999999997E-4</v>
      </c>
    </row>
    <row r="43" spans="3:26" x14ac:dyDescent="0.25">
      <c r="C43" s="116">
        <v>15</v>
      </c>
      <c r="D43" s="89" t="str">
        <f>'Surcharge Factors'!$H$3</f>
        <v>Environmental Surcharge (/dollar)</v>
      </c>
      <c r="E43" s="99">
        <f>VLOOKUP(E$27,'Surcharge Factors'!$B$3:$O$25,7,FALSE)</f>
        <v>0.16076099999999999</v>
      </c>
      <c r="F43" s="100">
        <f>((SUM(F29:F32))+(SUM(F34:F38)))*E43</f>
        <v>19.362054839999999</v>
      </c>
      <c r="H43" s="116">
        <v>15</v>
      </c>
      <c r="I43" s="89" t="str">
        <f>'Surcharge Factors'!$H$3</f>
        <v>Environmental Surcharge (/dollar)</v>
      </c>
      <c r="J43" s="99">
        <f>VLOOKUP(J$27,'Surcharge Factors'!$B$3:$O$25,7,FALSE)</f>
        <v>9.0403999999999998E-2</v>
      </c>
      <c r="K43" s="100">
        <f>((SUM(K29:K32))+(SUM(K34:K38)))*J43</f>
        <v>11.672964480000001</v>
      </c>
      <c r="M43" s="116">
        <v>15</v>
      </c>
      <c r="N43" s="89" t="str">
        <f>'Surcharge Factors'!$H$3</f>
        <v>Environmental Surcharge (/dollar)</v>
      </c>
      <c r="O43" s="99">
        <f>VLOOKUP(O$27,'Surcharge Factors'!$B$3:$O$25,7,FALSE)</f>
        <v>6.4448000000000005E-2</v>
      </c>
      <c r="P43" s="100">
        <f>((SUM(P29:P32))+(SUM(P34:P38)))*O43</f>
        <v>8.2351654399999994</v>
      </c>
      <c r="R43" s="116">
        <v>15</v>
      </c>
      <c r="S43" s="89" t="str">
        <f>'Surcharge Factors'!$H$3</f>
        <v>Environmental Surcharge (/dollar)</v>
      </c>
      <c r="T43" s="99">
        <f>VLOOKUP(T$27,'Surcharge Factors'!$B$3:$O$25,7,FALSE)</f>
        <v>6.8652000000000005E-2</v>
      </c>
      <c r="U43" s="100">
        <f>((SUM(U29:U32))+(SUM(U34:U38)))*T43</f>
        <v>8.9892928800000007</v>
      </c>
      <c r="W43" s="116">
        <v>15</v>
      </c>
      <c r="X43" s="89" t="str">
        <f>'Surcharge Factors'!$H$3</f>
        <v>Environmental Surcharge (/dollar)</v>
      </c>
      <c r="Y43" s="99">
        <f>VLOOKUP(Y$27,'Surcharge Factors'!$B$3:$O$25,7,FALSE)</f>
        <v>9.2831999999999998E-2</v>
      </c>
      <c r="Z43" s="100">
        <f>((SUM(Z29:Z32))+(SUM(Z34:Z38)))*Y43</f>
        <v>12.320663039999999</v>
      </c>
    </row>
    <row r="44" spans="3:26" x14ac:dyDescent="0.25">
      <c r="C44" s="116">
        <v>16</v>
      </c>
      <c r="D44" s="102" t="s">
        <v>97</v>
      </c>
      <c r="E44" s="99">
        <f>'DSI in ES and SSC'!G22</f>
        <v>0.14882999999999999</v>
      </c>
      <c r="F44" s="100">
        <f>(F29+F30+F31+F33+F34+F35+F36+F37+F38)*E44</f>
        <v>17.9206203</v>
      </c>
      <c r="H44" s="116">
        <v>16</v>
      </c>
      <c r="I44" s="102" t="s">
        <v>97</v>
      </c>
      <c r="J44" s="99">
        <f>'DSI in ES and SSC'!H22</f>
        <v>8.1945000000000004E-2</v>
      </c>
      <c r="K44" s="100">
        <f>(K29+K30+K31+K33+K34+K35+K36+K37+K38)*J44</f>
        <v>10.579918950000001</v>
      </c>
      <c r="M44" s="116">
        <v>16</v>
      </c>
      <c r="N44" s="102" t="s">
        <v>97</v>
      </c>
      <c r="O44" s="99">
        <f>'DSI in ES and SSC'!I22</f>
        <v>5.7702000000000003E-2</v>
      </c>
      <c r="P44" s="100">
        <f>(P29+P30+P31+P33+P34+P35+P36+P37+P38)*O44</f>
        <v>7.372584540000001</v>
      </c>
      <c r="R44" s="116">
        <v>16</v>
      </c>
      <c r="S44" s="102" t="s">
        <v>97</v>
      </c>
      <c r="T44" s="99">
        <f>'DSI in ES and SSC'!J22</f>
        <v>6.3761999999999999E-2</v>
      </c>
      <c r="U44" s="100">
        <f>(U29+U30+U31+U33+U34+U35+U36+U37+U38)*T44</f>
        <v>8.3483586600000006</v>
      </c>
      <c r="W44" s="116">
        <v>16</v>
      </c>
      <c r="X44" s="102" t="s">
        <v>97</v>
      </c>
      <c r="Y44" s="99">
        <f>'DSI in ES and SSC'!K22</f>
        <v>8.7470999999999993E-2</v>
      </c>
      <c r="Z44" s="100">
        <f>(Z29+Z30+Z31+Z33+Z34+Z35+Z36+Z37+Z38)*Y44</f>
        <v>11.607401699999999</v>
      </c>
    </row>
    <row r="45" spans="3:26" x14ac:dyDescent="0.25">
      <c r="C45" s="116">
        <v>17</v>
      </c>
      <c r="D45" s="89" t="str">
        <f>'Surcharge Factors'!$J$3</f>
        <v>Asset Transfer Rider (/dollar)</v>
      </c>
      <c r="E45" s="99">
        <f>VLOOKUP(E$27,'Surcharge Factors'!$B$3:$O$25,9,FALSE)</f>
        <v>0</v>
      </c>
      <c r="F45" s="100">
        <f>((SUM(F29:F32))+(SUM(F34:F38)))*E45</f>
        <v>0</v>
      </c>
      <c r="H45" s="116">
        <v>17</v>
      </c>
      <c r="I45" s="89" t="str">
        <f>'Surcharge Factors'!$J$3</f>
        <v>Asset Transfer Rider (/dollar)</v>
      </c>
      <c r="J45" s="99">
        <f>VLOOKUP(J$27,'Surcharge Factors'!$B$3:$O$25,9,FALSE)</f>
        <v>0</v>
      </c>
      <c r="K45" s="100">
        <f>((SUM(K29:K32))+(SUM(K34:K38)))*J45</f>
        <v>0</v>
      </c>
      <c r="M45" s="116">
        <v>17</v>
      </c>
      <c r="N45" s="89" t="str">
        <f>'Surcharge Factors'!$J$3</f>
        <v>Asset Transfer Rider (/dollar)</v>
      </c>
      <c r="O45" s="99">
        <f>VLOOKUP(O$27,'Surcharge Factors'!$B$3:$O$25,9,FALSE)</f>
        <v>0</v>
      </c>
      <c r="P45" s="100">
        <f>((SUM(P29:P32))+(SUM(P34:P38)))*O45</f>
        <v>0</v>
      </c>
      <c r="R45" s="116">
        <v>17</v>
      </c>
      <c r="S45" s="89" t="str">
        <f>'Surcharge Factors'!$J$3</f>
        <v>Asset Transfer Rider (/dollar)</v>
      </c>
      <c r="T45" s="99">
        <f>VLOOKUP(T$27,'Surcharge Factors'!$B$3:$O$25,9,FALSE)</f>
        <v>0</v>
      </c>
      <c r="U45" s="100">
        <f>((SUM(U29:U32))+(SUM(U34:U38)))*T45</f>
        <v>0</v>
      </c>
      <c r="W45" s="116">
        <v>17</v>
      </c>
      <c r="X45" s="89" t="str">
        <f>'Surcharge Factors'!$J$3</f>
        <v>Asset Transfer Rider (/dollar)</v>
      </c>
      <c r="Y45" s="99">
        <f>VLOOKUP(Y$27,'Surcharge Factors'!$B$3:$O$25,9,FALSE)</f>
        <v>0</v>
      </c>
      <c r="Z45" s="100">
        <f>((SUM(Z29:Z32))+(SUM(Z34:Z38)))*Y45</f>
        <v>0</v>
      </c>
    </row>
    <row r="46" spans="3:26" ht="15.75" thickBot="1" x14ac:dyDescent="0.3">
      <c r="C46" s="116"/>
      <c r="D46" s="102" t="s">
        <v>107</v>
      </c>
      <c r="E46" s="99">
        <f>VLOOKUP(E$27,'Surcharge Factors'!$B$3:$O$25,9,FALSE)</f>
        <v>0</v>
      </c>
      <c r="F46" s="100">
        <f>(F29+F30+F31+F33+F34+F35+F36+F37+F38)*E46</f>
        <v>0</v>
      </c>
      <c r="H46" s="116"/>
      <c r="I46" s="102" t="s">
        <v>107</v>
      </c>
      <c r="J46" s="99">
        <f>VLOOKUP(J$27,'Surcharge Factors'!$B$3:$O$25,9,FALSE)</f>
        <v>0</v>
      </c>
      <c r="K46" s="100">
        <f>(K29+K30+K31+K33+K34+K35+K36+K37+K38)*J46</f>
        <v>0</v>
      </c>
      <c r="M46" s="116"/>
      <c r="N46" s="102" t="s">
        <v>107</v>
      </c>
      <c r="O46" s="99">
        <f>VLOOKUP(O$27,'Surcharge Factors'!$B$3:$O$25,9,FALSE)</f>
        <v>0</v>
      </c>
      <c r="P46" s="100">
        <f>(P29+P30+P31+P33+P34+P35+P36+P37+P38)*O46</f>
        <v>0</v>
      </c>
      <c r="R46" s="116"/>
      <c r="S46" s="102" t="s">
        <v>107</v>
      </c>
      <c r="T46" s="99">
        <f>VLOOKUP(T$27,'Surcharge Factors'!$B$3:$O$25,9,FALSE)</f>
        <v>0</v>
      </c>
      <c r="U46" s="100">
        <f>(U29+U30+U31+U33+U34+U35+U36+U37+U38)*T46</f>
        <v>0</v>
      </c>
      <c r="W46" s="116"/>
      <c r="X46" s="102" t="s">
        <v>107</v>
      </c>
      <c r="Y46" s="99">
        <f>VLOOKUP(Y$27,'Surcharge Factors'!$B$3:$O$25,9,FALSE)</f>
        <v>0</v>
      </c>
      <c r="Z46" s="100">
        <f>(Z29+Z30+Z31+Z33+Z34+Z35+Z36+Z37+Z38)*Y46</f>
        <v>0</v>
      </c>
    </row>
    <row r="47" spans="3:26" ht="15.75" thickBot="1" x14ac:dyDescent="0.3">
      <c r="C47" s="118">
        <v>18</v>
      </c>
      <c r="D47" s="103" t="s">
        <v>98</v>
      </c>
      <c r="E47" s="104"/>
      <c r="F47" s="105">
        <f>F29+F30+F31+F32+F34+F35+F36+F37+F38+F39+F41+F43+F45</f>
        <v>143.46451480000002</v>
      </c>
      <c r="H47" s="118">
        <v>18</v>
      </c>
      <c r="I47" s="103" t="s">
        <v>98</v>
      </c>
      <c r="J47" s="104"/>
      <c r="K47" s="105">
        <f>K29+K30+K31+K32+K34+K35+K36+K37+K38+K39+K41+K43+K45</f>
        <v>145.36290864</v>
      </c>
      <c r="M47" s="118">
        <v>18</v>
      </c>
      <c r="N47" s="103" t="s">
        <v>98</v>
      </c>
      <c r="O47" s="104"/>
      <c r="P47" s="105">
        <f>P29+P30+P31+P32+P34+P35+P36+P37+P38+P39+P41+P43+P45</f>
        <v>140.40300286000002</v>
      </c>
      <c r="R47" s="118">
        <v>18</v>
      </c>
      <c r="S47" s="103" t="s">
        <v>98</v>
      </c>
      <c r="T47" s="104"/>
      <c r="U47" s="105">
        <f>U29+U30+U31+U32+U34+U35+U36+U37+U38+U39+U41+U43+U45</f>
        <v>143.91667776000003</v>
      </c>
      <c r="W47" s="118">
        <v>18</v>
      </c>
      <c r="X47" s="103" t="s">
        <v>98</v>
      </c>
      <c r="Y47" s="104"/>
      <c r="Z47" s="105">
        <f>Z29+Z30+Z31+Z32+Z34+Z35+Z36+Z37+Z38+Z39+Z41+Z43+Z45</f>
        <v>149.03128799999999</v>
      </c>
    </row>
    <row r="48" spans="3:26" ht="15.75" thickBot="1" x14ac:dyDescent="0.3">
      <c r="C48" s="117">
        <v>19</v>
      </c>
      <c r="D48" s="106" t="s">
        <v>99</v>
      </c>
      <c r="E48" s="107"/>
      <c r="F48" s="108">
        <f>F29+F30+F31+F33+F34+F35+F36+F37+F38+F40+F42+F44+F46</f>
        <v>141.99216799000001</v>
      </c>
      <c r="H48" s="117">
        <v>19</v>
      </c>
      <c r="I48" s="106" t="s">
        <v>99</v>
      </c>
      <c r="J48" s="107"/>
      <c r="K48" s="108">
        <f>K29+K30+K31+K33+K34+K35+K36+K37+K38+K40+K42+K44+K46</f>
        <v>144.25950918000004</v>
      </c>
      <c r="M48" s="117">
        <v>19</v>
      </c>
      <c r="N48" s="106" t="s">
        <v>99</v>
      </c>
      <c r="O48" s="107"/>
      <c r="P48" s="108">
        <f>P29+P30+P31+P33+P34+P35+P36+P37+P38+P40+P42+P44+P46</f>
        <v>139.53007857</v>
      </c>
      <c r="R48" s="117">
        <v>19</v>
      </c>
      <c r="S48" s="106" t="s">
        <v>99</v>
      </c>
      <c r="T48" s="107"/>
      <c r="U48" s="108">
        <f>U29+U30+U31+U33+U34+U35+U36+U37+U38+U40+U42+U44+U46</f>
        <v>143.26543902</v>
      </c>
      <c r="W48" s="117">
        <v>19</v>
      </c>
      <c r="X48" s="106" t="s">
        <v>99</v>
      </c>
      <c r="Y48" s="107"/>
      <c r="Z48" s="108">
        <f>Z29+Z30+Z31+Z33+Z34+Z35+Z36+Z37+Z38+Z40+Z42+Z44+Z46</f>
        <v>148.29742529999999</v>
      </c>
    </row>
    <row r="49" spans="3:26" ht="15.75" thickBot="1" x14ac:dyDescent="0.3">
      <c r="E49" s="125" t="s">
        <v>108</v>
      </c>
      <c r="F49" s="126">
        <f>F47-F48</f>
        <v>1.4723468100000048</v>
      </c>
      <c r="J49" s="125" t="s">
        <v>108</v>
      </c>
      <c r="K49" s="126">
        <f>K47-K48</f>
        <v>1.103399459999963</v>
      </c>
      <c r="O49" s="125" t="s">
        <v>108</v>
      </c>
      <c r="P49" s="126">
        <f>P47-P48</f>
        <v>0.87292429000001448</v>
      </c>
      <c r="T49" s="125" t="s">
        <v>108</v>
      </c>
      <c r="U49" s="126">
        <f>U47-U48</f>
        <v>0.65123874000002502</v>
      </c>
      <c r="Y49" s="125" t="s">
        <v>108</v>
      </c>
      <c r="Z49" s="126">
        <f>Z47-Z48</f>
        <v>0.73386270000000309</v>
      </c>
    </row>
    <row r="50" spans="3:26" ht="15.75" thickBot="1" x14ac:dyDescent="0.3"/>
    <row r="51" spans="3:26" ht="15.75" thickBot="1" x14ac:dyDescent="0.3">
      <c r="C51" s="121"/>
      <c r="D51" s="122" t="s">
        <v>100</v>
      </c>
      <c r="E51" s="123" t="str">
        <f>'Surcharge Factors'!B15</f>
        <v>June 2016</v>
      </c>
      <c r="F51" s="124"/>
      <c r="H51" s="121"/>
      <c r="I51" s="122" t="s">
        <v>100</v>
      </c>
      <c r="J51" s="123" t="str">
        <f>'Surcharge Factors'!B16</f>
        <v>July 2016</v>
      </c>
      <c r="K51" s="124"/>
      <c r="M51" s="121"/>
      <c r="N51" s="122" t="s">
        <v>100</v>
      </c>
      <c r="O51" s="123" t="str">
        <f>'Surcharge Factors'!B17</f>
        <v>August 2016</v>
      </c>
      <c r="P51" s="124"/>
      <c r="R51" s="121"/>
      <c r="S51" s="122" t="s">
        <v>100</v>
      </c>
      <c r="T51" s="123" t="str">
        <f>'Surcharge Factors'!B18</f>
        <v>September 2016</v>
      </c>
      <c r="U51" s="124"/>
      <c r="W51" s="121"/>
      <c r="X51" s="122" t="s">
        <v>100</v>
      </c>
      <c r="Y51" s="123" t="str">
        <f>'Surcharge Factors'!B19</f>
        <v>October 2016</v>
      </c>
      <c r="Z51" s="124"/>
    </row>
    <row r="52" spans="3:26" ht="30.75" thickBot="1" x14ac:dyDescent="0.3">
      <c r="C52" s="120" t="s">
        <v>104</v>
      </c>
      <c r="D52" s="109" t="s">
        <v>75</v>
      </c>
      <c r="E52" s="110" t="s">
        <v>101</v>
      </c>
      <c r="F52" s="111" t="s">
        <v>102</v>
      </c>
      <c r="H52" s="120" t="s">
        <v>104</v>
      </c>
      <c r="I52" s="109" t="s">
        <v>75</v>
      </c>
      <c r="J52" s="110" t="s">
        <v>101</v>
      </c>
      <c r="K52" s="111" t="s">
        <v>102</v>
      </c>
      <c r="M52" s="120" t="s">
        <v>104</v>
      </c>
      <c r="N52" s="109" t="s">
        <v>75</v>
      </c>
      <c r="O52" s="110" t="s">
        <v>101</v>
      </c>
      <c r="P52" s="111" t="s">
        <v>102</v>
      </c>
      <c r="R52" s="120" t="s">
        <v>104</v>
      </c>
      <c r="S52" s="109" t="s">
        <v>75</v>
      </c>
      <c r="T52" s="110" t="s">
        <v>101</v>
      </c>
      <c r="U52" s="111" t="s">
        <v>102</v>
      </c>
      <c r="W52" s="120" t="s">
        <v>104</v>
      </c>
      <c r="X52" s="109" t="s">
        <v>75</v>
      </c>
      <c r="Y52" s="110" t="s">
        <v>101</v>
      </c>
      <c r="Z52" s="111" t="s">
        <v>102</v>
      </c>
    </row>
    <row r="53" spans="3:26" x14ac:dyDescent="0.25">
      <c r="C53" s="115">
        <v>1</v>
      </c>
      <c r="D53" s="90" t="str">
        <f>'Surcharge Factors'!$C$3</f>
        <v>Service Charge ($/customer)</v>
      </c>
      <c r="E53" s="97">
        <f>VLOOKUP(E51,'Surcharge Factors'!$B$3:$O$25,2,FALSE)</f>
        <v>11</v>
      </c>
      <c r="F53" s="97">
        <f>E53</f>
        <v>11</v>
      </c>
      <c r="H53" s="115">
        <v>1</v>
      </c>
      <c r="I53" s="90" t="str">
        <f>'Surcharge Factors'!$C$3</f>
        <v>Service Charge ($/customer)</v>
      </c>
      <c r="J53" s="97">
        <f>VLOOKUP(J51,'Surcharge Factors'!$B$3:$O$25,2,FALSE)</f>
        <v>11</v>
      </c>
      <c r="K53" s="97">
        <f>J53</f>
        <v>11</v>
      </c>
      <c r="M53" s="115">
        <v>1</v>
      </c>
      <c r="N53" s="90" t="str">
        <f>'Surcharge Factors'!$C$3</f>
        <v>Service Charge ($/customer)</v>
      </c>
      <c r="O53" s="97">
        <f>VLOOKUP(O51,'Surcharge Factors'!$B$3:$O$25,2,FALSE)</f>
        <v>11</v>
      </c>
      <c r="P53" s="97">
        <f>O53</f>
        <v>11</v>
      </c>
      <c r="R53" s="115">
        <v>1</v>
      </c>
      <c r="S53" s="90" t="str">
        <f>'Surcharge Factors'!$C$3</f>
        <v>Service Charge ($/customer)</v>
      </c>
      <c r="T53" s="97">
        <f>VLOOKUP(T51,'Surcharge Factors'!$B$3:$O$25,2,FALSE)</f>
        <v>11</v>
      </c>
      <c r="U53" s="97">
        <f>T53</f>
        <v>11</v>
      </c>
      <c r="W53" s="115">
        <v>1</v>
      </c>
      <c r="X53" s="90" t="str">
        <f>'Surcharge Factors'!$C$3</f>
        <v>Service Charge ($/customer)</v>
      </c>
      <c r="Y53" s="97">
        <f>VLOOKUP(Y51,'Surcharge Factors'!$B$3:$O$25,2,FALSE)</f>
        <v>11</v>
      </c>
      <c r="Z53" s="97">
        <f>Y53</f>
        <v>11</v>
      </c>
    </row>
    <row r="54" spans="3:26" x14ac:dyDescent="0.25">
      <c r="C54" s="116">
        <v>2</v>
      </c>
      <c r="D54" s="89" t="str">
        <f>'Surcharge Factors'!$D$3</f>
        <v>Energy Usage ($/kWh)</v>
      </c>
      <c r="E54" s="98">
        <f>VLOOKUP(E$51,'Surcharge Factors'!$B$3:$O$25,3,FALSE)</f>
        <v>8.795E-2</v>
      </c>
      <c r="F54" s="100">
        <f>ROUND(E$6*$B$1,2)</f>
        <v>111.38</v>
      </c>
      <c r="H54" s="116">
        <v>2</v>
      </c>
      <c r="I54" s="89" t="str">
        <f>'Surcharge Factors'!$D$3</f>
        <v>Energy Usage ($/kWh)</v>
      </c>
      <c r="J54" s="98">
        <f>VLOOKUP(J$51,'Surcharge Factors'!$B$3:$O$25,3,FALSE)</f>
        <v>8.795E-2</v>
      </c>
      <c r="K54" s="100">
        <f>ROUND(J$6*$B$1,2)</f>
        <v>111.38</v>
      </c>
      <c r="M54" s="116">
        <v>2</v>
      </c>
      <c r="N54" s="89" t="str">
        <f>'Surcharge Factors'!$D$3</f>
        <v>Energy Usage ($/kWh)</v>
      </c>
      <c r="O54" s="98">
        <f>VLOOKUP(O$51,'Surcharge Factors'!$B$3:$O$25,3,FALSE)</f>
        <v>8.795E-2</v>
      </c>
      <c r="P54" s="100">
        <f>ROUND(O$6*$B$1,2)</f>
        <v>109.94</v>
      </c>
      <c r="R54" s="116">
        <v>2</v>
      </c>
      <c r="S54" s="89" t="str">
        <f>'Surcharge Factors'!$D$3</f>
        <v>Energy Usage ($/kWh)</v>
      </c>
      <c r="T54" s="98">
        <f>VLOOKUP(T$51,'Surcharge Factors'!$B$3:$O$25,3,FALSE)</f>
        <v>8.795E-2</v>
      </c>
      <c r="U54" s="100">
        <f>ROUND(T$6*$B$1,2)</f>
        <v>109.94</v>
      </c>
      <c r="W54" s="116">
        <v>2</v>
      </c>
      <c r="X54" s="89" t="str">
        <f>'Surcharge Factors'!$D$3</f>
        <v>Energy Usage ($/kWh)</v>
      </c>
      <c r="Y54" s="98">
        <f>VLOOKUP(Y$51,'Surcharge Factors'!$B$3:$O$25,3,FALSE)</f>
        <v>8.795E-2</v>
      </c>
      <c r="Z54" s="100">
        <f>ROUND(Y$6*$B$1,2)</f>
        <v>109.94</v>
      </c>
    </row>
    <row r="55" spans="3:26" x14ac:dyDescent="0.25">
      <c r="C55" s="116">
        <v>3</v>
      </c>
      <c r="D55" s="91" t="str">
        <f>'Surcharge Factors'!$E$3</f>
        <v>Fuel Adj. Clause (/kWh)</v>
      </c>
      <c r="E55" s="98">
        <f>VLOOKUP(E$51,'Surcharge Factors'!$B$3:$O$25,4,FALSE)</f>
        <v>-2.0600000000000002E-3</v>
      </c>
      <c r="F55" s="100">
        <f>ROUND(E55*$B$1,2)</f>
        <v>-2.58</v>
      </c>
      <c r="H55" s="116">
        <v>3</v>
      </c>
      <c r="I55" s="91" t="str">
        <f>'Surcharge Factors'!$E$3</f>
        <v>Fuel Adj. Clause (/kWh)</v>
      </c>
      <c r="J55" s="98">
        <f>VLOOKUP(J$51,'Surcharge Factors'!$B$3:$O$25,4,FALSE)</f>
        <v>-3.1900000000000001E-3</v>
      </c>
      <c r="K55" s="100">
        <f>ROUND(J55*$B$1,2)</f>
        <v>-3.99</v>
      </c>
      <c r="M55" s="116">
        <v>3</v>
      </c>
      <c r="N55" s="91" t="str">
        <f>'Surcharge Factors'!$E$3</f>
        <v>Fuel Adj. Clause (/kWh)</v>
      </c>
      <c r="O55" s="98">
        <f>VLOOKUP(O$51,'Surcharge Factors'!$B$3:$O$25,4,FALSE)</f>
        <v>9.7999999999999997E-4</v>
      </c>
      <c r="P55" s="100">
        <f>ROUND(O55*$B$1,2)</f>
        <v>1.23</v>
      </c>
      <c r="R55" s="116">
        <v>3</v>
      </c>
      <c r="S55" s="91" t="str">
        <f>'Surcharge Factors'!$E$3</f>
        <v>Fuel Adj. Clause (/kWh)</v>
      </c>
      <c r="T55" s="98">
        <f>VLOOKUP(T$51,'Surcharge Factors'!$B$3:$O$25,4,FALSE)</f>
        <v>2.5500000000000002E-3</v>
      </c>
      <c r="U55" s="100">
        <f>ROUND(T55*$B$1,2)</f>
        <v>3.19</v>
      </c>
      <c r="W55" s="116">
        <v>3</v>
      </c>
      <c r="X55" s="91" t="str">
        <f>'Surcharge Factors'!$E$3</f>
        <v>Fuel Adj. Clause (/kWh)</v>
      </c>
      <c r="Y55" s="98">
        <f>VLOOKUP(Y$51,'Surcharge Factors'!$B$3:$O$25,4,FALSE)</f>
        <v>3.5100000000000001E-3</v>
      </c>
      <c r="Z55" s="100">
        <f>ROUND(Y55*$B$1,2)</f>
        <v>4.3899999999999997</v>
      </c>
    </row>
    <row r="56" spans="3:26" x14ac:dyDescent="0.25">
      <c r="C56" s="116">
        <v>4</v>
      </c>
      <c r="D56" s="91" t="str">
        <f>'Surcharge Factors'!$F$3</f>
        <v>System Sales Clause (/kWh)</v>
      </c>
      <c r="E56" s="101">
        <f>VLOOKUP(E$51,'Surcharge Factors'!$B$3:$O$25,5,FALSE)</f>
        <v>1.7742000000000001E-3</v>
      </c>
      <c r="F56" s="100">
        <f>ROUND(E56*$B$1,2)</f>
        <v>2.2200000000000002</v>
      </c>
      <c r="H56" s="116">
        <v>4</v>
      </c>
      <c r="I56" s="91" t="str">
        <f>'Surcharge Factors'!$F$3</f>
        <v>System Sales Clause (/kWh)</v>
      </c>
      <c r="J56" s="101">
        <f>VLOOKUP(J$51,'Surcharge Factors'!$B$3:$O$25,5,FALSE)</f>
        <v>1.8844000000000001E-3</v>
      </c>
      <c r="K56" s="100">
        <f>ROUND(J56*$B$1,2)</f>
        <v>2.36</v>
      </c>
      <c r="M56" s="116">
        <v>4</v>
      </c>
      <c r="N56" s="91" t="str">
        <f>'Surcharge Factors'!$F$3</f>
        <v>System Sales Clause (/kWh)</v>
      </c>
      <c r="O56" s="101">
        <f>VLOOKUP(O$51,'Surcharge Factors'!$B$3:$O$25,5,FALSE)</f>
        <v>2.1939999999999999E-4</v>
      </c>
      <c r="P56" s="100">
        <f>ROUND(O56*$B$1,2)</f>
        <v>0.27</v>
      </c>
      <c r="R56" s="116">
        <v>4</v>
      </c>
      <c r="S56" s="91" t="str">
        <f>'Surcharge Factors'!$F$3</f>
        <v>System Sales Clause (/kWh)</v>
      </c>
      <c r="T56" s="101">
        <f>VLOOKUP(T$51,'Surcharge Factors'!$B$3:$O$25,5,FALSE)</f>
        <v>-6.0689999999999995E-4</v>
      </c>
      <c r="U56" s="100">
        <f>ROUND(T56*$B$1,2)</f>
        <v>-0.76</v>
      </c>
      <c r="W56" s="116">
        <v>4</v>
      </c>
      <c r="X56" s="91" t="str">
        <f>'Surcharge Factors'!$F$3</f>
        <v>System Sales Clause (/kWh)</v>
      </c>
      <c r="Y56" s="101">
        <f>VLOOKUP(Y$51,'Surcharge Factors'!$B$3:$O$25,5,FALSE)</f>
        <v>3.8069999999999998E-4</v>
      </c>
      <c r="Z56" s="100">
        <f>ROUND(Y56*$B$1,2)</f>
        <v>0.48</v>
      </c>
    </row>
    <row r="57" spans="3:26" x14ac:dyDescent="0.25">
      <c r="C57" s="116">
        <v>5</v>
      </c>
      <c r="D57" s="102" t="s">
        <v>103</v>
      </c>
      <c r="E57" s="101">
        <f>'DSI in ES and SSC'!L31</f>
        <v>1.7576E-3</v>
      </c>
      <c r="F57" s="100">
        <f>ROUND(E57*$B$1,2)</f>
        <v>2.2000000000000002</v>
      </c>
      <c r="H57" s="116">
        <v>5</v>
      </c>
      <c r="I57" s="102" t="s">
        <v>103</v>
      </c>
      <c r="J57" s="101">
        <f>'DSI in ES and SSC'!M31</f>
        <v>1.8525E-3</v>
      </c>
      <c r="K57" s="100">
        <f>ROUND(J57*$B$1,2)</f>
        <v>2.3199999999999998</v>
      </c>
      <c r="M57" s="116">
        <v>5</v>
      </c>
      <c r="N57" s="102" t="s">
        <v>103</v>
      </c>
      <c r="O57" s="101">
        <f>'DSI in ES and SSC'!N31</f>
        <v>1.117E-4</v>
      </c>
      <c r="P57" s="100">
        <f>ROUND(O57*$B$1,2)</f>
        <v>0.14000000000000001</v>
      </c>
      <c r="R57" s="116">
        <v>5</v>
      </c>
      <c r="S57" s="102" t="s">
        <v>103</v>
      </c>
      <c r="T57" s="101">
        <f>'DSI in ES and SSC'!O31</f>
        <v>-7.4140000000000002E-4</v>
      </c>
      <c r="U57" s="100">
        <f>ROUND(T57*$B$1,2)</f>
        <v>-0.93</v>
      </c>
      <c r="W57" s="116">
        <v>5</v>
      </c>
      <c r="X57" s="102" t="s">
        <v>103</v>
      </c>
      <c r="Y57" s="101">
        <f>'DSI in ES and SSC'!P31</f>
        <v>2.7149999999999999E-4</v>
      </c>
      <c r="Z57" s="100">
        <f>ROUND(Y57*$B$1,2)</f>
        <v>0.34</v>
      </c>
    </row>
    <row r="58" spans="3:26" x14ac:dyDescent="0.25">
      <c r="C58" s="116">
        <v>6</v>
      </c>
      <c r="D58" s="89" t="str">
        <f>'Surcharge Factors'!$G$3</f>
        <v>Capacity Charge (/kWh)</v>
      </c>
      <c r="E58" s="99">
        <f>VLOOKUP(E$51,'Surcharge Factors'!$B$3:$O$25,6,FALSE)</f>
        <v>1.1850000000000001E-3</v>
      </c>
      <c r="F58" s="100">
        <f>ROUND(E58*$B$1,2)</f>
        <v>1.48</v>
      </c>
      <c r="H58" s="116">
        <v>6</v>
      </c>
      <c r="I58" s="89" t="str">
        <f>'Surcharge Factors'!$G$3</f>
        <v>Capacity Charge (/kWh)</v>
      </c>
      <c r="J58" s="99">
        <f>VLOOKUP(J$51,'Surcharge Factors'!$B$3:$O$25,6,FALSE)</f>
        <v>1.1850000000000001E-3</v>
      </c>
      <c r="K58" s="100">
        <f>ROUND(J58*$B$1,2)</f>
        <v>1.48</v>
      </c>
      <c r="M58" s="116">
        <v>6</v>
      </c>
      <c r="N58" s="89" t="str">
        <f>'Surcharge Factors'!$G$3</f>
        <v>Capacity Charge (/kWh)</v>
      </c>
      <c r="O58" s="99">
        <f>VLOOKUP(O$51,'Surcharge Factors'!$B$3:$O$25,6,FALSE)</f>
        <v>1.482E-3</v>
      </c>
      <c r="P58" s="100">
        <f>ROUND(O58*$B$1,2)</f>
        <v>1.85</v>
      </c>
      <c r="R58" s="116">
        <v>6</v>
      </c>
      <c r="S58" s="89" t="str">
        <f>'Surcharge Factors'!$G$3</f>
        <v>Capacity Charge (/kWh)</v>
      </c>
      <c r="T58" s="99">
        <f>VLOOKUP(T$51,'Surcharge Factors'!$B$3:$O$25,6,FALSE)</f>
        <v>1.482E-3</v>
      </c>
      <c r="U58" s="100">
        <f>ROUND(T58*$B$1,2)</f>
        <v>1.85</v>
      </c>
      <c r="W58" s="116">
        <v>6</v>
      </c>
      <c r="X58" s="89" t="str">
        <f>'Surcharge Factors'!$G$3</f>
        <v>Capacity Charge (/kWh)</v>
      </c>
      <c r="Y58" s="99">
        <f>VLOOKUP(Y$51,'Surcharge Factors'!$B$3:$O$25,6,FALSE)</f>
        <v>1.482E-3</v>
      </c>
      <c r="Z58" s="100">
        <f>ROUND(Y58*$B$1,2)</f>
        <v>1.85</v>
      </c>
    </row>
    <row r="59" spans="3:26" x14ac:dyDescent="0.25">
      <c r="C59" s="116">
        <v>7</v>
      </c>
      <c r="D59" s="92" t="str">
        <f>'Surcharge Factors'!$K$3</f>
        <v>DSM Residential (/kWh)</v>
      </c>
      <c r="E59" s="99">
        <f>VLOOKUP(E$51,'Surcharge Factors'!$B$3:$O$25,10,FALSE)</f>
        <v>3.1589999999999999E-3</v>
      </c>
      <c r="F59" s="100">
        <f>ROUND(E59*$B$1,2)</f>
        <v>3.95</v>
      </c>
      <c r="H59" s="116">
        <v>7</v>
      </c>
      <c r="I59" s="92" t="str">
        <f>'Surcharge Factors'!$K$3</f>
        <v>DSM Residential (/kWh)</v>
      </c>
      <c r="J59" s="99">
        <f>VLOOKUP(J$51,'Surcharge Factors'!$B$3:$O$25,10,FALSE)</f>
        <v>3.1589999999999999E-3</v>
      </c>
      <c r="K59" s="100">
        <f>ROUND(J59*$B$1,2)</f>
        <v>3.95</v>
      </c>
      <c r="M59" s="116">
        <v>7</v>
      </c>
      <c r="N59" s="92" t="str">
        <f>'Surcharge Factors'!$K$3</f>
        <v>DSM Residential (/kWh)</v>
      </c>
      <c r="O59" s="99">
        <f>VLOOKUP(O$51,'Surcharge Factors'!$B$3:$O$25,10,FALSE)</f>
        <v>3.1589999999999999E-3</v>
      </c>
      <c r="P59" s="100">
        <f>ROUND(O59*$B$1,2)</f>
        <v>3.95</v>
      </c>
      <c r="R59" s="116">
        <v>7</v>
      </c>
      <c r="S59" s="92" t="str">
        <f>'Surcharge Factors'!$K$3</f>
        <v>DSM Residential (/kWh)</v>
      </c>
      <c r="T59" s="99">
        <f>VLOOKUP(T$51,'Surcharge Factors'!$B$3:$O$25,10,FALSE)</f>
        <v>3.1589999999999999E-3</v>
      </c>
      <c r="U59" s="100">
        <f>ROUND(T59*$B$1,2)</f>
        <v>3.95</v>
      </c>
      <c r="W59" s="116">
        <v>7</v>
      </c>
      <c r="X59" s="92" t="str">
        <f>'Surcharge Factors'!$K$3</f>
        <v>DSM Residential (/kWh)</v>
      </c>
      <c r="Y59" s="99">
        <f>VLOOKUP(Y$51,'Surcharge Factors'!$B$3:$O$25,10,FALSE)</f>
        <v>3.1589999999999999E-3</v>
      </c>
      <c r="Z59" s="100">
        <f>ROUND(Y59*$B$1,2)</f>
        <v>3.95</v>
      </c>
    </row>
    <row r="60" spans="3:26" x14ac:dyDescent="0.25">
      <c r="C60" s="116">
        <v>8</v>
      </c>
      <c r="D60" s="89" t="str">
        <f>'Surcharge Factors'!$L$3</f>
        <v>Home Energy Assistance Program (Residential only)</v>
      </c>
      <c r="E60" s="100">
        <f>VLOOKUP(E$51,'Surcharge Factors'!$B$3:$O$25,11,FALSE)</f>
        <v>0.15</v>
      </c>
      <c r="F60" s="100">
        <f>E60</f>
        <v>0.15</v>
      </c>
      <c r="H60" s="116">
        <v>8</v>
      </c>
      <c r="I60" s="89" t="str">
        <f>'Surcharge Factors'!$L$3</f>
        <v>Home Energy Assistance Program (Residential only)</v>
      </c>
      <c r="J60" s="100">
        <f>VLOOKUP(J$51,'Surcharge Factors'!$B$3:$O$25,11,FALSE)</f>
        <v>0.15</v>
      </c>
      <c r="K60" s="100">
        <f>J60</f>
        <v>0.15</v>
      </c>
      <c r="M60" s="116">
        <v>8</v>
      </c>
      <c r="N60" s="89" t="str">
        <f>'Surcharge Factors'!$L$3</f>
        <v>Home Energy Assistance Program (Residential only)</v>
      </c>
      <c r="O60" s="100">
        <f>VLOOKUP(O$51,'Surcharge Factors'!$B$3:$O$25,11,FALSE)</f>
        <v>0.15</v>
      </c>
      <c r="P60" s="100">
        <f>O60</f>
        <v>0.15</v>
      </c>
      <c r="R60" s="116">
        <v>8</v>
      </c>
      <c r="S60" s="89" t="str">
        <f>'Surcharge Factors'!$L$3</f>
        <v>Home Energy Assistance Program (Residential only)</v>
      </c>
      <c r="T60" s="100">
        <f>VLOOKUP(T$51,'Surcharge Factors'!$B$3:$O$25,11,FALSE)</f>
        <v>0.15</v>
      </c>
      <c r="U60" s="100">
        <f>T60</f>
        <v>0.15</v>
      </c>
      <c r="W60" s="116">
        <v>8</v>
      </c>
      <c r="X60" s="89" t="str">
        <f>'Surcharge Factors'!$L$3</f>
        <v>Home Energy Assistance Program (Residential only)</v>
      </c>
      <c r="Y60" s="100">
        <f>VLOOKUP(Y$51,'Surcharge Factors'!$B$3:$O$25,11,FALSE)</f>
        <v>0.15</v>
      </c>
      <c r="Z60" s="100">
        <f>Y60</f>
        <v>0.15</v>
      </c>
    </row>
    <row r="61" spans="3:26" x14ac:dyDescent="0.25">
      <c r="C61" s="116">
        <v>9</v>
      </c>
      <c r="D61" s="89" t="str">
        <f>'Surcharge Factors'!$M$3</f>
        <v>Kentucky Economic Develop. Surcharge</v>
      </c>
      <c r="E61" s="100">
        <f>VLOOKUP(E$51,'Surcharge Factors'!$B$3:$O$25,12,FALSE)</f>
        <v>0.15</v>
      </c>
      <c r="F61" s="100">
        <f>E61</f>
        <v>0.15</v>
      </c>
      <c r="H61" s="116">
        <v>9</v>
      </c>
      <c r="I61" s="89" t="str">
        <f>'Surcharge Factors'!$M$3</f>
        <v>Kentucky Economic Develop. Surcharge</v>
      </c>
      <c r="J61" s="100">
        <f>VLOOKUP(J$51,'Surcharge Factors'!$B$3:$O$25,12,FALSE)</f>
        <v>0.15</v>
      </c>
      <c r="K61" s="100">
        <f>J61</f>
        <v>0.15</v>
      </c>
      <c r="M61" s="116">
        <v>9</v>
      </c>
      <c r="N61" s="89" t="str">
        <f>'Surcharge Factors'!$M$3</f>
        <v>Kentucky Economic Develop. Surcharge</v>
      </c>
      <c r="O61" s="100">
        <f>VLOOKUP(O$51,'Surcharge Factors'!$B$3:$O$25,12,FALSE)</f>
        <v>0.15</v>
      </c>
      <c r="P61" s="100">
        <f>O61</f>
        <v>0.15</v>
      </c>
      <c r="R61" s="116">
        <v>9</v>
      </c>
      <c r="S61" s="89" t="str">
        <f>'Surcharge Factors'!$M$3</f>
        <v>Kentucky Economic Develop. Surcharge</v>
      </c>
      <c r="T61" s="100">
        <f>VLOOKUP(T$51,'Surcharge Factors'!$B$3:$O$25,12,FALSE)</f>
        <v>0.15</v>
      </c>
      <c r="U61" s="100">
        <f>T61</f>
        <v>0.15</v>
      </c>
      <c r="W61" s="116">
        <v>9</v>
      </c>
      <c r="X61" s="89" t="str">
        <f>'Surcharge Factors'!$M$3</f>
        <v>Kentucky Economic Develop. Surcharge</v>
      </c>
      <c r="Y61" s="100">
        <f>VLOOKUP(Y$51,'Surcharge Factors'!$B$3:$O$25,12,FALSE)</f>
        <v>0.15</v>
      </c>
      <c r="Z61" s="100">
        <f>Y61</f>
        <v>0.15</v>
      </c>
    </row>
    <row r="62" spans="3:26" x14ac:dyDescent="0.25">
      <c r="C62" s="116">
        <v>10</v>
      </c>
      <c r="D62" s="89" t="str">
        <f>'Surcharge Factors'!$O$3</f>
        <v>Big Sandy 1 Operation Rider (/kwh)</v>
      </c>
      <c r="E62" s="99">
        <f>VLOOKUP(E$51,'Surcharge Factors'!$B$3:$O$25,14,FALSE)</f>
        <v>3.3E-3</v>
      </c>
      <c r="F62" s="100">
        <f>ROUND(E62*$B$1,2)</f>
        <v>4.13</v>
      </c>
      <c r="H62" s="116">
        <v>10</v>
      </c>
      <c r="I62" s="89" t="str">
        <f>'Surcharge Factors'!$O$3</f>
        <v>Big Sandy 1 Operation Rider (/kwh)</v>
      </c>
      <c r="J62" s="99">
        <f>VLOOKUP(J$51,'Surcharge Factors'!$B$3:$O$25,14,FALSE)</f>
        <v>3.3E-3</v>
      </c>
      <c r="K62" s="100">
        <f>ROUND(J62*$B$1,2)</f>
        <v>4.13</v>
      </c>
      <c r="M62" s="116">
        <v>10</v>
      </c>
      <c r="N62" s="89" t="str">
        <f>'Surcharge Factors'!$O$3</f>
        <v>Big Sandy 1 Operation Rider (/kwh)</v>
      </c>
      <c r="O62" s="99">
        <f>VLOOKUP(O$51,'Surcharge Factors'!$B$3:$O$25,14,FALSE)</f>
        <v>5.7999999999999996E-3</v>
      </c>
      <c r="P62" s="100">
        <f>ROUND(O62*$B$1,2)</f>
        <v>7.25</v>
      </c>
      <c r="R62" s="116">
        <v>10</v>
      </c>
      <c r="S62" s="89" t="str">
        <f>'Surcharge Factors'!$O$3</f>
        <v>Big Sandy 1 Operation Rider (/kwh)</v>
      </c>
      <c r="T62" s="99">
        <f>VLOOKUP(T$51,'Surcharge Factors'!$B$3:$O$25,14,FALSE)</f>
        <v>5.7999999999999996E-3</v>
      </c>
      <c r="U62" s="100">
        <f>ROUND(T62*$B$1,2)</f>
        <v>7.25</v>
      </c>
      <c r="W62" s="116">
        <v>10</v>
      </c>
      <c r="X62" s="89" t="str">
        <f>'Surcharge Factors'!$O$3</f>
        <v>Big Sandy 1 Operation Rider (/kwh)</v>
      </c>
      <c r="Y62" s="99">
        <f>VLOOKUP(Y$51,'Surcharge Factors'!$B$3:$O$25,14,FALSE)</f>
        <v>5.7999999999999996E-3</v>
      </c>
      <c r="Z62" s="100">
        <f>ROUND(Y62*$B$1,2)</f>
        <v>7.25</v>
      </c>
    </row>
    <row r="63" spans="3:26" x14ac:dyDescent="0.25">
      <c r="C63" s="116">
        <v>11</v>
      </c>
      <c r="D63" s="89" t="str">
        <f>'Surcharge Factors'!$N$3</f>
        <v>Big Sandy Retirement Rider Residential (/dollar)</v>
      </c>
      <c r="E63" s="99">
        <f>VLOOKUP(E$51,'Surcharge Factors'!$B$3:$O$25,13,FALSE)</f>
        <v>3.0071000000000001E-2</v>
      </c>
      <c r="F63" s="100">
        <f>((SUM(F53:F56))+(SUM(F58:F62)))*E63</f>
        <v>3.9657634800000001</v>
      </c>
      <c r="H63" s="116">
        <v>11</v>
      </c>
      <c r="I63" s="89" t="str">
        <f>'Surcharge Factors'!$N$3</f>
        <v>Big Sandy Retirement Rider Residential (/dollar)</v>
      </c>
      <c r="J63" s="99">
        <f>VLOOKUP(J$51,'Surcharge Factors'!$B$3:$O$25,13,FALSE)</f>
        <v>3.0071000000000001E-2</v>
      </c>
      <c r="K63" s="100">
        <f>((SUM(K53:K56))+(SUM(K58:K62)))*J63</f>
        <v>3.9275733100000005</v>
      </c>
      <c r="M63" s="116">
        <v>11</v>
      </c>
      <c r="N63" s="89" t="str">
        <f>'Surcharge Factors'!$N$3</f>
        <v>Big Sandy Retirement Rider Residential (/dollar)</v>
      </c>
      <c r="O63" s="99">
        <f>VLOOKUP(O$51,'Surcharge Factors'!$B$3:$O$25,13,FALSE)</f>
        <v>3.0071000000000001E-2</v>
      </c>
      <c r="P63" s="100">
        <f>((SUM(P53:P56))+(SUM(P58:P62)))*O63</f>
        <v>4.0833410900000002</v>
      </c>
      <c r="R63" s="116">
        <v>11</v>
      </c>
      <c r="S63" s="89" t="str">
        <f>'Surcharge Factors'!$N$3</f>
        <v>Big Sandy Retirement Rider Residential (/dollar)</v>
      </c>
      <c r="T63" s="99">
        <f>VLOOKUP(T$51,'Surcharge Factors'!$B$3:$O$25,13,FALSE)</f>
        <v>3.0071000000000001E-2</v>
      </c>
      <c r="U63" s="100">
        <f>((SUM(U53:U56))+(SUM(U58:U62)))*T63</f>
        <v>4.1113071200000002</v>
      </c>
      <c r="W63" s="116">
        <v>11</v>
      </c>
      <c r="X63" s="89" t="str">
        <f>'Surcharge Factors'!$N$3</f>
        <v>Big Sandy Retirement Rider Residential (/dollar)</v>
      </c>
      <c r="Y63" s="99">
        <f>VLOOKUP(Y$51,'Surcharge Factors'!$B$3:$O$25,13,FALSE)</f>
        <v>3.7088999999999997E-2</v>
      </c>
      <c r="Z63" s="100">
        <f>((SUM(Z53:Z56))+(SUM(Z58:Z62)))*Y63</f>
        <v>5.161305239999999</v>
      </c>
    </row>
    <row r="64" spans="3:26" x14ac:dyDescent="0.25">
      <c r="C64" s="116">
        <v>12</v>
      </c>
      <c r="D64" s="102" t="s">
        <v>105</v>
      </c>
      <c r="E64" s="99">
        <f>VLOOKUP(E$51,'Surcharge Factors'!$B$3:$O$25,13,FALSE)</f>
        <v>3.0071000000000001E-2</v>
      </c>
      <c r="F64" s="100">
        <f>(F53+F54+F55+F57+F58+F59+F60+F61+F62)*E64</f>
        <v>3.9651620600000004</v>
      </c>
      <c r="H64" s="116">
        <v>12</v>
      </c>
      <c r="I64" s="102" t="s">
        <v>105</v>
      </c>
      <c r="J64" s="99">
        <f>VLOOKUP(J$51,'Surcharge Factors'!$B$3:$O$25,13,FALSE)</f>
        <v>3.0071000000000001E-2</v>
      </c>
      <c r="K64" s="100">
        <f>(K53+K54+K55+K57+K58+K59+K60+K61+K62)*J64</f>
        <v>3.9263704700000006</v>
      </c>
      <c r="M64" s="116">
        <v>12</v>
      </c>
      <c r="N64" s="102" t="s">
        <v>105</v>
      </c>
      <c r="O64" s="99">
        <f>VLOOKUP(O$51,'Surcharge Factors'!$B$3:$O$25,13,FALSE)</f>
        <v>3.0071000000000001E-2</v>
      </c>
      <c r="P64" s="100">
        <f>(P53+P54+P55+P57+P58+P59+P60+P61+P62)*O64</f>
        <v>4.0794318599999997</v>
      </c>
      <c r="R64" s="116">
        <v>12</v>
      </c>
      <c r="S64" s="102" t="s">
        <v>105</v>
      </c>
      <c r="T64" s="99">
        <f>VLOOKUP(T$51,'Surcharge Factors'!$B$3:$O$25,13,FALSE)</f>
        <v>3.0071000000000001E-2</v>
      </c>
      <c r="U64" s="100">
        <f>(U53+U54+U55+U57+U58+U59+U60+U61+U62)*T64</f>
        <v>4.1061950499999993</v>
      </c>
      <c r="W64" s="116">
        <v>12</v>
      </c>
      <c r="X64" s="102" t="s">
        <v>105</v>
      </c>
      <c r="Y64" s="99">
        <f>VLOOKUP(Y$51,'Surcharge Factors'!$B$3:$O$25,13,FALSE)</f>
        <v>3.7088999999999997E-2</v>
      </c>
      <c r="Z64" s="100">
        <f>(Z53+Z54+Z55+Z57+Z58+Z59+Z60+Z61+Z62)*Y64</f>
        <v>5.15611278</v>
      </c>
    </row>
    <row r="65" spans="3:26" x14ac:dyDescent="0.25">
      <c r="C65" s="116">
        <v>13</v>
      </c>
      <c r="D65" s="89" t="str">
        <f>'Surcharge Factors'!$I$3</f>
        <v>Purchased Power Adjustment (/dollar)</v>
      </c>
      <c r="E65" s="99">
        <f>VLOOKUP(E$51,'Surcharge Factors'!$B$3:$O$25,8,FALSE)</f>
        <v>1.5300000000000001E-4</v>
      </c>
      <c r="F65" s="100">
        <f>((SUM(F53:F56))+(SUM(F58:F62)))*E65</f>
        <v>2.017764E-2</v>
      </c>
      <c r="H65" s="116">
        <v>13</v>
      </c>
      <c r="I65" s="89" t="str">
        <f>'Surcharge Factors'!$I$3</f>
        <v>Purchased Power Adjustment (/dollar)</v>
      </c>
      <c r="J65" s="99">
        <f>VLOOKUP(J$51,'Surcharge Factors'!$B$3:$O$25,8,FALSE)</f>
        <v>-6.0000000000000002E-5</v>
      </c>
      <c r="K65" s="100">
        <f>((SUM(K53:K56))+(SUM(K58:K62)))*J65</f>
        <v>-7.8366000000000009E-3</v>
      </c>
      <c r="M65" s="116">
        <v>13</v>
      </c>
      <c r="N65" s="89" t="str">
        <f>'Surcharge Factors'!$I$3</f>
        <v>Purchased Power Adjustment (/dollar)</v>
      </c>
      <c r="O65" s="99">
        <f>VLOOKUP(O$51,'Surcharge Factors'!$B$3:$O$25,8,FALSE)</f>
        <v>1.73E-4</v>
      </c>
      <c r="P65" s="100">
        <f>((SUM(P53:P56))+(SUM(P58:P62)))*O65</f>
        <v>2.3491669999999999E-2</v>
      </c>
      <c r="R65" s="116">
        <v>13</v>
      </c>
      <c r="S65" s="89" t="str">
        <f>'Surcharge Factors'!$I$3</f>
        <v>Purchased Power Adjustment (/dollar)</v>
      </c>
      <c r="T65" s="99">
        <f>VLOOKUP(T$51,'Surcharge Factors'!$B$3:$O$25,8,FALSE)</f>
        <v>-1.7E-5</v>
      </c>
      <c r="U65" s="100">
        <f>((SUM(U53:U56))+(SUM(U58:U62)))*T65</f>
        <v>-2.32424E-3</v>
      </c>
      <c r="W65" s="116">
        <v>13</v>
      </c>
      <c r="X65" s="89" t="str">
        <f>'Surcharge Factors'!$I$3</f>
        <v>Purchased Power Adjustment (/dollar)</v>
      </c>
      <c r="Y65" s="99">
        <f>VLOOKUP(Y$51,'Surcharge Factors'!$B$3:$O$25,8,FALSE)</f>
        <v>1.6899999999999999E-4</v>
      </c>
      <c r="Z65" s="100">
        <f>((SUM(Z53:Z56))+(SUM(Z58:Z62)))*Y65</f>
        <v>2.3518039999999997E-2</v>
      </c>
    </row>
    <row r="66" spans="3:26" x14ac:dyDescent="0.25">
      <c r="C66" s="116">
        <v>14</v>
      </c>
      <c r="D66" s="102" t="s">
        <v>106</v>
      </c>
      <c r="E66" s="99">
        <f>VLOOKUP(E$51,'Surcharge Factors'!$B$3:$O$25,8,FALSE)</f>
        <v>1.5300000000000001E-4</v>
      </c>
      <c r="F66" s="100">
        <f>(F53+F54+F55+F57+F58+F59+F60+F61+F62)*E66</f>
        <v>2.0174580000000004E-2</v>
      </c>
      <c r="H66" s="116">
        <v>14</v>
      </c>
      <c r="I66" s="102" t="s">
        <v>106</v>
      </c>
      <c r="J66" s="99">
        <f>VLOOKUP(J$51,'Surcharge Factors'!$B$3:$O$25,8,FALSE)</f>
        <v>-6.0000000000000002E-5</v>
      </c>
      <c r="K66" s="100">
        <f>(K53+K54+K55+K57+K58+K59+K60+K61+K62)*J66</f>
        <v>-7.8342000000000012E-3</v>
      </c>
      <c r="M66" s="116">
        <v>14</v>
      </c>
      <c r="N66" s="102" t="s">
        <v>106</v>
      </c>
      <c r="O66" s="99">
        <f>VLOOKUP(O$51,'Surcharge Factors'!$B$3:$O$25,8,FALSE)</f>
        <v>1.73E-4</v>
      </c>
      <c r="P66" s="100">
        <f>(P53+P54+P55+P57+P58+P59+P60+P61+P62)*O66</f>
        <v>2.3469179999999999E-2</v>
      </c>
      <c r="R66" s="116">
        <v>14</v>
      </c>
      <c r="S66" s="102" t="s">
        <v>106</v>
      </c>
      <c r="T66" s="99">
        <f>VLOOKUP(T$51,'Surcharge Factors'!$B$3:$O$25,8,FALSE)</f>
        <v>-1.7E-5</v>
      </c>
      <c r="U66" s="100">
        <f>(U53+U54+U55+U57+U58+U59+U60+U61+U62)*T66</f>
        <v>-2.3213499999999998E-3</v>
      </c>
      <c r="W66" s="116">
        <v>14</v>
      </c>
      <c r="X66" s="102" t="s">
        <v>106</v>
      </c>
      <c r="Y66" s="99">
        <f>VLOOKUP(Y$51,'Surcharge Factors'!$B$3:$O$25,8,FALSE)</f>
        <v>1.6899999999999999E-4</v>
      </c>
      <c r="Z66" s="100">
        <f>(Z53+Z54+Z55+Z57+Z58+Z59+Z60+Z61+Z62)*Y66</f>
        <v>2.3494379999999999E-2</v>
      </c>
    </row>
    <row r="67" spans="3:26" x14ac:dyDescent="0.25">
      <c r="C67" s="116">
        <v>15</v>
      </c>
      <c r="D67" s="89" t="str">
        <f>'Surcharge Factors'!$H$3</f>
        <v>Environmental Surcharge (/dollar)</v>
      </c>
      <c r="E67" s="99">
        <f>VLOOKUP(E$51,'Surcharge Factors'!$B$3:$O$25,7,FALSE)</f>
        <v>0.16492000000000001</v>
      </c>
      <c r="F67" s="100">
        <f>((SUM(F53:F56))+(SUM(F58:F62)))*E67</f>
        <v>21.749649600000001</v>
      </c>
      <c r="H67" s="116">
        <v>15</v>
      </c>
      <c r="I67" s="89" t="str">
        <f>'Surcharge Factors'!$H$3</f>
        <v>Environmental Surcharge (/dollar)</v>
      </c>
      <c r="J67" s="99">
        <f>VLOOKUP(J$51,'Surcharge Factors'!$B$3:$O$25,7,FALSE)</f>
        <v>0.176731</v>
      </c>
      <c r="K67" s="100">
        <f>((SUM(K53:K56))+(SUM(K58:K62)))*J67</f>
        <v>23.082835910000004</v>
      </c>
      <c r="M67" s="116">
        <v>15</v>
      </c>
      <c r="N67" s="89" t="str">
        <f>'Surcharge Factors'!$H$3</f>
        <v>Environmental Surcharge (/dollar)</v>
      </c>
      <c r="O67" s="99">
        <f>VLOOKUP(O$51,'Surcharge Factors'!$B$3:$O$25,7,FALSE)</f>
        <v>0.114356</v>
      </c>
      <c r="P67" s="100">
        <f>((SUM(P53:P56))+(SUM(P58:P62)))*O67</f>
        <v>15.528401239999999</v>
      </c>
      <c r="R67" s="116">
        <v>15</v>
      </c>
      <c r="S67" s="89" t="str">
        <f>'Surcharge Factors'!$H$3</f>
        <v>Environmental Surcharge (/dollar)</v>
      </c>
      <c r="T67" s="99">
        <f>VLOOKUP(T$51,'Surcharge Factors'!$B$3:$O$25,7,FALSE)</f>
        <v>6.0866999999999997E-2</v>
      </c>
      <c r="U67" s="100">
        <f>((SUM(U53:U56))+(SUM(U58:U62)))*T67</f>
        <v>8.3217362399999999</v>
      </c>
      <c r="W67" s="116">
        <v>15</v>
      </c>
      <c r="X67" s="89" t="str">
        <f>'Surcharge Factors'!$H$3</f>
        <v>Environmental Surcharge (/dollar)</v>
      </c>
      <c r="Y67" s="99">
        <f>VLOOKUP(Y$51,'Surcharge Factors'!$B$3:$O$25,7,FALSE)</f>
        <v>6.6489000000000006E-2</v>
      </c>
      <c r="Z67" s="100">
        <f>((SUM(Z53:Z56))+(SUM(Z58:Z62)))*Y67</f>
        <v>9.25260924</v>
      </c>
    </row>
    <row r="68" spans="3:26" x14ac:dyDescent="0.25">
      <c r="C68" s="116">
        <v>16</v>
      </c>
      <c r="D68" s="102" t="s">
        <v>97</v>
      </c>
      <c r="E68" s="99">
        <f>'DSI in ES and SSC'!L22</f>
        <v>0.15451999999999999</v>
      </c>
      <c r="F68" s="100">
        <f>(F53+F54+F55+F57+F58+F59+F60+F61+F62)*E68</f>
        <v>20.375007200000002</v>
      </c>
      <c r="H68" s="116">
        <v>16</v>
      </c>
      <c r="I68" s="102" t="s">
        <v>97</v>
      </c>
      <c r="J68" s="99">
        <f>'DSI in ES and SSC'!M22</f>
        <v>0.16283</v>
      </c>
      <c r="K68" s="100">
        <f>(K53+K54+K55+K57+K58+K59+K60+K61+K62)*J68</f>
        <v>21.260713100000004</v>
      </c>
      <c r="M68" s="116">
        <v>16</v>
      </c>
      <c r="N68" s="102" t="s">
        <v>97</v>
      </c>
      <c r="O68" s="99">
        <f>'DSI in ES and SSC'!N22</f>
        <v>0.10158399999999999</v>
      </c>
      <c r="P68" s="100">
        <f>(P53+P54+P55+P57+P58+P59+P60+P61+P62)*O68</f>
        <v>13.780885439999999</v>
      </c>
      <c r="R68" s="116">
        <v>16</v>
      </c>
      <c r="S68" s="102" t="s">
        <v>97</v>
      </c>
      <c r="T68" s="99">
        <f>'DSI in ES and SSC'!O22</f>
        <v>5.0965000000000003E-2</v>
      </c>
      <c r="U68" s="100">
        <f>(U53+U54+U55+U57+U58+U59+U60+U61+U62)*T68</f>
        <v>6.9592707499999999</v>
      </c>
      <c r="W68" s="116">
        <v>16</v>
      </c>
      <c r="X68" s="102" t="s">
        <v>97</v>
      </c>
      <c r="Y68" s="99">
        <f>'DSI in ES and SSC'!P22</f>
        <v>5.7463E-2</v>
      </c>
      <c r="Z68" s="100">
        <f>(Z53+Z54+Z55+Z57+Z58+Z59+Z60+Z61+Z62)*Y68</f>
        <v>7.9885062600000003</v>
      </c>
    </row>
    <row r="69" spans="3:26" x14ac:dyDescent="0.25">
      <c r="C69" s="116">
        <v>17</v>
      </c>
      <c r="D69" s="89" t="str">
        <f>'Surcharge Factors'!$J$3</f>
        <v>Asset Transfer Rider (/dollar)</v>
      </c>
      <c r="E69" s="99">
        <f>VLOOKUP(E$51,'Surcharge Factors'!$B$3:$O$25,9,FALSE)</f>
        <v>0</v>
      </c>
      <c r="F69" s="100">
        <f>((SUM(F53:F56))+(SUM(F58:F62)))*E69</f>
        <v>0</v>
      </c>
      <c r="H69" s="116">
        <v>17</v>
      </c>
      <c r="I69" s="89" t="str">
        <f>'Surcharge Factors'!$J$3</f>
        <v>Asset Transfer Rider (/dollar)</v>
      </c>
      <c r="J69" s="99">
        <f>VLOOKUP(J$51,'Surcharge Factors'!$B$3:$O$25,9,FALSE)</f>
        <v>0</v>
      </c>
      <c r="K69" s="100">
        <f>((SUM(K53:K56))+(SUM(K58:K62)))*J69</f>
        <v>0</v>
      </c>
      <c r="M69" s="116">
        <v>17</v>
      </c>
      <c r="N69" s="89" t="str">
        <f>'Surcharge Factors'!$J$3</f>
        <v>Asset Transfer Rider (/dollar)</v>
      </c>
      <c r="O69" s="99">
        <f>VLOOKUP(O$51,'Surcharge Factors'!$B$3:$O$25,9,FALSE)</f>
        <v>0</v>
      </c>
      <c r="P69" s="100">
        <f>((SUM(P53:P56))+(SUM(P58:P62)))*O69</f>
        <v>0</v>
      </c>
      <c r="R69" s="116">
        <v>17</v>
      </c>
      <c r="S69" s="89" t="str">
        <f>'Surcharge Factors'!$J$3</f>
        <v>Asset Transfer Rider (/dollar)</v>
      </c>
      <c r="T69" s="99">
        <f>VLOOKUP(T$51,'Surcharge Factors'!$B$3:$O$25,9,FALSE)</f>
        <v>0</v>
      </c>
      <c r="U69" s="100">
        <f>((SUM(U53:U56))+(SUM(U58:U62)))*T69</f>
        <v>0</v>
      </c>
      <c r="W69" s="116">
        <v>17</v>
      </c>
      <c r="X69" s="89" t="str">
        <f>'Surcharge Factors'!$J$3</f>
        <v>Asset Transfer Rider (/dollar)</v>
      </c>
      <c r="Y69" s="99">
        <f>VLOOKUP(Y$51,'Surcharge Factors'!$B$3:$O$25,9,FALSE)</f>
        <v>0</v>
      </c>
      <c r="Z69" s="100">
        <f>((SUM(Z53:Z56))+(SUM(Z58:Z62)))*Y69</f>
        <v>0</v>
      </c>
    </row>
    <row r="70" spans="3:26" ht="15.75" thickBot="1" x14ac:dyDescent="0.3">
      <c r="C70" s="116"/>
      <c r="D70" s="102" t="s">
        <v>107</v>
      </c>
      <c r="E70" s="99">
        <f>VLOOKUP(E$51,'Surcharge Factors'!$B$3:$O$25,9,FALSE)</f>
        <v>0</v>
      </c>
      <c r="F70" s="100">
        <f>(F53+F54+F55+F57+F58+F59+F60+F61+F62)*E70</f>
        <v>0</v>
      </c>
      <c r="H70" s="116"/>
      <c r="I70" s="102" t="s">
        <v>107</v>
      </c>
      <c r="J70" s="99">
        <f>VLOOKUP(J$51,'Surcharge Factors'!$B$3:$O$25,9,FALSE)</f>
        <v>0</v>
      </c>
      <c r="K70" s="100">
        <f>(K53+K54+K55+K57+K58+K59+K60+K61+K62)*J70</f>
        <v>0</v>
      </c>
      <c r="M70" s="116"/>
      <c r="N70" s="102" t="s">
        <v>107</v>
      </c>
      <c r="O70" s="99">
        <f>VLOOKUP(O$51,'Surcharge Factors'!$B$3:$O$25,9,FALSE)</f>
        <v>0</v>
      </c>
      <c r="P70" s="100">
        <f>(P53+P54+P55+P57+P58+P59+P60+P61+P62)*O70</f>
        <v>0</v>
      </c>
      <c r="R70" s="116"/>
      <c r="S70" s="102" t="s">
        <v>107</v>
      </c>
      <c r="T70" s="99">
        <f>VLOOKUP(T$51,'Surcharge Factors'!$B$3:$O$25,9,FALSE)</f>
        <v>0</v>
      </c>
      <c r="U70" s="100">
        <f>(U53+U54+U55+U57+U58+U59+U60+U61+U62)*T70</f>
        <v>0</v>
      </c>
      <c r="W70" s="116"/>
      <c r="X70" s="102" t="s">
        <v>107</v>
      </c>
      <c r="Y70" s="99">
        <f>VLOOKUP(Y$51,'Surcharge Factors'!$B$3:$O$25,9,FALSE)</f>
        <v>0</v>
      </c>
      <c r="Z70" s="100">
        <f>(Z53+Z54+Z55+Z57+Z58+Z59+Z60+Z61+Z62)*Y70</f>
        <v>0</v>
      </c>
    </row>
    <row r="71" spans="3:26" ht="15.75" thickBot="1" x14ac:dyDescent="0.3">
      <c r="C71" s="118">
        <v>18</v>
      </c>
      <c r="D71" s="103" t="s">
        <v>98</v>
      </c>
      <c r="E71" s="104"/>
      <c r="F71" s="105">
        <f>F53+F54+F55+F56+F58+F59+F60+F61+F62+F63+F65+F67+F69</f>
        <v>157.61559072</v>
      </c>
      <c r="H71" s="118">
        <v>18</v>
      </c>
      <c r="I71" s="103" t="s">
        <v>98</v>
      </c>
      <c r="J71" s="104"/>
      <c r="K71" s="105">
        <f>K53+K54+K55+K56+K58+K59+K60+K61+K62+K63+K65+K67+K69</f>
        <v>157.61257262000004</v>
      </c>
      <c r="M71" s="118">
        <v>18</v>
      </c>
      <c r="N71" s="103" t="s">
        <v>98</v>
      </c>
      <c r="O71" s="104"/>
      <c r="P71" s="105">
        <f>P53+P54+P55+P56+P58+P59+P60+P61+P62+P63+P65+P67+P69</f>
        <v>155.42523399999999</v>
      </c>
      <c r="R71" s="118">
        <v>18</v>
      </c>
      <c r="S71" s="103" t="s">
        <v>98</v>
      </c>
      <c r="T71" s="104"/>
      <c r="U71" s="105">
        <f>U53+U54+U55+U56+U58+U59+U60+U61+U62+U63+U65+U67+U69</f>
        <v>149.15071911999999</v>
      </c>
      <c r="W71" s="118">
        <v>18</v>
      </c>
      <c r="X71" s="103" t="s">
        <v>98</v>
      </c>
      <c r="Y71" s="104"/>
      <c r="Z71" s="105">
        <f>Z53+Z54+Z55+Z56+Z58+Z59+Z60+Z61+Z62+Z63+Z65+Z67+Z69</f>
        <v>153.59743251999998</v>
      </c>
    </row>
    <row r="72" spans="3:26" ht="15.75" thickBot="1" x14ac:dyDescent="0.3">
      <c r="C72" s="117">
        <v>19</v>
      </c>
      <c r="D72" s="106" t="s">
        <v>99</v>
      </c>
      <c r="E72" s="107"/>
      <c r="F72" s="108">
        <f>F53+F54+F55+F57+F58+F59+F60+F61+F62+F64+F66+F68+F70</f>
        <v>156.22034384000003</v>
      </c>
      <c r="H72" s="117">
        <v>19</v>
      </c>
      <c r="I72" s="106" t="s">
        <v>99</v>
      </c>
      <c r="J72" s="107"/>
      <c r="K72" s="108">
        <f>K53+K54+K55+K57+K58+K59+K60+K61+K62+K64+K66+K68+K70</f>
        <v>155.74924937000003</v>
      </c>
      <c r="M72" s="117">
        <v>19</v>
      </c>
      <c r="N72" s="106" t="s">
        <v>99</v>
      </c>
      <c r="O72" s="107"/>
      <c r="P72" s="108">
        <f>P53+P54+P55+P57+P58+P59+P60+P61+P62+P64+P66+P68+P70</f>
        <v>153.54378647999999</v>
      </c>
      <c r="R72" s="117">
        <v>19</v>
      </c>
      <c r="S72" s="106" t="s">
        <v>99</v>
      </c>
      <c r="T72" s="107"/>
      <c r="U72" s="108">
        <f>U53+U54+U55+U57+U58+U59+U60+U61+U62+U64+U66+U68+U70</f>
        <v>147.61314444999999</v>
      </c>
      <c r="W72" s="117">
        <v>19</v>
      </c>
      <c r="X72" s="106" t="s">
        <v>99</v>
      </c>
      <c r="Y72" s="107"/>
      <c r="Z72" s="108">
        <f>Z53+Z54+Z55+Z57+Z58+Z59+Z60+Z61+Z62+Z64+Z66+Z68+Z70</f>
        <v>152.18811342000001</v>
      </c>
    </row>
    <row r="73" spans="3:26" ht="15.75" thickBot="1" x14ac:dyDescent="0.3">
      <c r="E73" s="125" t="s">
        <v>108</v>
      </c>
      <c r="F73" s="126">
        <f>F71-F72</f>
        <v>1.3952468799999735</v>
      </c>
      <c r="J73" s="125" t="s">
        <v>108</v>
      </c>
      <c r="K73" s="126">
        <f>K71-K72</f>
        <v>1.8633232500000076</v>
      </c>
      <c r="O73" s="125" t="s">
        <v>108</v>
      </c>
      <c r="P73" s="126">
        <f>P71-P72</f>
        <v>1.8814475199999947</v>
      </c>
      <c r="T73" s="125" t="s">
        <v>108</v>
      </c>
      <c r="U73" s="126">
        <f>U71-U72</f>
        <v>1.5375746699999979</v>
      </c>
      <c r="Y73" s="125" t="s">
        <v>108</v>
      </c>
      <c r="Z73" s="126">
        <f>Z71-Z72</f>
        <v>1.4093190999999763</v>
      </c>
    </row>
    <row r="74" spans="3:26" ht="15.75" thickBot="1" x14ac:dyDescent="0.3"/>
    <row r="75" spans="3:26" ht="15.75" thickBot="1" x14ac:dyDescent="0.3">
      <c r="C75" s="121"/>
      <c r="D75" s="122" t="s">
        <v>100</v>
      </c>
      <c r="E75" s="123" t="str">
        <f>'Surcharge Factors'!B20</f>
        <v>November 2016</v>
      </c>
      <c r="F75" s="124"/>
      <c r="H75" s="121"/>
      <c r="I75" s="122" t="s">
        <v>100</v>
      </c>
      <c r="J75" s="123" t="str">
        <f>'Surcharge Factors'!B21</f>
        <v>December 2016</v>
      </c>
      <c r="K75" s="124"/>
      <c r="M75" s="121"/>
      <c r="N75" s="122" t="s">
        <v>100</v>
      </c>
      <c r="O75" s="123" t="str">
        <f>'Surcharge Factors'!B22</f>
        <v>January 2017</v>
      </c>
      <c r="P75" s="124"/>
      <c r="R75" s="121"/>
      <c r="S75" s="122" t="s">
        <v>100</v>
      </c>
      <c r="T75" s="123" t="str">
        <f>'Surcharge Factors'!B23</f>
        <v>February 2017</v>
      </c>
      <c r="U75" s="124"/>
      <c r="W75" s="121"/>
      <c r="X75" s="122" t="s">
        <v>100</v>
      </c>
      <c r="Y75" s="123" t="str">
        <f>'Surcharge Factors'!B24</f>
        <v>March 2017</v>
      </c>
      <c r="Z75" s="124"/>
    </row>
    <row r="76" spans="3:26" ht="30.75" thickBot="1" x14ac:dyDescent="0.3">
      <c r="C76" s="120" t="s">
        <v>104</v>
      </c>
      <c r="D76" s="109" t="s">
        <v>75</v>
      </c>
      <c r="E76" s="110" t="s">
        <v>101</v>
      </c>
      <c r="F76" s="111" t="s">
        <v>102</v>
      </c>
      <c r="H76" s="120" t="s">
        <v>104</v>
      </c>
      <c r="I76" s="109" t="s">
        <v>75</v>
      </c>
      <c r="J76" s="110" t="s">
        <v>101</v>
      </c>
      <c r="K76" s="111" t="s">
        <v>102</v>
      </c>
      <c r="M76" s="120" t="s">
        <v>104</v>
      </c>
      <c r="N76" s="109" t="s">
        <v>75</v>
      </c>
      <c r="O76" s="110" t="s">
        <v>101</v>
      </c>
      <c r="P76" s="111" t="s">
        <v>102</v>
      </c>
      <c r="R76" s="120" t="s">
        <v>104</v>
      </c>
      <c r="S76" s="109" t="s">
        <v>75</v>
      </c>
      <c r="T76" s="110" t="s">
        <v>101</v>
      </c>
      <c r="U76" s="111" t="s">
        <v>102</v>
      </c>
      <c r="W76" s="120" t="s">
        <v>104</v>
      </c>
      <c r="X76" s="109" t="s">
        <v>75</v>
      </c>
      <c r="Y76" s="110" t="s">
        <v>101</v>
      </c>
      <c r="Z76" s="111" t="s">
        <v>102</v>
      </c>
    </row>
    <row r="77" spans="3:26" x14ac:dyDescent="0.25">
      <c r="C77" s="115">
        <v>1</v>
      </c>
      <c r="D77" s="90" t="str">
        <f>'Surcharge Factors'!$C$3</f>
        <v>Service Charge ($/customer)</v>
      </c>
      <c r="E77" s="97">
        <f>VLOOKUP(E75,'Surcharge Factors'!$B$3:$O$25,2,FALSE)</f>
        <v>11</v>
      </c>
      <c r="F77" s="97">
        <f>E77</f>
        <v>11</v>
      </c>
      <c r="H77" s="115">
        <v>1</v>
      </c>
      <c r="I77" s="90" t="str">
        <f>'Surcharge Factors'!$C$3</f>
        <v>Service Charge ($/customer)</v>
      </c>
      <c r="J77" s="97">
        <f>VLOOKUP(J75,'Surcharge Factors'!$B$3:$O$25,2,FALSE)</f>
        <v>11</v>
      </c>
      <c r="K77" s="97">
        <f>J77</f>
        <v>11</v>
      </c>
      <c r="M77" s="115">
        <v>1</v>
      </c>
      <c r="N77" s="90" t="str">
        <f>'Surcharge Factors'!$C$3</f>
        <v>Service Charge ($/customer)</v>
      </c>
      <c r="O77" s="97">
        <f>VLOOKUP(O75,'Surcharge Factors'!$B$3:$O$25,2,FALSE)</f>
        <v>11</v>
      </c>
      <c r="P77" s="97">
        <f>O77</f>
        <v>11</v>
      </c>
      <c r="R77" s="115">
        <v>1</v>
      </c>
      <c r="S77" s="90" t="str">
        <f>'Surcharge Factors'!$C$3</f>
        <v>Service Charge ($/customer)</v>
      </c>
      <c r="T77" s="97">
        <f>VLOOKUP(T75,'Surcharge Factors'!$B$3:$O$25,2,FALSE)</f>
        <v>11</v>
      </c>
      <c r="U77" s="97">
        <f>T77</f>
        <v>11</v>
      </c>
      <c r="W77" s="115">
        <v>1</v>
      </c>
      <c r="X77" s="90" t="str">
        <f>'Surcharge Factors'!$C$3</f>
        <v>Service Charge ($/customer)</v>
      </c>
      <c r="Y77" s="97">
        <f>VLOOKUP(Y75,'Surcharge Factors'!$B$3:$O$25,2,FALSE)</f>
        <v>11</v>
      </c>
      <c r="Z77" s="97">
        <f>Y77</f>
        <v>11</v>
      </c>
    </row>
    <row r="78" spans="3:26" x14ac:dyDescent="0.25">
      <c r="C78" s="116">
        <v>2</v>
      </c>
      <c r="D78" s="89" t="str">
        <f>'Surcharge Factors'!$D$3</f>
        <v>Energy Usage ($/kWh)</v>
      </c>
      <c r="E78" s="98">
        <f>VLOOKUP(E$75,'Surcharge Factors'!$B$3:$O$25,3,FALSE)</f>
        <v>8.795E-2</v>
      </c>
      <c r="F78" s="100">
        <f>ROUND(E$6*$B$1,2)</f>
        <v>111.38</v>
      </c>
      <c r="H78" s="116">
        <v>2</v>
      </c>
      <c r="I78" s="89" t="str">
        <f>'Surcharge Factors'!$D$3</f>
        <v>Energy Usage ($/kWh)</v>
      </c>
      <c r="J78" s="98">
        <f>VLOOKUP(J$75,'Surcharge Factors'!$B$3:$O$25,3,FALSE)</f>
        <v>8.795E-2</v>
      </c>
      <c r="K78" s="100">
        <f>ROUND(J$6*$B$1,2)</f>
        <v>111.38</v>
      </c>
      <c r="M78" s="116">
        <v>2</v>
      </c>
      <c r="N78" s="89" t="str">
        <f>'Surcharge Factors'!$D$3</f>
        <v>Energy Usage ($/kWh)</v>
      </c>
      <c r="O78" s="98">
        <f>VLOOKUP(O$75,'Surcharge Factors'!$B$3:$O$25,3,FALSE)</f>
        <v>8.795E-2</v>
      </c>
      <c r="P78" s="100">
        <f>ROUND(O$6*$B$1,2)</f>
        <v>109.94</v>
      </c>
      <c r="R78" s="116">
        <v>2</v>
      </c>
      <c r="S78" s="89" t="str">
        <f>'Surcharge Factors'!$D$3</f>
        <v>Energy Usage ($/kWh)</v>
      </c>
      <c r="T78" s="98">
        <f>VLOOKUP(T$75,'Surcharge Factors'!$B$3:$O$25,3,FALSE)</f>
        <v>8.795E-2</v>
      </c>
      <c r="U78" s="100">
        <f>ROUND(T$6*$B$1,2)</f>
        <v>109.94</v>
      </c>
      <c r="W78" s="116">
        <v>2</v>
      </c>
      <c r="X78" s="89" t="str">
        <f>'Surcharge Factors'!$D$3</f>
        <v>Energy Usage ($/kWh)</v>
      </c>
      <c r="Y78" s="98">
        <f>VLOOKUP(Y$75,'Surcharge Factors'!$B$3:$O$25,3,FALSE)</f>
        <v>8.795E-2</v>
      </c>
      <c r="Z78" s="100">
        <f>ROUND(Y$6*$B$1,2)</f>
        <v>109.94</v>
      </c>
    </row>
    <row r="79" spans="3:26" x14ac:dyDescent="0.25">
      <c r="C79" s="116">
        <v>3</v>
      </c>
      <c r="D79" s="91" t="str">
        <f>'Surcharge Factors'!$E$3</f>
        <v>Fuel Adj. Clause (/kWh)</v>
      </c>
      <c r="E79" s="98">
        <f>VLOOKUP(E$75,'Surcharge Factors'!$B$3:$O$25,4,FALSE)</f>
        <v>3.7000000000000002E-3</v>
      </c>
      <c r="F79" s="100">
        <f>ROUND(E79*$B$1,2)</f>
        <v>4.63</v>
      </c>
      <c r="H79" s="116">
        <v>3</v>
      </c>
      <c r="I79" s="91" t="str">
        <f>'Surcharge Factors'!$E$3</f>
        <v>Fuel Adj. Clause (/kWh)</v>
      </c>
      <c r="J79" s="98">
        <f>VLOOKUP(J$75,'Surcharge Factors'!$B$3:$O$25,4,FALSE)</f>
        <v>3.4500000000000017E-3</v>
      </c>
      <c r="K79" s="100">
        <f>ROUND(J79*$B$1,2)</f>
        <v>4.3099999999999996</v>
      </c>
      <c r="M79" s="116">
        <v>3</v>
      </c>
      <c r="N79" s="91" t="str">
        <f>'Surcharge Factors'!$E$3</f>
        <v>Fuel Adj. Clause (/kWh)</v>
      </c>
      <c r="O79" s="98">
        <f>VLOOKUP(O$75,'Surcharge Factors'!$B$3:$O$25,4,FALSE)</f>
        <v>2.3600000000000001E-3</v>
      </c>
      <c r="P79" s="100">
        <f>ROUND(O79*$B$1,2)</f>
        <v>2.95</v>
      </c>
      <c r="R79" s="116">
        <v>3</v>
      </c>
      <c r="S79" s="91" t="str">
        <f>'Surcharge Factors'!$E$3</f>
        <v>Fuel Adj. Clause (/kWh)</v>
      </c>
      <c r="T79" s="98">
        <f>VLOOKUP(T$75,'Surcharge Factors'!$B$3:$O$25,4,FALSE)</f>
        <v>1.0300000000000001E-3</v>
      </c>
      <c r="U79" s="100">
        <f>ROUND(T79*$B$1,2)</f>
        <v>1.29</v>
      </c>
      <c r="W79" s="116">
        <v>3</v>
      </c>
      <c r="X79" s="91" t="str">
        <f>'Surcharge Factors'!$E$3</f>
        <v>Fuel Adj. Clause (/kWh)</v>
      </c>
      <c r="Y79" s="98">
        <f>VLOOKUP(Y$75,'Surcharge Factors'!$B$3:$O$25,4,FALSE)</f>
        <v>9.3000000000000005E-4</v>
      </c>
      <c r="Z79" s="100">
        <f>ROUND(Y79*$B$1,2)</f>
        <v>1.1599999999999999</v>
      </c>
    </row>
    <row r="80" spans="3:26" x14ac:dyDescent="0.25">
      <c r="C80" s="116">
        <v>4</v>
      </c>
      <c r="D80" s="91" t="str">
        <f>'Surcharge Factors'!$F$3</f>
        <v>System Sales Clause (/kWh)</v>
      </c>
      <c r="E80" s="101">
        <f>VLOOKUP(E$75,'Surcharge Factors'!$B$3:$O$25,5,FALSE)</f>
        <v>8.6939999999999999E-4</v>
      </c>
      <c r="F80" s="100">
        <f>ROUND(E80*$B$1,2)</f>
        <v>1.0900000000000001</v>
      </c>
      <c r="H80" s="116">
        <v>4</v>
      </c>
      <c r="I80" s="91" t="str">
        <f>'Surcharge Factors'!$F$3</f>
        <v>System Sales Clause (/kWh)</v>
      </c>
      <c r="J80" s="101">
        <f>VLOOKUP(J$75,'Surcharge Factors'!$B$3:$O$25,5,FALSE)</f>
        <v>1.3508000000000001E-3</v>
      </c>
      <c r="K80" s="100">
        <f>ROUND(J80*$B$1,2)</f>
        <v>1.69</v>
      </c>
      <c r="M80" s="116">
        <v>4</v>
      </c>
      <c r="N80" s="91" t="str">
        <f>'Surcharge Factors'!$F$3</f>
        <v>System Sales Clause (/kWh)</v>
      </c>
      <c r="O80" s="101">
        <f>VLOOKUP(O$75,'Surcharge Factors'!$B$3:$O$25,5,FALSE)</f>
        <v>-2.0660000000000001E-4</v>
      </c>
      <c r="P80" s="100">
        <f>ROUND(O80*$B$1,2)</f>
        <v>-0.26</v>
      </c>
      <c r="R80" s="116">
        <v>4</v>
      </c>
      <c r="S80" s="91" t="str">
        <f>'Surcharge Factors'!$F$3</f>
        <v>System Sales Clause (/kWh)</v>
      </c>
      <c r="T80" s="101">
        <f>VLOOKUP(T$75,'Surcharge Factors'!$B$3:$O$25,5,FALSE)</f>
        <v>4.127E-4</v>
      </c>
      <c r="U80" s="100">
        <f>ROUND(T80*$B$1,2)</f>
        <v>0.52</v>
      </c>
      <c r="W80" s="116">
        <v>4</v>
      </c>
      <c r="X80" s="91" t="str">
        <f>'Surcharge Factors'!$F$3</f>
        <v>System Sales Clause (/kWh)</v>
      </c>
      <c r="Y80" s="101">
        <f>VLOOKUP(Y$75,'Surcharge Factors'!$B$3:$O$25,5,FALSE)</f>
        <v>2.5265999999999999E-3</v>
      </c>
      <c r="Z80" s="100">
        <f>ROUND(Y80*$B$1,2)</f>
        <v>3.16</v>
      </c>
    </row>
    <row r="81" spans="3:26" x14ac:dyDescent="0.25">
      <c r="C81" s="116">
        <v>5</v>
      </c>
      <c r="D81" s="102" t="s">
        <v>103</v>
      </c>
      <c r="E81" s="101">
        <f>'DSI in ES and SSC'!Q31</f>
        <v>8.3620000000000005E-4</v>
      </c>
      <c r="F81" s="100">
        <f>ROUND(E81*$B$1,2)</f>
        <v>1.05</v>
      </c>
      <c r="H81" s="116">
        <v>5</v>
      </c>
      <c r="I81" s="102" t="s">
        <v>103</v>
      </c>
      <c r="J81" s="101">
        <f>'DSI in ES and SSC'!R31</f>
        <v>1.2897E-3</v>
      </c>
      <c r="K81" s="100">
        <f>ROUND(J81*$B$1,2)</f>
        <v>1.61</v>
      </c>
      <c r="M81" s="116">
        <v>5</v>
      </c>
      <c r="N81" s="102" t="s">
        <v>103</v>
      </c>
      <c r="O81" s="101">
        <f>'DSI in ES and SSC'!S31</f>
        <v>-3.8299999999999999E-4</v>
      </c>
      <c r="P81" s="100">
        <f>ROUND(O81*$B$1,2)</f>
        <v>-0.48</v>
      </c>
      <c r="R81" s="116">
        <v>5</v>
      </c>
      <c r="S81" s="102" t="s">
        <v>103</v>
      </c>
      <c r="T81" s="101">
        <f>'DSI in ES and SSC'!T31</f>
        <v>3.4059999999999998E-4</v>
      </c>
      <c r="U81" s="100">
        <f>ROUND(T81*$B$1,2)</f>
        <v>0.43</v>
      </c>
      <c r="W81" s="116">
        <v>5</v>
      </c>
      <c r="X81" s="102" t="s">
        <v>103</v>
      </c>
      <c r="Y81" s="101">
        <f>'DSI in ES and SSC'!U31</f>
        <v>2.5027999999999999E-3</v>
      </c>
      <c r="Z81" s="100">
        <f>ROUND(Y81*$B$1,2)</f>
        <v>3.13</v>
      </c>
    </row>
    <row r="82" spans="3:26" x14ac:dyDescent="0.25">
      <c r="C82" s="116">
        <v>6</v>
      </c>
      <c r="D82" s="89" t="str">
        <f>'Surcharge Factors'!$G$3</f>
        <v>Capacity Charge (/kWh)</v>
      </c>
      <c r="E82" s="99">
        <f>VLOOKUP(E$75,'Surcharge Factors'!$B$3:$O$25,6,FALSE)</f>
        <v>1.482E-3</v>
      </c>
      <c r="F82" s="100">
        <f>ROUND(E82*$B$1,2)</f>
        <v>1.85</v>
      </c>
      <c r="H82" s="116">
        <v>6</v>
      </c>
      <c r="I82" s="89" t="str">
        <f>'Surcharge Factors'!$G$3</f>
        <v>Capacity Charge (/kWh)</v>
      </c>
      <c r="J82" s="99">
        <f>VLOOKUP(J$75,'Surcharge Factors'!$B$3:$O$25,6,FALSE)</f>
        <v>1.482E-3</v>
      </c>
      <c r="K82" s="100">
        <f>ROUND(J82*$B$1,2)</f>
        <v>1.85</v>
      </c>
      <c r="M82" s="116">
        <v>6</v>
      </c>
      <c r="N82" s="89" t="str">
        <f>'Surcharge Factors'!$G$3</f>
        <v>Capacity Charge (/kWh)</v>
      </c>
      <c r="O82" s="99">
        <f>VLOOKUP(O$75,'Surcharge Factors'!$B$3:$O$25,6,FALSE)</f>
        <v>1.482E-3</v>
      </c>
      <c r="P82" s="100">
        <f>ROUND(O82*$B$1,2)</f>
        <v>1.85</v>
      </c>
      <c r="R82" s="116">
        <v>6</v>
      </c>
      <c r="S82" s="89" t="str">
        <f>'Surcharge Factors'!$G$3</f>
        <v>Capacity Charge (/kWh)</v>
      </c>
      <c r="T82" s="99">
        <f>VLOOKUP(T$75,'Surcharge Factors'!$B$3:$O$25,6,FALSE)</f>
        <v>1.482E-3</v>
      </c>
      <c r="U82" s="100">
        <f>ROUND(T82*$B$1,2)</f>
        <v>1.85</v>
      </c>
      <c r="W82" s="116">
        <v>6</v>
      </c>
      <c r="X82" s="89" t="str">
        <f>'Surcharge Factors'!$G$3</f>
        <v>Capacity Charge (/kWh)</v>
      </c>
      <c r="Y82" s="99">
        <f>VLOOKUP(Y$75,'Surcharge Factors'!$B$3:$O$25,6,FALSE)</f>
        <v>1.482E-3</v>
      </c>
      <c r="Z82" s="100">
        <f>ROUND(Y82*$B$1,2)</f>
        <v>1.85</v>
      </c>
    </row>
    <row r="83" spans="3:26" x14ac:dyDescent="0.25">
      <c r="C83" s="116">
        <v>7</v>
      </c>
      <c r="D83" s="92" t="str">
        <f>'Surcharge Factors'!$K$3</f>
        <v>DSM Residential (/kWh)</v>
      </c>
      <c r="E83" s="99">
        <f>VLOOKUP(E$75,'Surcharge Factors'!$B$3:$O$25,10,FALSE)</f>
        <v>3.1589999999999999E-3</v>
      </c>
      <c r="F83" s="100">
        <f>ROUND(E83*$B$1,2)</f>
        <v>3.95</v>
      </c>
      <c r="H83" s="116">
        <v>7</v>
      </c>
      <c r="I83" s="92" t="str">
        <f>'Surcharge Factors'!$K$3</f>
        <v>DSM Residential (/kWh)</v>
      </c>
      <c r="J83" s="99">
        <f>VLOOKUP(J$75,'Surcharge Factors'!$B$3:$O$25,10,FALSE)</f>
        <v>3.1589999999999999E-3</v>
      </c>
      <c r="K83" s="100">
        <f>ROUND(J83*$B$1,2)</f>
        <v>3.95</v>
      </c>
      <c r="M83" s="116">
        <v>7</v>
      </c>
      <c r="N83" s="92" t="str">
        <f>'Surcharge Factors'!$K$3</f>
        <v>DSM Residential (/kWh)</v>
      </c>
      <c r="O83" s="99">
        <f>VLOOKUP(O$75,'Surcharge Factors'!$B$3:$O$25,10,FALSE)</f>
        <v>8.0129999999999993E-3</v>
      </c>
      <c r="P83" s="100">
        <f>ROUND(O83*$B$1,2)</f>
        <v>10.02</v>
      </c>
      <c r="R83" s="116">
        <v>7</v>
      </c>
      <c r="S83" s="92" t="str">
        <f>'Surcharge Factors'!$K$3</f>
        <v>DSM Residential (/kWh)</v>
      </c>
      <c r="T83" s="99">
        <f>VLOOKUP(T$75,'Surcharge Factors'!$B$3:$O$25,10,FALSE)</f>
        <v>8.0129999999999993E-3</v>
      </c>
      <c r="U83" s="100">
        <f>ROUND(T83*$B$1,2)</f>
        <v>10.02</v>
      </c>
      <c r="W83" s="116">
        <v>7</v>
      </c>
      <c r="X83" s="92" t="str">
        <f>'Surcharge Factors'!$K$3</f>
        <v>DSM Residential (/kWh)</v>
      </c>
      <c r="Y83" s="99">
        <f>VLOOKUP(Y$75,'Surcharge Factors'!$B$3:$O$25,10,FALSE)</f>
        <v>8.0129999999999993E-3</v>
      </c>
      <c r="Z83" s="100">
        <f>ROUND(Y83*$B$1,2)</f>
        <v>10.02</v>
      </c>
    </row>
    <row r="84" spans="3:26" x14ac:dyDescent="0.25">
      <c r="C84" s="116">
        <v>8</v>
      </c>
      <c r="D84" s="89" t="str">
        <f>'Surcharge Factors'!$L$3</f>
        <v>Home Energy Assistance Program (Residential only)</v>
      </c>
      <c r="E84" s="100">
        <f>VLOOKUP(E$75,'Surcharge Factors'!$B$3:$O$25,11,FALSE)</f>
        <v>0.15</v>
      </c>
      <c r="F84" s="100">
        <f>E84</f>
        <v>0.15</v>
      </c>
      <c r="H84" s="116">
        <v>8</v>
      </c>
      <c r="I84" s="89" t="str">
        <f>'Surcharge Factors'!$L$3</f>
        <v>Home Energy Assistance Program (Residential only)</v>
      </c>
      <c r="J84" s="100">
        <f>VLOOKUP(J$75,'Surcharge Factors'!$B$3:$O$25,11,FALSE)</f>
        <v>0.15</v>
      </c>
      <c r="K84" s="100">
        <f>J84</f>
        <v>0.15</v>
      </c>
      <c r="M84" s="116">
        <v>8</v>
      </c>
      <c r="N84" s="89" t="str">
        <f>'Surcharge Factors'!$L$3</f>
        <v>Home Energy Assistance Program (Residential only)</v>
      </c>
      <c r="O84" s="100">
        <f>VLOOKUP(O$75,'Surcharge Factors'!$B$3:$O$25,11,FALSE)</f>
        <v>0.15</v>
      </c>
      <c r="P84" s="100">
        <f>O84</f>
        <v>0.15</v>
      </c>
      <c r="R84" s="116">
        <v>8</v>
      </c>
      <c r="S84" s="89" t="str">
        <f>'Surcharge Factors'!$L$3</f>
        <v>Home Energy Assistance Program (Residential only)</v>
      </c>
      <c r="T84" s="100">
        <f>VLOOKUP(T$75,'Surcharge Factors'!$B$3:$O$25,11,FALSE)</f>
        <v>0.15</v>
      </c>
      <c r="U84" s="100">
        <f>T84</f>
        <v>0.15</v>
      </c>
      <c r="W84" s="116">
        <v>8</v>
      </c>
      <c r="X84" s="89" t="str">
        <f>'Surcharge Factors'!$L$3</f>
        <v>Home Energy Assistance Program (Residential only)</v>
      </c>
      <c r="Y84" s="100">
        <f>VLOOKUP(Y$75,'Surcharge Factors'!$B$3:$O$25,11,FALSE)</f>
        <v>0.15</v>
      </c>
      <c r="Z84" s="100">
        <f>Y84</f>
        <v>0.15</v>
      </c>
    </row>
    <row r="85" spans="3:26" x14ac:dyDescent="0.25">
      <c r="C85" s="116">
        <v>9</v>
      </c>
      <c r="D85" s="89" t="str">
        <f>'Surcharge Factors'!$M$3</f>
        <v>Kentucky Economic Develop. Surcharge</v>
      </c>
      <c r="E85" s="100">
        <f>VLOOKUP(E$75,'Surcharge Factors'!$B$3:$O$25,12,FALSE)</f>
        <v>0.15</v>
      </c>
      <c r="F85" s="100">
        <f>E85</f>
        <v>0.15</v>
      </c>
      <c r="H85" s="116">
        <v>9</v>
      </c>
      <c r="I85" s="89" t="str">
        <f>'Surcharge Factors'!$M$3</f>
        <v>Kentucky Economic Develop. Surcharge</v>
      </c>
      <c r="J85" s="100">
        <f>VLOOKUP(J$75,'Surcharge Factors'!$B$3:$O$25,12,FALSE)</f>
        <v>0.15</v>
      </c>
      <c r="K85" s="100">
        <f>J85</f>
        <v>0.15</v>
      </c>
      <c r="M85" s="116">
        <v>9</v>
      </c>
      <c r="N85" s="89" t="str">
        <f>'Surcharge Factors'!$M$3</f>
        <v>Kentucky Economic Develop. Surcharge</v>
      </c>
      <c r="O85" s="100">
        <f>VLOOKUP(O$75,'Surcharge Factors'!$B$3:$O$25,12,FALSE)</f>
        <v>0.15</v>
      </c>
      <c r="P85" s="100">
        <f>O85</f>
        <v>0.15</v>
      </c>
      <c r="R85" s="116">
        <v>9</v>
      </c>
      <c r="S85" s="89" t="str">
        <f>'Surcharge Factors'!$M$3</f>
        <v>Kentucky Economic Develop. Surcharge</v>
      </c>
      <c r="T85" s="100">
        <f>VLOOKUP(T$75,'Surcharge Factors'!$B$3:$O$25,12,FALSE)</f>
        <v>0.15</v>
      </c>
      <c r="U85" s="100">
        <f>T85</f>
        <v>0.15</v>
      </c>
      <c r="W85" s="116">
        <v>9</v>
      </c>
      <c r="X85" s="89" t="str">
        <f>'Surcharge Factors'!$M$3</f>
        <v>Kentucky Economic Develop. Surcharge</v>
      </c>
      <c r="Y85" s="100">
        <f>VLOOKUP(Y$75,'Surcharge Factors'!$B$3:$O$25,12,FALSE)</f>
        <v>0.15</v>
      </c>
      <c r="Z85" s="100">
        <f>Y85</f>
        <v>0.15</v>
      </c>
    </row>
    <row r="86" spans="3:26" x14ac:dyDescent="0.25">
      <c r="C86" s="116">
        <v>10</v>
      </c>
      <c r="D86" s="89" t="str">
        <f>'Surcharge Factors'!$O$3</f>
        <v>Big Sandy 1 Operation Rider (/kwh)</v>
      </c>
      <c r="E86" s="99">
        <f>VLOOKUP(E$75,'Surcharge Factors'!$B$3:$O$25,14,FALSE)</f>
        <v>5.7999999999999996E-3</v>
      </c>
      <c r="F86" s="100">
        <f>ROUND(E86*$B$1,2)</f>
        <v>7.25</v>
      </c>
      <c r="H86" s="116">
        <v>10</v>
      </c>
      <c r="I86" s="89" t="str">
        <f>'Surcharge Factors'!$O$3</f>
        <v>Big Sandy 1 Operation Rider (/kwh)</v>
      </c>
      <c r="J86" s="99">
        <f>VLOOKUP(J$75,'Surcharge Factors'!$B$3:$O$25,14,FALSE)</f>
        <v>5.7999999999999996E-3</v>
      </c>
      <c r="K86" s="100">
        <f>ROUND(J86*$B$1,2)</f>
        <v>7.25</v>
      </c>
      <c r="M86" s="116">
        <v>10</v>
      </c>
      <c r="N86" s="89" t="str">
        <f>'Surcharge Factors'!$O$3</f>
        <v>Big Sandy 1 Operation Rider (/kwh)</v>
      </c>
      <c r="O86" s="99">
        <f>VLOOKUP(O$75,'Surcharge Factors'!$B$3:$O$25,14,FALSE)</f>
        <v>5.7999999999999996E-3</v>
      </c>
      <c r="P86" s="100">
        <f>ROUND(O86*$B$1,2)</f>
        <v>7.25</v>
      </c>
      <c r="R86" s="116">
        <v>10</v>
      </c>
      <c r="S86" s="89" t="str">
        <f>'Surcharge Factors'!$O$3</f>
        <v>Big Sandy 1 Operation Rider (/kwh)</v>
      </c>
      <c r="T86" s="99">
        <f>VLOOKUP(T$75,'Surcharge Factors'!$B$3:$O$25,14,FALSE)</f>
        <v>5.7999999999999996E-3</v>
      </c>
      <c r="U86" s="100">
        <f>ROUND(T86*$B$1,2)</f>
        <v>7.25</v>
      </c>
      <c r="W86" s="116">
        <v>10</v>
      </c>
      <c r="X86" s="89" t="str">
        <f>'Surcharge Factors'!$O$3</f>
        <v>Big Sandy 1 Operation Rider (/kwh)</v>
      </c>
      <c r="Y86" s="99">
        <f>VLOOKUP(Y$75,'Surcharge Factors'!$B$3:$O$25,14,FALSE)</f>
        <v>5.7999999999999996E-3</v>
      </c>
      <c r="Z86" s="100">
        <f>ROUND(Y86*$B$1,2)</f>
        <v>7.25</v>
      </c>
    </row>
    <row r="87" spans="3:26" x14ac:dyDescent="0.25">
      <c r="C87" s="116">
        <v>11</v>
      </c>
      <c r="D87" s="89" t="str">
        <f>'Surcharge Factors'!$N$3</f>
        <v>Big Sandy Retirement Rider Residential (/dollar)</v>
      </c>
      <c r="E87" s="99">
        <f>VLOOKUP(E$75,'Surcharge Factors'!$B$3:$O$25,13,FALSE)</f>
        <v>3.7088999999999997E-2</v>
      </c>
      <c r="F87" s="100">
        <f>((SUM(F77:F80))+(SUM(F82:F86)))*E87</f>
        <v>5.2462390499999989</v>
      </c>
      <c r="H87" s="116">
        <v>11</v>
      </c>
      <c r="I87" s="89" t="str">
        <f>'Surcharge Factors'!$N$3</f>
        <v>Big Sandy Retirement Rider Residential (/dollar)</v>
      </c>
      <c r="J87" s="99">
        <f>VLOOKUP(J$75,'Surcharge Factors'!$B$3:$O$25,13,FALSE)</f>
        <v>3.7088999999999997E-2</v>
      </c>
      <c r="K87" s="100">
        <f>((SUM(K77:K80))+(SUM(K82:K86)))*J87</f>
        <v>5.2566239699999988</v>
      </c>
      <c r="M87" s="116">
        <v>11</v>
      </c>
      <c r="N87" s="89" t="str">
        <f>'Surcharge Factors'!$N$3</f>
        <v>Big Sandy Retirement Rider Residential (/dollar)</v>
      </c>
      <c r="O87" s="99">
        <f>VLOOKUP(O$75,'Surcharge Factors'!$B$3:$O$25,13,FALSE)</f>
        <v>3.7088999999999997E-2</v>
      </c>
      <c r="P87" s="100">
        <f>((SUM(P77:P80))+(SUM(P82:P86)))*O87</f>
        <v>5.30558145</v>
      </c>
      <c r="R87" s="116">
        <v>11</v>
      </c>
      <c r="S87" s="89" t="str">
        <f>'Surcharge Factors'!$N$3</f>
        <v>Big Sandy Retirement Rider Residential (/dollar)</v>
      </c>
      <c r="T87" s="99">
        <f>VLOOKUP(T$75,'Surcharge Factors'!$B$3:$O$25,13,FALSE)</f>
        <v>3.7088999999999997E-2</v>
      </c>
      <c r="U87" s="100">
        <f>((SUM(U77:U80))+(SUM(U82:U86)))*T87</f>
        <v>5.2729431299999998</v>
      </c>
      <c r="W87" s="116">
        <v>11</v>
      </c>
      <c r="X87" s="89" t="str">
        <f>'Surcharge Factors'!$N$3</f>
        <v>Big Sandy Retirement Rider Residential (/dollar)</v>
      </c>
      <c r="Y87" s="99">
        <f>VLOOKUP(Y$75,'Surcharge Factors'!$B$3:$O$25,13,FALSE)</f>
        <v>3.7088999999999997E-2</v>
      </c>
      <c r="Z87" s="100">
        <f>((SUM(Z77:Z80))+(SUM(Z82:Z86)))*Y87</f>
        <v>5.3660365199999998</v>
      </c>
    </row>
    <row r="88" spans="3:26" x14ac:dyDescent="0.25">
      <c r="C88" s="116">
        <v>12</v>
      </c>
      <c r="D88" s="102" t="s">
        <v>105</v>
      </c>
      <c r="E88" s="99">
        <f>VLOOKUP(E$75,'Surcharge Factors'!$B$3:$O$25,13,FALSE)</f>
        <v>3.7088999999999997E-2</v>
      </c>
      <c r="F88" s="100">
        <f>(F77+F78+F79+F81+F82+F83+F84+F85+F86)*E88</f>
        <v>5.2447554899999993</v>
      </c>
      <c r="H88" s="116">
        <v>12</v>
      </c>
      <c r="I88" s="102" t="s">
        <v>105</v>
      </c>
      <c r="J88" s="99">
        <f>VLOOKUP(J$75,'Surcharge Factors'!$B$3:$O$25,13,FALSE)</f>
        <v>3.7088999999999997E-2</v>
      </c>
      <c r="K88" s="100">
        <f>(K77+K78+K79+K81+K82+K83+K84+K85+K86)*J88</f>
        <v>5.2536568499999996</v>
      </c>
      <c r="M88" s="116">
        <v>12</v>
      </c>
      <c r="N88" s="102" t="s">
        <v>105</v>
      </c>
      <c r="O88" s="99">
        <f>VLOOKUP(O$75,'Surcharge Factors'!$B$3:$O$25,13,FALSE)</f>
        <v>3.7088999999999997E-2</v>
      </c>
      <c r="P88" s="100">
        <f>(P77+P78+P79+P81+P82+P83+P84+P85+P86)*O88</f>
        <v>5.29742187</v>
      </c>
      <c r="R88" s="116">
        <v>12</v>
      </c>
      <c r="S88" s="102" t="s">
        <v>105</v>
      </c>
      <c r="T88" s="99">
        <f>VLOOKUP(T$75,'Surcharge Factors'!$B$3:$O$25,13,FALSE)</f>
        <v>3.7088999999999997E-2</v>
      </c>
      <c r="U88" s="100">
        <f>(U77+U78+U79+U81+U82+U83+U84+U85+U86)*T88</f>
        <v>5.2696051200000005</v>
      </c>
      <c r="W88" s="116">
        <v>12</v>
      </c>
      <c r="X88" s="102" t="s">
        <v>105</v>
      </c>
      <c r="Y88" s="99">
        <f>VLOOKUP(Y$75,'Surcharge Factors'!$B$3:$O$25,13,FALSE)</f>
        <v>3.7088999999999997E-2</v>
      </c>
      <c r="Z88" s="100">
        <f>(Z77+Z78+Z79+Z81+Z82+Z83+Z84+Z85+Z86)*Y88</f>
        <v>5.3649238499999994</v>
      </c>
    </row>
    <row r="89" spans="3:26" x14ac:dyDescent="0.25">
      <c r="C89" s="116">
        <v>13</v>
      </c>
      <c r="D89" s="89" t="str">
        <f>'Surcharge Factors'!$I$3</f>
        <v>Purchased Power Adjustment (/dollar)</v>
      </c>
      <c r="E89" s="99">
        <f>VLOOKUP(E$75,'Surcharge Factors'!$B$3:$O$25,8,FALSE)</f>
        <v>3.0000000000000001E-3</v>
      </c>
      <c r="F89" s="100">
        <f>((SUM(F77:F80))+(SUM(F82:F86)))*E89</f>
        <v>0.42434999999999995</v>
      </c>
      <c r="H89" s="116">
        <v>13</v>
      </c>
      <c r="I89" s="89" t="str">
        <f>'Surcharge Factors'!$I$3</f>
        <v>Purchased Power Adjustment (/dollar)</v>
      </c>
      <c r="J89" s="99">
        <f>VLOOKUP(J$75,'Surcharge Factors'!$B$3:$O$25,8,FALSE)</f>
        <v>1.2780000000000001E-3</v>
      </c>
      <c r="K89" s="100">
        <f>((SUM(K77:K80))+(SUM(K82:K86)))*J89</f>
        <v>0.18113093999999999</v>
      </c>
      <c r="M89" s="116">
        <v>13</v>
      </c>
      <c r="N89" s="89" t="str">
        <f>'Surcharge Factors'!$I$3</f>
        <v>Purchased Power Adjustment (/dollar)</v>
      </c>
      <c r="O89" s="99">
        <f>VLOOKUP(O$75,'Surcharge Factors'!$B$3:$O$25,8,FALSE)</f>
        <v>1.0660000000000001E-3</v>
      </c>
      <c r="P89" s="100">
        <f>((SUM(P77:P80))+(SUM(P82:P86)))*O89</f>
        <v>0.15249130000000002</v>
      </c>
      <c r="R89" s="116">
        <v>13</v>
      </c>
      <c r="S89" s="89" t="str">
        <f>'Surcharge Factors'!$I$3</f>
        <v>Purchased Power Adjustment (/dollar)</v>
      </c>
      <c r="T89" s="99">
        <f>VLOOKUP(T$75,'Surcharge Factors'!$B$3:$O$25,8,FALSE)</f>
        <v>-1.4200000000000001E-4</v>
      </c>
      <c r="U89" s="100">
        <f>((SUM(U77:U80))+(SUM(U82:U86)))*T89</f>
        <v>-2.0188140000000004E-2</v>
      </c>
      <c r="W89" s="116">
        <v>13</v>
      </c>
      <c r="X89" s="89" t="str">
        <f>'Surcharge Factors'!$I$3</f>
        <v>Purchased Power Adjustment (/dollar)</v>
      </c>
      <c r="Y89" s="99">
        <f>VLOOKUP(Y$75,'Surcharge Factors'!$B$3:$O$25,8,FALSE)</f>
        <v>2.8219999999999999E-3</v>
      </c>
      <c r="Z89" s="100">
        <f>((SUM(Z77:Z80))+(SUM(Z82:Z86)))*Y89</f>
        <v>0.40828695999999998</v>
      </c>
    </row>
    <row r="90" spans="3:26" x14ac:dyDescent="0.25">
      <c r="C90" s="116">
        <v>14</v>
      </c>
      <c r="D90" s="102" t="s">
        <v>106</v>
      </c>
      <c r="E90" s="99">
        <f>VLOOKUP(E$75,'Surcharge Factors'!$B$3:$O$25,8,FALSE)</f>
        <v>3.0000000000000001E-3</v>
      </c>
      <c r="F90" s="100">
        <f>(F77+F78+F79+F81+F82+F83+F84+F85+F86)*E90</f>
        <v>0.42423</v>
      </c>
      <c r="H90" s="116">
        <v>14</v>
      </c>
      <c r="I90" s="102" t="s">
        <v>106</v>
      </c>
      <c r="J90" s="99">
        <f>VLOOKUP(J$75,'Surcharge Factors'!$B$3:$O$25,8,FALSE)</f>
        <v>1.2780000000000001E-3</v>
      </c>
      <c r="K90" s="100">
        <f>(K77+K78+K79+K81+K82+K83+K84+K85+K86)*J90</f>
        <v>0.18102870000000001</v>
      </c>
      <c r="M90" s="116">
        <v>14</v>
      </c>
      <c r="N90" s="102" t="s">
        <v>106</v>
      </c>
      <c r="O90" s="99">
        <f>VLOOKUP(O$75,'Surcharge Factors'!$B$3:$O$25,8,FALSE)</f>
        <v>1.0660000000000001E-3</v>
      </c>
      <c r="P90" s="100">
        <f>(P77+P78+P79+P81+P82+P83+P84+P85+P86)*O90</f>
        <v>0.15225678000000004</v>
      </c>
      <c r="R90" s="116">
        <v>14</v>
      </c>
      <c r="S90" s="102" t="s">
        <v>106</v>
      </c>
      <c r="T90" s="99">
        <f>VLOOKUP(T$75,'Surcharge Factors'!$B$3:$O$25,8,FALSE)</f>
        <v>-1.4200000000000001E-4</v>
      </c>
      <c r="U90" s="100">
        <f>(U77+U78+U79+U81+U82+U83+U84+U85+U86)*T90</f>
        <v>-2.0175360000000003E-2</v>
      </c>
      <c r="W90" s="116">
        <v>14</v>
      </c>
      <c r="X90" s="102" t="s">
        <v>106</v>
      </c>
      <c r="Y90" s="99">
        <f>VLOOKUP(Y$75,'Surcharge Factors'!$B$3:$O$25,8,FALSE)</f>
        <v>2.8219999999999999E-3</v>
      </c>
      <c r="Z90" s="100">
        <f>(Z77+Z78+Z79+Z81+Z82+Z83+Z84+Z85+Z86)*Y90</f>
        <v>0.40820230000000002</v>
      </c>
    </row>
    <row r="91" spans="3:26" x14ac:dyDescent="0.25">
      <c r="C91" s="116">
        <v>15</v>
      </c>
      <c r="D91" s="89" t="str">
        <f>'Surcharge Factors'!$H$3</f>
        <v>Environmental Surcharge (/dollar)</v>
      </c>
      <c r="E91" s="99">
        <f>VLOOKUP(E$75,'Surcharge Factors'!$B$3:$O$25,7,FALSE)</f>
        <v>9.8918000000000006E-2</v>
      </c>
      <c r="F91" s="100">
        <f>((SUM(F77:F80))+(SUM(F82:F86)))*E91</f>
        <v>13.9919511</v>
      </c>
      <c r="H91" s="116">
        <v>15</v>
      </c>
      <c r="I91" s="89" t="str">
        <f>'Surcharge Factors'!$H$3</f>
        <v>Environmental Surcharge (/dollar)</v>
      </c>
      <c r="J91" s="99">
        <f>VLOOKUP(J$75,'Surcharge Factors'!$B$3:$O$25,7,FALSE)</f>
        <v>0.10947900000000001</v>
      </c>
      <c r="K91" s="100">
        <f>((SUM(K77:K80))+(SUM(K82:K86)))*J91</f>
        <v>15.51645867</v>
      </c>
      <c r="M91" s="116">
        <v>15</v>
      </c>
      <c r="N91" s="89" t="str">
        <f>'Surcharge Factors'!$H$3</f>
        <v>Environmental Surcharge (/dollar)</v>
      </c>
      <c r="O91" s="99">
        <f>VLOOKUP(O$75,'Surcharge Factors'!$B$3:$O$25,7,FALSE)</f>
        <v>9.9044999999999994E-2</v>
      </c>
      <c r="P91" s="100">
        <f>((SUM(P77:P80))+(SUM(P82:P86)))*O91</f>
        <v>14.16838725</v>
      </c>
      <c r="R91" s="116">
        <v>15</v>
      </c>
      <c r="S91" s="89" t="str">
        <f>'Surcharge Factors'!$H$3</f>
        <v>Environmental Surcharge (/dollar)</v>
      </c>
      <c r="T91" s="99">
        <f>VLOOKUP(T$75,'Surcharge Factors'!$B$3:$O$25,7,FALSE)</f>
        <v>8.3985000000000004E-2</v>
      </c>
      <c r="U91" s="100">
        <f>((SUM(U77:U80))+(SUM(U82:U86)))*T91</f>
        <v>11.940147450000001</v>
      </c>
      <c r="W91" s="116">
        <v>15</v>
      </c>
      <c r="X91" s="89" t="str">
        <f>'Surcharge Factors'!$H$3</f>
        <v>Environmental Surcharge (/dollar)</v>
      </c>
      <c r="Y91" s="99">
        <f>VLOOKUP(Y$75,'Surcharge Factors'!$B$3:$O$25,7,FALSE)</f>
        <v>7.7649999999999997E-2</v>
      </c>
      <c r="Z91" s="100">
        <f>((SUM(Z77:Z80))+(SUM(Z82:Z86)))*Y91</f>
        <v>11.234401999999999</v>
      </c>
    </row>
    <row r="92" spans="3:26" x14ac:dyDescent="0.25">
      <c r="C92" s="116">
        <v>16</v>
      </c>
      <c r="D92" s="102" t="s">
        <v>97</v>
      </c>
      <c r="E92" s="99">
        <f>'DSI in ES and SSC'!Q22</f>
        <v>8.9216000000000004E-2</v>
      </c>
      <c r="F92" s="100">
        <f>(F77+F78+F79+F81+F82+F83+F84+F85+F86)*E92</f>
        <v>12.616034560000001</v>
      </c>
      <c r="H92" s="116">
        <v>16</v>
      </c>
      <c r="I92" s="102" t="s">
        <v>97</v>
      </c>
      <c r="J92" s="99">
        <f>'DSI in ES and SSC'!R22</f>
        <v>9.9539000000000002E-2</v>
      </c>
      <c r="K92" s="100">
        <f>(K77+K78+K79+K81+K82+K83+K84+K85+K86)*J92</f>
        <v>14.099699350000002</v>
      </c>
      <c r="M92" s="116">
        <v>16</v>
      </c>
      <c r="N92" s="102" t="s">
        <v>97</v>
      </c>
      <c r="O92" s="99">
        <f>'DSI in ES and SSC'!S22</f>
        <v>8.9932999999999999E-2</v>
      </c>
      <c r="P92" s="100">
        <f>(P77+P78+P79+P81+P82+P83+P84+P85+P86)*O92</f>
        <v>12.845130390000001</v>
      </c>
      <c r="R92" s="116">
        <v>16</v>
      </c>
      <c r="S92" s="102" t="s">
        <v>97</v>
      </c>
      <c r="T92" s="99">
        <f>'DSI in ES and SSC'!T22</f>
        <v>7.3733999999999994E-2</v>
      </c>
      <c r="U92" s="100">
        <f>(U77+U78+U79+U81+U82+U83+U84+U85+U86)*T92</f>
        <v>10.47612672</v>
      </c>
      <c r="W92" s="116">
        <v>16</v>
      </c>
      <c r="X92" s="102" t="s">
        <v>97</v>
      </c>
      <c r="Y92" s="99">
        <f>'DSI in ES and SSC'!U22</f>
        <v>6.7278000000000004E-2</v>
      </c>
      <c r="Z92" s="100">
        <f>(Z77+Z78+Z79+Z81+Z82+Z83+Z84+Z85+Z86)*Y92</f>
        <v>9.7317627000000009</v>
      </c>
    </row>
    <row r="93" spans="3:26" x14ac:dyDescent="0.25">
      <c r="C93" s="116">
        <v>17</v>
      </c>
      <c r="D93" s="89" t="str">
        <f>'Surcharge Factors'!$J$3</f>
        <v>Asset Transfer Rider (/dollar)</v>
      </c>
      <c r="E93" s="99">
        <f>VLOOKUP(E$75,'Surcharge Factors'!$B$3:$O$25,9,FALSE)</f>
        <v>0</v>
      </c>
      <c r="F93" s="100">
        <f>((SUM(F77:F80))+(SUM(F82:F86)))*E93</f>
        <v>0</v>
      </c>
      <c r="H93" s="116">
        <v>17</v>
      </c>
      <c r="I93" s="89" t="str">
        <f>'Surcharge Factors'!$J$3</f>
        <v>Asset Transfer Rider (/dollar)</v>
      </c>
      <c r="J93" s="99">
        <f>VLOOKUP(J$75,'Surcharge Factors'!$B$3:$O$25,9,FALSE)</f>
        <v>0</v>
      </c>
      <c r="K93" s="100">
        <f>((SUM(K77:K80))+(SUM(K82:K86)))*J93</f>
        <v>0</v>
      </c>
      <c r="M93" s="116">
        <v>17</v>
      </c>
      <c r="N93" s="89" t="str">
        <f>'Surcharge Factors'!$J$3</f>
        <v>Asset Transfer Rider (/dollar)</v>
      </c>
      <c r="O93" s="99">
        <f>VLOOKUP(O$75,'Surcharge Factors'!$B$3:$O$25,9,FALSE)</f>
        <v>0</v>
      </c>
      <c r="P93" s="100">
        <f>((SUM(P77:P80))+(SUM(P82:P86)))*O93</f>
        <v>0</v>
      </c>
      <c r="R93" s="116">
        <v>17</v>
      </c>
      <c r="S93" s="89" t="str">
        <f>'Surcharge Factors'!$J$3</f>
        <v>Asset Transfer Rider (/dollar)</v>
      </c>
      <c r="T93" s="99">
        <f>VLOOKUP(T$75,'Surcharge Factors'!$B$3:$O$25,9,FALSE)</f>
        <v>0</v>
      </c>
      <c r="U93" s="100">
        <f>((SUM(U77:U80))+(SUM(U82:U86)))*T93</f>
        <v>0</v>
      </c>
      <c r="W93" s="116">
        <v>17</v>
      </c>
      <c r="X93" s="89" t="str">
        <f>'Surcharge Factors'!$J$3</f>
        <v>Asset Transfer Rider (/dollar)</v>
      </c>
      <c r="Y93" s="99">
        <f>VLOOKUP(Y$75,'Surcharge Factors'!$B$3:$O$25,9,FALSE)</f>
        <v>0</v>
      </c>
      <c r="Z93" s="100">
        <f>((SUM(Z77:Z80))+(SUM(Z82:Z86)))*Y93</f>
        <v>0</v>
      </c>
    </row>
    <row r="94" spans="3:26" ht="15.75" thickBot="1" x14ac:dyDescent="0.3">
      <c r="C94" s="116"/>
      <c r="D94" s="102" t="s">
        <v>107</v>
      </c>
      <c r="E94" s="99">
        <f>VLOOKUP(E$75,'Surcharge Factors'!$B$3:$O$25,9,FALSE)</f>
        <v>0</v>
      </c>
      <c r="F94" s="100">
        <f>(F77+F78+F79+F81+F82+F83+F84+F85+F86)*E94</f>
        <v>0</v>
      </c>
      <c r="H94" s="116"/>
      <c r="I94" s="102" t="s">
        <v>107</v>
      </c>
      <c r="J94" s="99">
        <f>VLOOKUP(J$75,'Surcharge Factors'!$B$3:$O$25,9,FALSE)</f>
        <v>0</v>
      </c>
      <c r="K94" s="100">
        <f>(K77+K78+K79+K81+K82+K83+K84+K85+K86)*J94</f>
        <v>0</v>
      </c>
      <c r="M94" s="116"/>
      <c r="N94" s="102" t="s">
        <v>107</v>
      </c>
      <c r="O94" s="99">
        <f>VLOOKUP(O$75,'Surcharge Factors'!$B$3:$O$25,9,FALSE)</f>
        <v>0</v>
      </c>
      <c r="P94" s="100">
        <f>(P77+P78+P79+P81+P82+P83+P84+P85+P86)*O94</f>
        <v>0</v>
      </c>
      <c r="R94" s="116"/>
      <c r="S94" s="102" t="s">
        <v>107</v>
      </c>
      <c r="T94" s="99">
        <f>VLOOKUP(T$75,'Surcharge Factors'!$B$3:$O$25,9,FALSE)</f>
        <v>0</v>
      </c>
      <c r="U94" s="100">
        <f>(U77+U78+U79+U81+U82+U83+U84+U85+U86)*T94</f>
        <v>0</v>
      </c>
      <c r="W94" s="116"/>
      <c r="X94" s="102" t="s">
        <v>107</v>
      </c>
      <c r="Y94" s="99">
        <f>VLOOKUP(Y$75,'Surcharge Factors'!$B$3:$O$25,9,FALSE)</f>
        <v>0</v>
      </c>
      <c r="Z94" s="100">
        <f>(Z77+Z78+Z79+Z81+Z82+Z83+Z84+Z85+Z86)*Y94</f>
        <v>0</v>
      </c>
    </row>
    <row r="95" spans="3:26" ht="15.75" thickBot="1" x14ac:dyDescent="0.3">
      <c r="C95" s="118">
        <v>18</v>
      </c>
      <c r="D95" s="103" t="s">
        <v>98</v>
      </c>
      <c r="E95" s="104"/>
      <c r="F95" s="105">
        <f>F77+F78+F79+F80+F82+F83+F84+F85+F86+F87+F89+F91+F93</f>
        <v>161.11254014999997</v>
      </c>
      <c r="H95" s="118">
        <v>18</v>
      </c>
      <c r="I95" s="103" t="s">
        <v>98</v>
      </c>
      <c r="J95" s="104"/>
      <c r="K95" s="105">
        <f>K77+K78+K79+K80+K82+K83+K84+K85+K86+K87+K89+K91+K93</f>
        <v>162.68421357999998</v>
      </c>
      <c r="M95" s="118">
        <v>18</v>
      </c>
      <c r="N95" s="103" t="s">
        <v>98</v>
      </c>
      <c r="O95" s="104"/>
      <c r="P95" s="105">
        <f>P77+P78+P79+P80+P82+P83+P84+P85+P86+P87+P89+P91+P93</f>
        <v>162.67646000000002</v>
      </c>
      <c r="R95" s="118">
        <v>18</v>
      </c>
      <c r="S95" s="103" t="s">
        <v>98</v>
      </c>
      <c r="T95" s="104"/>
      <c r="U95" s="105">
        <f>U77+U78+U79+U80+U82+U83+U84+U85+U86+U87+U89+U91+U93</f>
        <v>159.36290244000003</v>
      </c>
      <c r="W95" s="118">
        <v>18</v>
      </c>
      <c r="X95" s="103" t="s">
        <v>98</v>
      </c>
      <c r="Y95" s="104"/>
      <c r="Z95" s="105">
        <f>Z77+Z78+Z79+Z80+Z82+Z83+Z84+Z85+Z86+Z87+Z89+Z91+Z93</f>
        <v>161.68872547999999</v>
      </c>
    </row>
    <row r="96" spans="3:26" ht="15.75" thickBot="1" x14ac:dyDescent="0.3">
      <c r="C96" s="117">
        <v>19</v>
      </c>
      <c r="D96" s="106" t="s">
        <v>99</v>
      </c>
      <c r="E96" s="107"/>
      <c r="F96" s="108">
        <f>F77+F78+F79+F81+F82+F83+F84+F85+F86+F88+F90+F92+F94</f>
        <v>159.69502004999998</v>
      </c>
      <c r="H96" s="117">
        <v>19</v>
      </c>
      <c r="I96" s="106" t="s">
        <v>99</v>
      </c>
      <c r="J96" s="107"/>
      <c r="K96" s="108">
        <f>K77+K78+K79+K81+K82+K83+K84+K85+K86+K88+K90+K92+K94</f>
        <v>161.18438490000003</v>
      </c>
      <c r="M96" s="117">
        <v>19</v>
      </c>
      <c r="N96" s="106" t="s">
        <v>99</v>
      </c>
      <c r="O96" s="107"/>
      <c r="P96" s="108">
        <f>P77+P78+P79+P81+P82+P83+P84+P85+P86+P88+P90+P92+P94</f>
        <v>161.12480904</v>
      </c>
      <c r="R96" s="117">
        <v>19</v>
      </c>
      <c r="S96" s="106" t="s">
        <v>99</v>
      </c>
      <c r="T96" s="107"/>
      <c r="U96" s="108">
        <f>U77+U78+U79+U81+U82+U83+U84+U85+U86+U88+U90+U92+U94</f>
        <v>157.80555648000001</v>
      </c>
      <c r="W96" s="117">
        <v>19</v>
      </c>
      <c r="X96" s="106" t="s">
        <v>99</v>
      </c>
      <c r="Y96" s="107"/>
      <c r="Z96" s="108">
        <f>Z77+Z78+Z79+Z81+Z82+Z83+Z84+Z85+Z86+Z88+Z90+Z92+Z94</f>
        <v>160.15488884999999</v>
      </c>
    </row>
    <row r="97" spans="3:26" ht="15.75" thickBot="1" x14ac:dyDescent="0.3">
      <c r="E97" s="125" t="s">
        <v>108</v>
      </c>
      <c r="F97" s="126">
        <f>F95-F96</f>
        <v>1.4175200999999902</v>
      </c>
      <c r="J97" s="125" t="s">
        <v>108</v>
      </c>
      <c r="K97" s="126">
        <f>K95-K96</f>
        <v>1.4998286799999505</v>
      </c>
      <c r="O97" s="125" t="s">
        <v>108</v>
      </c>
      <c r="P97" s="126">
        <f>P95-P96</f>
        <v>1.5516509600000177</v>
      </c>
      <c r="T97" s="125" t="s">
        <v>108</v>
      </c>
      <c r="U97" s="126">
        <f>U95-U96</f>
        <v>1.5573459600000206</v>
      </c>
      <c r="Y97" s="125" t="s">
        <v>108</v>
      </c>
      <c r="Z97" s="126">
        <f>Z95-Z96</f>
        <v>1.5338366299999961</v>
      </c>
    </row>
    <row r="98" spans="3:26" ht="15.75" thickBot="1" x14ac:dyDescent="0.3"/>
    <row r="99" spans="3:26" ht="15.75" thickBot="1" x14ac:dyDescent="0.3">
      <c r="C99" s="121"/>
      <c r="D99" s="122" t="s">
        <v>100</v>
      </c>
      <c r="E99" s="123" t="str">
        <f>'Surcharge Factors'!B25</f>
        <v>April 2017</v>
      </c>
      <c r="F99" s="124"/>
    </row>
    <row r="100" spans="3:26" ht="30.75" thickBot="1" x14ac:dyDescent="0.3">
      <c r="C100" s="120" t="s">
        <v>104</v>
      </c>
      <c r="D100" s="109" t="s">
        <v>75</v>
      </c>
      <c r="E100" s="110" t="s">
        <v>101</v>
      </c>
      <c r="F100" s="111" t="s">
        <v>102</v>
      </c>
    </row>
    <row r="101" spans="3:26" x14ac:dyDescent="0.25">
      <c r="C101" s="115">
        <v>1</v>
      </c>
      <c r="D101" s="90" t="str">
        <f>'Surcharge Factors'!$C$3</f>
        <v>Service Charge ($/customer)</v>
      </c>
      <c r="E101" s="97">
        <f>VLOOKUP(E99,'Surcharge Factors'!$B$3:$O$25,2,FALSE)</f>
        <v>11</v>
      </c>
      <c r="F101" s="97">
        <f>E101</f>
        <v>11</v>
      </c>
    </row>
    <row r="102" spans="3:26" x14ac:dyDescent="0.25">
      <c r="C102" s="116">
        <v>2</v>
      </c>
      <c r="D102" s="89" t="str">
        <f>'Surcharge Factors'!$D$3</f>
        <v>Energy Usage ($/kWh)</v>
      </c>
      <c r="E102" s="98">
        <f>VLOOKUP(E$99,'Surcharge Factors'!$B$3:$O$25,3,FALSE)</f>
        <v>8.795E-2</v>
      </c>
      <c r="F102" s="100">
        <f>ROUND(E$6*$B$1,2)</f>
        <v>111.38</v>
      </c>
    </row>
    <row r="103" spans="3:26" x14ac:dyDescent="0.25">
      <c r="C103" s="116">
        <v>3</v>
      </c>
      <c r="D103" s="91" t="str">
        <f>'Surcharge Factors'!$E$3</f>
        <v>Fuel Adj. Clause (/kWh)</v>
      </c>
      <c r="E103" s="98">
        <f>VLOOKUP(E$99,'Surcharge Factors'!$B$3:$O$25,4,FALSE)</f>
        <v>4.4000000000000002E-4</v>
      </c>
      <c r="F103" s="100">
        <f>ROUND(E103*$B$1,2)</f>
        <v>0.55000000000000004</v>
      </c>
    </row>
    <row r="104" spans="3:26" x14ac:dyDescent="0.25">
      <c r="C104" s="116">
        <v>4</v>
      </c>
      <c r="D104" s="91" t="str">
        <f>'Surcharge Factors'!$F$3</f>
        <v>System Sales Clause (/kWh)</v>
      </c>
      <c r="E104" s="101">
        <f>VLOOKUP(E$99,'Surcharge Factors'!$B$3:$O$25,5,FALSE)</f>
        <v>2.0295999999999999E-3</v>
      </c>
      <c r="F104" s="100">
        <f>ROUND(E104*$B$1,2)</f>
        <v>2.54</v>
      </c>
    </row>
    <row r="105" spans="3:26" x14ac:dyDescent="0.25">
      <c r="C105" s="116">
        <v>5</v>
      </c>
      <c r="D105" s="102" t="s">
        <v>103</v>
      </c>
      <c r="E105" s="101">
        <f>'DSI in ES and SSC'!V31</f>
        <v>2.0116999999999999E-3</v>
      </c>
      <c r="F105" s="100">
        <f>ROUND(E105*$B$1,2)</f>
        <v>2.5099999999999998</v>
      </c>
    </row>
    <row r="106" spans="3:26" x14ac:dyDescent="0.25">
      <c r="C106" s="116">
        <v>6</v>
      </c>
      <c r="D106" s="89" t="str">
        <f>'Surcharge Factors'!$G$3</f>
        <v>Capacity Charge (/kWh)</v>
      </c>
      <c r="E106" s="99">
        <f>VLOOKUP(E$99,'Surcharge Factors'!$B$3:$O$25,6,FALSE)</f>
        <v>1.482E-3</v>
      </c>
      <c r="F106" s="100">
        <f>ROUND(E106*$B$1,2)</f>
        <v>1.85</v>
      </c>
    </row>
    <row r="107" spans="3:26" x14ac:dyDescent="0.25">
      <c r="C107" s="116">
        <v>7</v>
      </c>
      <c r="D107" s="92" t="str">
        <f>'Surcharge Factors'!$K$3</f>
        <v>DSM Residential (/kWh)</v>
      </c>
      <c r="E107" s="99">
        <f>VLOOKUP(E$99,'Surcharge Factors'!$B$3:$O$25,10,FALSE)</f>
        <v>8.0129999999999993E-3</v>
      </c>
      <c r="F107" s="100">
        <f>ROUND(E107*$B$1,2)</f>
        <v>10.02</v>
      </c>
    </row>
    <row r="108" spans="3:26" x14ac:dyDescent="0.25">
      <c r="C108" s="116">
        <v>8</v>
      </c>
      <c r="D108" s="89" t="str">
        <f>'Surcharge Factors'!$L$3</f>
        <v>Home Energy Assistance Program (Residential only)</v>
      </c>
      <c r="E108" s="100">
        <f>VLOOKUP(E$99,'Surcharge Factors'!$B$3:$O$25,11,FALSE)</f>
        <v>0.15</v>
      </c>
      <c r="F108" s="100">
        <f>E108</f>
        <v>0.15</v>
      </c>
    </row>
    <row r="109" spans="3:26" x14ac:dyDescent="0.25">
      <c r="C109" s="116">
        <v>9</v>
      </c>
      <c r="D109" s="89" t="str">
        <f>'Surcharge Factors'!$M$3</f>
        <v>Kentucky Economic Develop. Surcharge</v>
      </c>
      <c r="E109" s="100">
        <f>VLOOKUP(E$99,'Surcharge Factors'!$B$3:$O$25,12,FALSE)</f>
        <v>0.15</v>
      </c>
      <c r="F109" s="100">
        <f>E109</f>
        <v>0.15</v>
      </c>
    </row>
    <row r="110" spans="3:26" x14ac:dyDescent="0.25">
      <c r="C110" s="116">
        <v>10</v>
      </c>
      <c r="D110" s="89" t="str">
        <f>'Surcharge Factors'!$O$3</f>
        <v>Big Sandy 1 Operation Rider (/kwh)</v>
      </c>
      <c r="E110" s="99">
        <f>VLOOKUP(E$99,'Surcharge Factors'!$B$3:$O$25,14,FALSE)</f>
        <v>5.7999999999999996E-3</v>
      </c>
      <c r="F110" s="100">
        <f>ROUND(E110*$B$1,2)</f>
        <v>7.25</v>
      </c>
    </row>
    <row r="111" spans="3:26" x14ac:dyDescent="0.25">
      <c r="C111" s="116">
        <v>11</v>
      </c>
      <c r="D111" s="89" t="str">
        <f>'Surcharge Factors'!$N$3</f>
        <v>Big Sandy Retirement Rider Residential (/dollar)</v>
      </c>
      <c r="E111" s="99">
        <f>VLOOKUP(E$99,'Surcharge Factors'!$B$3:$O$25,13,FALSE)</f>
        <v>3.7088999999999997E-2</v>
      </c>
      <c r="F111" s="100">
        <f>((SUM(F101:F104))+(SUM(F106:F110)))*E111</f>
        <v>5.3738252099999988</v>
      </c>
    </row>
    <row r="112" spans="3:26" x14ac:dyDescent="0.25">
      <c r="C112" s="116">
        <v>12</v>
      </c>
      <c r="D112" s="102" t="s">
        <v>105</v>
      </c>
      <c r="E112" s="99">
        <f>VLOOKUP(E$99,'Surcharge Factors'!$B$3:$O$25,13,FALSE)</f>
        <v>3.7088999999999997E-2</v>
      </c>
      <c r="F112" s="100">
        <f>(F101+F102+F103+F105+F106+F107+F108+F109+F110)*E112</f>
        <v>5.3727125400000002</v>
      </c>
    </row>
    <row r="113" spans="3:6" x14ac:dyDescent="0.25">
      <c r="C113" s="116">
        <v>13</v>
      </c>
      <c r="D113" s="89" t="str">
        <f>'Surcharge Factors'!$I$3</f>
        <v>Purchased Power Adjustment (/dollar)</v>
      </c>
      <c r="E113" s="99">
        <f>VLOOKUP(E$99,'Surcharge Factors'!$B$3:$O$25,8,FALSE)</f>
        <v>9.8490000000000001E-3</v>
      </c>
      <c r="F113" s="100">
        <f>((SUM(F101:F104))+(SUM(F106:F110)))*E113</f>
        <v>1.4270216099999999</v>
      </c>
    </row>
    <row r="114" spans="3:6" x14ac:dyDescent="0.25">
      <c r="C114" s="116">
        <v>14</v>
      </c>
      <c r="D114" s="102" t="s">
        <v>106</v>
      </c>
      <c r="E114" s="99">
        <f>VLOOKUP(E$99,'Surcharge Factors'!$B$3:$O$25,8,FALSE)</f>
        <v>9.8490000000000001E-3</v>
      </c>
      <c r="F114" s="100">
        <f>(F101+F102+F103+F105+F106+F107+F108+F109+F110)*E114</f>
        <v>1.4267261400000002</v>
      </c>
    </row>
    <row r="115" spans="3:6" x14ac:dyDescent="0.25">
      <c r="C115" s="116">
        <v>15</v>
      </c>
      <c r="D115" s="89" t="str">
        <f>'Surcharge Factors'!$H$3</f>
        <v>Environmental Surcharge (/dollar)</v>
      </c>
      <c r="E115" s="99">
        <f>VLOOKUP(E$99,'Surcharge Factors'!$B$3:$O$25,7,FALSE)</f>
        <v>7.2145000000000001E-2</v>
      </c>
      <c r="F115" s="100">
        <f>((SUM(F101:F104))+(SUM(F106:F110)))*E115</f>
        <v>10.453089049999999</v>
      </c>
    </row>
    <row r="116" spans="3:6" x14ac:dyDescent="0.25">
      <c r="C116" s="116">
        <v>16</v>
      </c>
      <c r="D116" s="102" t="s">
        <v>97</v>
      </c>
      <c r="E116" s="99">
        <f>'DSI in ES and SSC'!V22</f>
        <v>6.2253999999999997E-2</v>
      </c>
      <c r="F116" s="100">
        <f>(F101+F102+F103+F105+F106+F107+F108+F109+F110)*E116</f>
        <v>9.0181144399999997</v>
      </c>
    </row>
    <row r="117" spans="3:6" x14ac:dyDescent="0.25">
      <c r="C117" s="116">
        <v>17</v>
      </c>
      <c r="D117" s="89" t="str">
        <f>'Surcharge Factors'!$J$3</f>
        <v>Asset Transfer Rider (/dollar)</v>
      </c>
      <c r="E117" s="99">
        <f>VLOOKUP(E$99,'Surcharge Factors'!$B$3:$O$25,9,FALSE)</f>
        <v>0</v>
      </c>
      <c r="F117" s="100">
        <f>((SUM(F101:F104))+(SUM(F106:F110)))*E117</f>
        <v>0</v>
      </c>
    </row>
    <row r="118" spans="3:6" ht="15.75" thickBot="1" x14ac:dyDescent="0.3">
      <c r="C118" s="116"/>
      <c r="D118" s="102" t="s">
        <v>107</v>
      </c>
      <c r="E118" s="99">
        <f>VLOOKUP(E$99,'Surcharge Factors'!$B$3:$O$25,9,FALSE)</f>
        <v>0</v>
      </c>
      <c r="F118" s="100">
        <f>(F101+F102+F103+F105+F106+F107+F108+F109+F110)*E118</f>
        <v>0</v>
      </c>
    </row>
    <row r="119" spans="3:6" ht="15.75" thickBot="1" x14ac:dyDescent="0.3">
      <c r="C119" s="118">
        <v>18</v>
      </c>
      <c r="D119" s="103" t="s">
        <v>98</v>
      </c>
      <c r="E119" s="104"/>
      <c r="F119" s="105">
        <f>F101+F102+F103+F104+F106+F107+F108+F109+F110+F111+F113+F115+F117</f>
        <v>162.14393587000001</v>
      </c>
    </row>
    <row r="120" spans="3:6" ht="15.75" thickBot="1" x14ac:dyDescent="0.3">
      <c r="C120" s="117">
        <v>19</v>
      </c>
      <c r="D120" s="106" t="s">
        <v>99</v>
      </c>
      <c r="E120" s="107"/>
      <c r="F120" s="108">
        <f>F101+F102+F103+F105+F106+F107+F108+F109+F110+F112+F114+F116+F118</f>
        <v>160.67755312000003</v>
      </c>
    </row>
    <row r="121" spans="3:6" ht="15.75" thickBot="1" x14ac:dyDescent="0.3">
      <c r="E121" s="125" t="s">
        <v>108</v>
      </c>
      <c r="F121" s="126">
        <f>F119-F120</f>
        <v>1.4663827499999798</v>
      </c>
    </row>
  </sheetData>
  <mergeCells count="21">
    <mergeCell ref="E99:F99"/>
    <mergeCell ref="J27:K27"/>
    <mergeCell ref="O27:P27"/>
    <mergeCell ref="T27:U27"/>
    <mergeCell ref="Y27:Z27"/>
    <mergeCell ref="J51:K51"/>
    <mergeCell ref="O51:P51"/>
    <mergeCell ref="T51:U51"/>
    <mergeCell ref="Y51:Z51"/>
    <mergeCell ref="J75:K75"/>
    <mergeCell ref="O3:P3"/>
    <mergeCell ref="T3:U3"/>
    <mergeCell ref="Y3:Z3"/>
    <mergeCell ref="E27:F27"/>
    <mergeCell ref="E51:F51"/>
    <mergeCell ref="E75:F75"/>
    <mergeCell ref="O75:P75"/>
    <mergeCell ref="T75:U75"/>
    <mergeCell ref="Y75:Z75"/>
    <mergeCell ref="E3:F3"/>
    <mergeCell ref="J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workbookViewId="0">
      <selection activeCell="C35" sqref="C35"/>
    </sheetView>
  </sheetViews>
  <sheetFormatPr defaultRowHeight="15" x14ac:dyDescent="0.25"/>
  <cols>
    <col min="2" max="4" width="17.28515625" customWidth="1"/>
    <col min="5" max="5" width="21.7109375" customWidth="1"/>
    <col min="6" max="7" width="13.28515625" customWidth="1"/>
    <col min="8" max="8" width="14.5703125" customWidth="1"/>
    <col min="9" max="11" width="13.28515625" customWidth="1"/>
    <col min="12" max="12" width="13.7109375" customWidth="1"/>
    <col min="13" max="13" width="14.85546875" customWidth="1"/>
    <col min="14" max="15" width="13.28515625" customWidth="1"/>
  </cols>
  <sheetData>
    <row r="2" spans="2:15" ht="15.75" thickBot="1" x14ac:dyDescent="0.3"/>
    <row r="3" spans="2:15" ht="75" customHeight="1" thickBot="1" x14ac:dyDescent="0.3">
      <c r="B3" s="69" t="s">
        <v>95</v>
      </c>
      <c r="C3" s="71" t="s">
        <v>76</v>
      </c>
      <c r="D3" s="71" t="s">
        <v>77</v>
      </c>
      <c r="E3" s="70" t="s">
        <v>78</v>
      </c>
      <c r="F3" s="70" t="s">
        <v>79</v>
      </c>
      <c r="G3" s="70" t="s">
        <v>80</v>
      </c>
      <c r="H3" s="70" t="s">
        <v>82</v>
      </c>
      <c r="I3" s="70" t="s">
        <v>81</v>
      </c>
      <c r="J3" s="70" t="s">
        <v>93</v>
      </c>
      <c r="K3" s="70" t="s">
        <v>83</v>
      </c>
      <c r="L3" s="71" t="s">
        <v>84</v>
      </c>
      <c r="M3" s="71" t="s">
        <v>85</v>
      </c>
      <c r="N3" s="70" t="s">
        <v>86</v>
      </c>
      <c r="O3" s="71" t="s">
        <v>94</v>
      </c>
    </row>
    <row r="4" spans="2:15" x14ac:dyDescent="0.25">
      <c r="B4" s="72" t="s">
        <v>87</v>
      </c>
      <c r="C4" s="72"/>
      <c r="D4" s="72"/>
      <c r="E4" s="73" t="s">
        <v>88</v>
      </c>
      <c r="F4" s="73" t="s">
        <v>89</v>
      </c>
      <c r="G4" s="72" t="s">
        <v>90</v>
      </c>
      <c r="H4" s="74">
        <v>-8</v>
      </c>
      <c r="I4" s="74">
        <v>-12</v>
      </c>
      <c r="J4" s="74"/>
      <c r="K4" s="74">
        <v>-13</v>
      </c>
      <c r="L4" s="74">
        <v>-15</v>
      </c>
      <c r="M4" s="74">
        <v>-16</v>
      </c>
      <c r="N4" s="74">
        <v>-17</v>
      </c>
      <c r="O4" s="73" t="s">
        <v>88</v>
      </c>
    </row>
    <row r="5" spans="2:15" x14ac:dyDescent="0.25">
      <c r="B5" s="85" t="s">
        <v>3</v>
      </c>
      <c r="C5" s="95">
        <v>11</v>
      </c>
      <c r="D5" s="96">
        <v>8.9099999999999999E-2</v>
      </c>
      <c r="E5" s="75">
        <v>2.5899999999999999E-3</v>
      </c>
      <c r="F5" s="76">
        <v>7.0799999999999997E-4</v>
      </c>
      <c r="G5" s="77">
        <v>1.1850000000000001E-3</v>
      </c>
      <c r="H5" s="77">
        <v>0.12175800000000001</v>
      </c>
      <c r="I5" s="77">
        <v>0</v>
      </c>
      <c r="J5" s="77">
        <v>2.3567899999999999E-2</v>
      </c>
      <c r="K5" s="77">
        <v>3.8299999999999999E-4</v>
      </c>
      <c r="L5" s="78">
        <v>0.15</v>
      </c>
      <c r="M5" s="78">
        <v>0.15</v>
      </c>
      <c r="N5" s="77">
        <v>3.0071000000000001E-2</v>
      </c>
      <c r="O5" s="75">
        <v>3.3E-3</v>
      </c>
    </row>
    <row r="6" spans="2:15" x14ac:dyDescent="0.25">
      <c r="B6" s="85" t="s">
        <v>4</v>
      </c>
      <c r="C6" s="95">
        <v>11</v>
      </c>
      <c r="D6" s="96">
        <v>8.9099999999999999E-2</v>
      </c>
      <c r="E6" s="75">
        <v>-8.6999999999999994E-3</v>
      </c>
      <c r="F6" s="76">
        <v>3.1419999999999999E-4</v>
      </c>
      <c r="G6" s="77">
        <v>1.1850000000000001E-3</v>
      </c>
      <c r="H6" s="77">
        <v>9.7656000000000007E-2</v>
      </c>
      <c r="I6" s="88">
        <v>2.1099999999999999E-3</v>
      </c>
      <c r="J6" s="88">
        <v>0</v>
      </c>
      <c r="K6" s="77">
        <v>3.8299999999999999E-4</v>
      </c>
      <c r="L6" s="78">
        <v>0.15</v>
      </c>
      <c r="M6" s="78">
        <v>0.15</v>
      </c>
      <c r="N6" s="77">
        <v>3.0071000000000001E-2</v>
      </c>
      <c r="O6" s="75">
        <v>3.3E-3</v>
      </c>
    </row>
    <row r="7" spans="2:15" x14ac:dyDescent="0.25">
      <c r="B7" s="85" t="s">
        <v>5</v>
      </c>
      <c r="C7" s="95">
        <v>11</v>
      </c>
      <c r="D7" s="96">
        <v>8.795E-2</v>
      </c>
      <c r="E7" s="75">
        <v>-6.28E-3</v>
      </c>
      <c r="F7" s="76">
        <v>4.9229999999999999E-4</v>
      </c>
      <c r="G7" s="77">
        <v>1.1850000000000001E-3</v>
      </c>
      <c r="H7" s="77">
        <v>9.5034999999999994E-2</v>
      </c>
      <c r="I7" s="77">
        <v>7.2199999999999999E-4</v>
      </c>
      <c r="J7" s="77">
        <v>0</v>
      </c>
      <c r="K7" s="77">
        <v>3.8299999999999999E-4</v>
      </c>
      <c r="L7" s="78">
        <v>0.15</v>
      </c>
      <c r="M7" s="78">
        <v>0.15</v>
      </c>
      <c r="N7" s="77">
        <v>3.0071000000000001E-2</v>
      </c>
      <c r="O7" s="75">
        <v>3.3E-3</v>
      </c>
    </row>
    <row r="8" spans="2:15" x14ac:dyDescent="0.25">
      <c r="B8" s="85" t="s">
        <v>6</v>
      </c>
      <c r="C8" s="95">
        <v>11</v>
      </c>
      <c r="D8" s="96">
        <v>8.795E-2</v>
      </c>
      <c r="E8" s="75">
        <v>-9.9900000000000006E-3</v>
      </c>
      <c r="F8" s="76">
        <v>1.5051999999999999E-3</v>
      </c>
      <c r="G8" s="77">
        <v>1.1850000000000001E-3</v>
      </c>
      <c r="H8" s="77">
        <v>8.9069999999999996E-2</v>
      </c>
      <c r="I8" s="77">
        <v>1.1E-4</v>
      </c>
      <c r="J8" s="77">
        <v>-4.3189999999999998E-4</v>
      </c>
      <c r="K8" s="77">
        <v>3.8299999999999999E-4</v>
      </c>
      <c r="L8" s="78">
        <v>0.15</v>
      </c>
      <c r="M8" s="78">
        <v>0.15</v>
      </c>
      <c r="N8" s="77">
        <v>3.0071000000000001E-2</v>
      </c>
      <c r="O8" s="75">
        <v>3.3E-3</v>
      </c>
    </row>
    <row r="9" spans="2:15" x14ac:dyDescent="0.25">
      <c r="B9" s="85" t="s">
        <v>7</v>
      </c>
      <c r="C9" s="95">
        <v>11</v>
      </c>
      <c r="D9" s="96">
        <v>8.795E-2</v>
      </c>
      <c r="E9" s="75">
        <v>-1.076E-2</v>
      </c>
      <c r="F9" s="76">
        <v>1.6592E-3</v>
      </c>
      <c r="G9" s="77">
        <v>1.1850000000000001E-3</v>
      </c>
      <c r="H9" s="77">
        <v>0.161907</v>
      </c>
      <c r="I9" s="77">
        <v>3.6099999999999999E-4</v>
      </c>
      <c r="J9" s="77">
        <v>0</v>
      </c>
      <c r="K9" s="77">
        <v>3.8299999999999999E-4</v>
      </c>
      <c r="L9" s="78">
        <v>0.15</v>
      </c>
      <c r="M9" s="78">
        <v>0.15</v>
      </c>
      <c r="N9" s="77">
        <v>3.0071000000000001E-2</v>
      </c>
      <c r="O9" s="75">
        <v>3.3E-3</v>
      </c>
    </row>
    <row r="10" spans="2:15" x14ac:dyDescent="0.25">
      <c r="B10" s="85" t="s">
        <v>8</v>
      </c>
      <c r="C10" s="95">
        <v>11</v>
      </c>
      <c r="D10" s="96">
        <v>8.795E-2</v>
      </c>
      <c r="E10" s="75">
        <v>-3.0599999999999998E-3</v>
      </c>
      <c r="F10" s="76">
        <v>-3.5975E-3</v>
      </c>
      <c r="G10" s="77">
        <v>1.1850000000000001E-3</v>
      </c>
      <c r="H10" s="77">
        <v>0.16076099999999999</v>
      </c>
      <c r="I10" s="77">
        <f>0.0338/100</f>
        <v>3.3799999999999998E-4</v>
      </c>
      <c r="J10" s="77">
        <v>0</v>
      </c>
      <c r="K10" s="77">
        <v>3.8299999999999999E-4</v>
      </c>
      <c r="L10" s="78">
        <v>0.15</v>
      </c>
      <c r="M10" s="78">
        <v>0.15</v>
      </c>
      <c r="N10" s="77">
        <v>3.0071000000000001E-2</v>
      </c>
      <c r="O10" s="75">
        <v>3.3E-3</v>
      </c>
    </row>
    <row r="11" spans="2:15" x14ac:dyDescent="0.25">
      <c r="B11" s="86" t="s">
        <v>13</v>
      </c>
      <c r="C11" s="95">
        <v>11</v>
      </c>
      <c r="D11" s="96">
        <v>8.795E-2</v>
      </c>
      <c r="E11" s="75">
        <v>-1.24E-3</v>
      </c>
      <c r="F11" s="76">
        <v>1.5217E-3</v>
      </c>
      <c r="G11" s="77">
        <v>1.1850000000000001E-3</v>
      </c>
      <c r="H11" s="77">
        <v>9.0403999999999998E-2</v>
      </c>
      <c r="I11" s="77">
        <v>5.3220000000000003E-3</v>
      </c>
      <c r="J11" s="77">
        <v>0</v>
      </c>
      <c r="K11" s="77">
        <v>3.8299999999999999E-4</v>
      </c>
      <c r="L11" s="78">
        <v>0.15</v>
      </c>
      <c r="M11" s="78">
        <v>0.15</v>
      </c>
      <c r="N11" s="77">
        <v>3.0071000000000001E-2</v>
      </c>
      <c r="O11" s="75">
        <v>3.3E-3</v>
      </c>
    </row>
    <row r="12" spans="2:15" x14ac:dyDescent="0.25">
      <c r="B12" s="86" t="s">
        <v>14</v>
      </c>
      <c r="C12" s="95">
        <v>11</v>
      </c>
      <c r="D12" s="96">
        <v>8.795E-2</v>
      </c>
      <c r="E12" s="75">
        <v>-1.41E-3</v>
      </c>
      <c r="F12" s="76">
        <v>1.7708000000000001E-3</v>
      </c>
      <c r="G12" s="77">
        <v>1.1850000000000001E-3</v>
      </c>
      <c r="H12" s="77">
        <v>6.4448000000000005E-2</v>
      </c>
      <c r="I12" s="77">
        <v>4.2680000000000001E-3</v>
      </c>
      <c r="J12" s="77">
        <v>0</v>
      </c>
      <c r="K12" s="77">
        <v>3.8299999999999999E-4</v>
      </c>
      <c r="L12" s="78">
        <v>0.15</v>
      </c>
      <c r="M12" s="78">
        <v>0.15</v>
      </c>
      <c r="N12" s="77">
        <v>3.0071000000000001E-2</v>
      </c>
      <c r="O12" s="75">
        <v>3.3E-3</v>
      </c>
    </row>
    <row r="13" spans="2:15" x14ac:dyDescent="0.25">
      <c r="B13" s="86" t="s">
        <v>16</v>
      </c>
      <c r="C13" s="95">
        <v>11</v>
      </c>
      <c r="D13" s="96">
        <v>8.795E-2</v>
      </c>
      <c r="E13" s="75">
        <v>-1.67E-3</v>
      </c>
      <c r="F13" s="76">
        <v>1.7815999999999999E-3</v>
      </c>
      <c r="G13" s="77">
        <v>1.1850000000000001E-3</v>
      </c>
      <c r="H13" s="77">
        <v>6.8652000000000005E-2</v>
      </c>
      <c r="I13" s="77">
        <v>3.8099999999999999E-4</v>
      </c>
      <c r="J13" s="77">
        <v>0</v>
      </c>
      <c r="K13" s="77">
        <v>3.1589999999999999E-3</v>
      </c>
      <c r="L13" s="78">
        <v>0.15</v>
      </c>
      <c r="M13" s="78">
        <v>0.15</v>
      </c>
      <c r="N13" s="77">
        <v>3.0071000000000001E-2</v>
      </c>
      <c r="O13" s="75">
        <v>3.3E-3</v>
      </c>
    </row>
    <row r="14" spans="2:15" x14ac:dyDescent="0.25">
      <c r="B14" s="86" t="s">
        <v>17</v>
      </c>
      <c r="C14" s="95">
        <v>11</v>
      </c>
      <c r="D14" s="96">
        <v>8.795E-2</v>
      </c>
      <c r="E14" s="75">
        <v>-1.8000000000000001E-4</v>
      </c>
      <c r="F14" s="76">
        <v>1.7166E-3</v>
      </c>
      <c r="G14" s="77">
        <v>1.1850000000000001E-3</v>
      </c>
      <c r="H14" s="77">
        <v>9.2831999999999998E-2</v>
      </c>
      <c r="I14" s="77">
        <v>-3.0000000000000001E-6</v>
      </c>
      <c r="J14" s="77">
        <v>0</v>
      </c>
      <c r="K14" s="77">
        <v>3.1589999999999999E-3</v>
      </c>
      <c r="L14" s="78">
        <v>0.15</v>
      </c>
      <c r="M14" s="78">
        <v>0.15</v>
      </c>
      <c r="N14" s="77">
        <v>3.0071000000000001E-2</v>
      </c>
      <c r="O14" s="75">
        <v>3.3E-3</v>
      </c>
    </row>
    <row r="15" spans="2:15" x14ac:dyDescent="0.25">
      <c r="B15" s="86" t="s">
        <v>18</v>
      </c>
      <c r="C15" s="95">
        <v>11</v>
      </c>
      <c r="D15" s="96">
        <v>8.795E-2</v>
      </c>
      <c r="E15" s="79">
        <v>-2.0600000000000002E-3</v>
      </c>
      <c r="F15" s="80">
        <v>1.7742000000000001E-3</v>
      </c>
      <c r="G15" s="77">
        <v>1.1850000000000001E-3</v>
      </c>
      <c r="H15" s="77">
        <v>0.16492000000000001</v>
      </c>
      <c r="I15" s="77">
        <v>1.5300000000000001E-4</v>
      </c>
      <c r="J15" s="77">
        <v>0</v>
      </c>
      <c r="K15" s="77">
        <v>3.1589999999999999E-3</v>
      </c>
      <c r="L15" s="78">
        <v>0.15</v>
      </c>
      <c r="M15" s="78">
        <v>0.15</v>
      </c>
      <c r="N15" s="77">
        <v>3.0071000000000001E-2</v>
      </c>
      <c r="O15" s="75">
        <v>3.3E-3</v>
      </c>
    </row>
    <row r="16" spans="2:15" x14ac:dyDescent="0.25">
      <c r="B16" s="85" t="s">
        <v>19</v>
      </c>
      <c r="C16" s="95">
        <v>11</v>
      </c>
      <c r="D16" s="96">
        <v>8.795E-2</v>
      </c>
      <c r="E16" s="75">
        <v>-3.1900000000000001E-3</v>
      </c>
      <c r="F16" s="76">
        <v>1.8844000000000001E-3</v>
      </c>
      <c r="G16" s="77">
        <v>1.1850000000000001E-3</v>
      </c>
      <c r="H16" s="77">
        <v>0.176731</v>
      </c>
      <c r="I16" s="77">
        <v>-6.0000000000000002E-5</v>
      </c>
      <c r="J16" s="77">
        <v>0</v>
      </c>
      <c r="K16" s="77">
        <v>3.1589999999999999E-3</v>
      </c>
      <c r="L16" s="78">
        <v>0.15</v>
      </c>
      <c r="M16" s="78">
        <v>0.15</v>
      </c>
      <c r="N16" s="77">
        <v>3.0071000000000001E-2</v>
      </c>
      <c r="O16" s="75">
        <v>3.3E-3</v>
      </c>
    </row>
    <row r="17" spans="2:15" x14ac:dyDescent="0.25">
      <c r="B17" s="86" t="s">
        <v>20</v>
      </c>
      <c r="C17" s="95">
        <v>11</v>
      </c>
      <c r="D17" s="96">
        <v>8.795E-2</v>
      </c>
      <c r="E17" s="81">
        <v>9.7999999999999997E-4</v>
      </c>
      <c r="F17" s="82">
        <v>2.1939999999999999E-4</v>
      </c>
      <c r="G17" s="77">
        <v>1.482E-3</v>
      </c>
      <c r="H17" s="77">
        <v>0.114356</v>
      </c>
      <c r="I17" s="77">
        <v>1.73E-4</v>
      </c>
      <c r="J17" s="77">
        <v>0</v>
      </c>
      <c r="K17" s="77">
        <v>3.1589999999999999E-3</v>
      </c>
      <c r="L17" s="78">
        <v>0.15</v>
      </c>
      <c r="M17" s="78">
        <v>0.15</v>
      </c>
      <c r="N17" s="77">
        <v>3.0071000000000001E-2</v>
      </c>
      <c r="O17" s="75">
        <v>5.7999999999999996E-3</v>
      </c>
    </row>
    <row r="18" spans="2:15" x14ac:dyDescent="0.25">
      <c r="B18" s="87" t="s">
        <v>21</v>
      </c>
      <c r="C18" s="95">
        <v>11</v>
      </c>
      <c r="D18" s="96">
        <v>8.795E-2</v>
      </c>
      <c r="E18" s="75">
        <v>2.5500000000000002E-3</v>
      </c>
      <c r="F18" s="83">
        <v>-6.0689999999999995E-4</v>
      </c>
      <c r="G18" s="77">
        <v>1.482E-3</v>
      </c>
      <c r="H18" s="84">
        <v>6.0866999999999997E-2</v>
      </c>
      <c r="I18" s="77">
        <v>-1.7E-5</v>
      </c>
      <c r="J18" s="77">
        <v>0</v>
      </c>
      <c r="K18" s="77">
        <v>3.1589999999999999E-3</v>
      </c>
      <c r="L18" s="78">
        <v>0.15</v>
      </c>
      <c r="M18" s="78">
        <v>0.15</v>
      </c>
      <c r="N18" s="77">
        <v>3.0071000000000001E-2</v>
      </c>
      <c r="O18" s="75">
        <v>5.7999999999999996E-3</v>
      </c>
    </row>
    <row r="19" spans="2:15" x14ac:dyDescent="0.25">
      <c r="B19" s="86" t="s">
        <v>22</v>
      </c>
      <c r="C19" s="95">
        <v>11</v>
      </c>
      <c r="D19" s="96">
        <v>8.795E-2</v>
      </c>
      <c r="E19" s="75">
        <v>3.5100000000000001E-3</v>
      </c>
      <c r="F19" s="76">
        <v>3.8069999999999998E-4</v>
      </c>
      <c r="G19" s="77">
        <v>1.482E-3</v>
      </c>
      <c r="H19" s="77">
        <v>6.6489000000000006E-2</v>
      </c>
      <c r="I19" s="77">
        <v>1.6899999999999999E-4</v>
      </c>
      <c r="J19" s="77">
        <v>0</v>
      </c>
      <c r="K19" s="77">
        <v>3.1589999999999999E-3</v>
      </c>
      <c r="L19" s="78">
        <v>0.15</v>
      </c>
      <c r="M19" s="78">
        <v>0.15</v>
      </c>
      <c r="N19" s="77">
        <v>3.7088999999999997E-2</v>
      </c>
      <c r="O19" s="75">
        <v>5.7999999999999996E-3</v>
      </c>
    </row>
    <row r="20" spans="2:15" x14ac:dyDescent="0.25">
      <c r="B20" s="86" t="s">
        <v>23</v>
      </c>
      <c r="C20" s="95">
        <v>11</v>
      </c>
      <c r="D20" s="96">
        <v>8.795E-2</v>
      </c>
      <c r="E20" s="75">
        <v>3.7000000000000002E-3</v>
      </c>
      <c r="F20" s="76">
        <v>8.6939999999999999E-4</v>
      </c>
      <c r="G20" s="77">
        <v>1.482E-3</v>
      </c>
      <c r="H20" s="77">
        <v>9.8918000000000006E-2</v>
      </c>
      <c r="I20" s="77">
        <v>3.0000000000000001E-3</v>
      </c>
      <c r="J20" s="77">
        <v>0</v>
      </c>
      <c r="K20" s="77">
        <v>3.1589999999999999E-3</v>
      </c>
      <c r="L20" s="78">
        <v>0.15</v>
      </c>
      <c r="M20" s="78">
        <v>0.15</v>
      </c>
      <c r="N20" s="77">
        <v>3.7088999999999997E-2</v>
      </c>
      <c r="O20" s="75">
        <v>5.7999999999999996E-3</v>
      </c>
    </row>
    <row r="21" spans="2:15" x14ac:dyDescent="0.25">
      <c r="B21" s="86" t="s">
        <v>24</v>
      </c>
      <c r="C21" s="95">
        <v>11</v>
      </c>
      <c r="D21" s="96">
        <v>8.795E-2</v>
      </c>
      <c r="E21" s="75">
        <v>3.4500000000000017E-3</v>
      </c>
      <c r="F21" s="76">
        <v>1.3508000000000001E-3</v>
      </c>
      <c r="G21" s="77">
        <v>1.482E-3</v>
      </c>
      <c r="H21" s="77">
        <v>0.10947900000000001</v>
      </c>
      <c r="I21" s="77">
        <v>1.2780000000000001E-3</v>
      </c>
      <c r="J21" s="77">
        <v>0</v>
      </c>
      <c r="K21" s="77">
        <v>3.1589999999999999E-3</v>
      </c>
      <c r="L21" s="78">
        <v>0.15</v>
      </c>
      <c r="M21" s="78">
        <v>0.15</v>
      </c>
      <c r="N21" s="77">
        <v>3.7088999999999997E-2</v>
      </c>
      <c r="O21" s="75">
        <v>5.7999999999999996E-3</v>
      </c>
    </row>
    <row r="22" spans="2:15" x14ac:dyDescent="0.25">
      <c r="B22" s="85" t="s">
        <v>25</v>
      </c>
      <c r="C22" s="95">
        <v>11</v>
      </c>
      <c r="D22" s="96">
        <v>8.795E-2</v>
      </c>
      <c r="E22" s="75">
        <v>2.3600000000000001E-3</v>
      </c>
      <c r="F22" s="76">
        <v>-2.0660000000000001E-4</v>
      </c>
      <c r="G22" s="77">
        <v>1.482E-3</v>
      </c>
      <c r="H22" s="77">
        <v>9.9044999999999994E-2</v>
      </c>
      <c r="I22" s="77">
        <v>1.0660000000000001E-3</v>
      </c>
      <c r="J22" s="77">
        <v>0</v>
      </c>
      <c r="K22" s="77">
        <v>8.0129999999999993E-3</v>
      </c>
      <c r="L22" s="78">
        <v>0.15</v>
      </c>
      <c r="M22" s="78">
        <v>0.15</v>
      </c>
      <c r="N22" s="77">
        <v>3.7088999999999997E-2</v>
      </c>
      <c r="O22" s="75">
        <v>5.7999999999999996E-3</v>
      </c>
    </row>
    <row r="23" spans="2:15" x14ac:dyDescent="0.25">
      <c r="B23" s="86" t="s">
        <v>26</v>
      </c>
      <c r="C23" s="95">
        <v>11</v>
      </c>
      <c r="D23" s="96">
        <v>8.795E-2</v>
      </c>
      <c r="E23" s="75">
        <v>1.0300000000000001E-3</v>
      </c>
      <c r="F23" s="76">
        <v>4.127E-4</v>
      </c>
      <c r="G23" s="77">
        <v>1.482E-3</v>
      </c>
      <c r="H23" s="77">
        <v>8.3985000000000004E-2</v>
      </c>
      <c r="I23" s="77">
        <v>-1.4200000000000001E-4</v>
      </c>
      <c r="J23" s="77">
        <v>0</v>
      </c>
      <c r="K23" s="77">
        <v>8.0129999999999993E-3</v>
      </c>
      <c r="L23" s="78">
        <v>0.15</v>
      </c>
      <c r="M23" s="78">
        <v>0.15</v>
      </c>
      <c r="N23" s="77">
        <v>3.7088999999999997E-2</v>
      </c>
      <c r="O23" s="75">
        <v>5.7999999999999996E-3</v>
      </c>
    </row>
    <row r="24" spans="2:15" x14ac:dyDescent="0.25">
      <c r="B24" s="86" t="s">
        <v>91</v>
      </c>
      <c r="C24" s="95">
        <v>11</v>
      </c>
      <c r="D24" s="96">
        <v>8.795E-2</v>
      </c>
      <c r="E24" s="75">
        <v>9.3000000000000005E-4</v>
      </c>
      <c r="F24" s="76">
        <v>2.5265999999999999E-3</v>
      </c>
      <c r="G24" s="77">
        <v>1.482E-3</v>
      </c>
      <c r="H24" s="77">
        <v>7.7649999999999997E-2</v>
      </c>
      <c r="I24" s="77">
        <v>2.8219999999999999E-3</v>
      </c>
      <c r="J24" s="77">
        <v>0</v>
      </c>
      <c r="K24" s="77">
        <v>8.0129999999999993E-3</v>
      </c>
      <c r="L24" s="78">
        <v>0.15</v>
      </c>
      <c r="M24" s="78">
        <v>0.15</v>
      </c>
      <c r="N24" s="77">
        <v>3.7088999999999997E-2</v>
      </c>
      <c r="O24" s="75">
        <v>5.7999999999999996E-3</v>
      </c>
    </row>
    <row r="25" spans="2:15" x14ac:dyDescent="0.25">
      <c r="B25" s="93" t="s">
        <v>92</v>
      </c>
      <c r="C25" s="95">
        <v>11</v>
      </c>
      <c r="D25" s="96">
        <v>8.795E-2</v>
      </c>
      <c r="E25" s="94">
        <v>4.4000000000000002E-4</v>
      </c>
      <c r="F25" s="76">
        <v>2.0295999999999999E-3</v>
      </c>
      <c r="G25" s="77">
        <v>1.482E-3</v>
      </c>
      <c r="H25" s="77">
        <v>7.2145000000000001E-2</v>
      </c>
      <c r="I25" s="77">
        <v>9.8490000000000001E-3</v>
      </c>
      <c r="J25" s="77">
        <v>0</v>
      </c>
      <c r="K25" s="77">
        <v>8.0129999999999993E-3</v>
      </c>
      <c r="L25" s="78">
        <v>0.15</v>
      </c>
      <c r="M25" s="78">
        <v>0.15</v>
      </c>
      <c r="N25" s="77">
        <v>3.7088999999999997E-2</v>
      </c>
      <c r="O25" s="75">
        <v>5.7999999999999996E-3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DSI in ES and SSC</vt:lpstr>
      <vt:lpstr>Bill Comparision</vt:lpstr>
      <vt:lpstr>Surcharge Factors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dcterms:created xsi:type="dcterms:W3CDTF">2017-03-29T20:54:41Z</dcterms:created>
  <dcterms:modified xsi:type="dcterms:W3CDTF">2017-03-31T14:59:37Z</dcterms:modified>
</cp:coreProperties>
</file>