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70" windowWidth="13770" windowHeight="12405" activeTab="1"/>
  </bookViews>
  <sheets>
    <sheet name="Kroger Exhibit" sheetId="3" r:id="rId1"/>
    <sheet name="Kroger" sheetId="2" r:id="rId2"/>
    <sheet name="LG&amp;E" sheetId="1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2">'LG&amp;E'!$A$1:$Y$57</definedName>
  </definedNames>
  <calcPr calcId="125725"/>
</workbook>
</file>

<file path=xl/calcChain.xml><?xml version="1.0" encoding="utf-8"?>
<calcChain xmlns="http://schemas.openxmlformats.org/spreadsheetml/2006/main">
  <c r="AK16" i="1"/>
  <c r="AK15"/>
  <c r="AG14"/>
  <c r="AH14"/>
  <c r="AL18" l="1"/>
  <c r="AN17"/>
  <c r="O22" i="3" l="1"/>
  <c r="L12" i="1"/>
  <c r="F14" i="3" s="1"/>
  <c r="I22"/>
  <c r="D30"/>
  <c r="D26"/>
  <c r="D29"/>
  <c r="D25"/>
  <c r="D24"/>
  <c r="D23"/>
  <c r="D22"/>
  <c r="D21"/>
  <c r="D20"/>
  <c r="D19"/>
  <c r="D18"/>
  <c r="D17"/>
  <c r="D16"/>
  <c r="D15"/>
  <c r="D14"/>
  <c r="V27" i="2"/>
  <c r="Q27"/>
  <c r="L27"/>
  <c r="AD27" s="1"/>
  <c r="J27"/>
  <c r="D27"/>
  <c r="V25"/>
  <c r="Q25"/>
  <c r="J25"/>
  <c r="I25"/>
  <c r="H25"/>
  <c r="G25"/>
  <c r="F25"/>
  <c r="E25"/>
  <c r="D25"/>
  <c r="V24"/>
  <c r="Q24"/>
  <c r="J24"/>
  <c r="I24"/>
  <c r="H24"/>
  <c r="G24"/>
  <c r="F24"/>
  <c r="E24"/>
  <c r="D24"/>
  <c r="V23"/>
  <c r="Q23"/>
  <c r="AA23" s="1"/>
  <c r="AB23" s="1"/>
  <c r="J23"/>
  <c r="I23"/>
  <c r="H23"/>
  <c r="G23"/>
  <c r="F23"/>
  <c r="E23"/>
  <c r="D23"/>
  <c r="V22"/>
  <c r="Q22"/>
  <c r="J22"/>
  <c r="R22" s="1"/>
  <c r="I22"/>
  <c r="H22"/>
  <c r="G22"/>
  <c r="F22"/>
  <c r="E22"/>
  <c r="D22"/>
  <c r="V21"/>
  <c r="Q21"/>
  <c r="J21"/>
  <c r="I21"/>
  <c r="H21"/>
  <c r="G21"/>
  <c r="F21"/>
  <c r="E21"/>
  <c r="D21"/>
  <c r="J20"/>
  <c r="I20"/>
  <c r="H20"/>
  <c r="G20"/>
  <c r="F20"/>
  <c r="E20"/>
  <c r="D20"/>
  <c r="V19"/>
  <c r="Q19"/>
  <c r="J19"/>
  <c r="I19"/>
  <c r="H19"/>
  <c r="G19"/>
  <c r="F19"/>
  <c r="E19"/>
  <c r="D19"/>
  <c r="V18"/>
  <c r="Q18"/>
  <c r="AA18" s="1"/>
  <c r="J18"/>
  <c r="I18"/>
  <c r="H18"/>
  <c r="G18"/>
  <c r="F18"/>
  <c r="E18"/>
  <c r="D18"/>
  <c r="V17"/>
  <c r="Q17"/>
  <c r="R17" s="1"/>
  <c r="J17"/>
  <c r="I17"/>
  <c r="H17"/>
  <c r="G17"/>
  <c r="F17"/>
  <c r="E17"/>
  <c r="D17"/>
  <c r="V16"/>
  <c r="W16" s="1"/>
  <c r="Q16"/>
  <c r="J16"/>
  <c r="I16"/>
  <c r="H16"/>
  <c r="G16"/>
  <c r="F16"/>
  <c r="E16"/>
  <c r="D16"/>
  <c r="V15"/>
  <c r="Q15"/>
  <c r="AA15" s="1"/>
  <c r="J15"/>
  <c r="I15"/>
  <c r="H15"/>
  <c r="G15"/>
  <c r="F15"/>
  <c r="E15"/>
  <c r="D15"/>
  <c r="V14"/>
  <c r="Q14"/>
  <c r="AA14" s="1"/>
  <c r="J14"/>
  <c r="I14"/>
  <c r="H14"/>
  <c r="G14"/>
  <c r="F14"/>
  <c r="E14"/>
  <c r="D14"/>
  <c r="J13"/>
  <c r="I13"/>
  <c r="H13"/>
  <c r="G13"/>
  <c r="F13"/>
  <c r="E13"/>
  <c r="D13"/>
  <c r="V12"/>
  <c r="Q12"/>
  <c r="J12"/>
  <c r="J26" s="1"/>
  <c r="J28" s="1"/>
  <c r="I12"/>
  <c r="H12"/>
  <c r="G12"/>
  <c r="F12"/>
  <c r="F26" s="1"/>
  <c r="F28" s="1"/>
  <c r="E12"/>
  <c r="D12"/>
  <c r="V27" i="1"/>
  <c r="V25"/>
  <c r="V24"/>
  <c r="V23"/>
  <c r="V22"/>
  <c r="V21"/>
  <c r="V19"/>
  <c r="V18"/>
  <c r="V17"/>
  <c r="V16"/>
  <c r="V15"/>
  <c r="V14"/>
  <c r="V12"/>
  <c r="T27" i="2" l="1"/>
  <c r="Y27"/>
  <c r="Q26"/>
  <c r="R24"/>
  <c r="D26"/>
  <c r="D28" s="1"/>
  <c r="H26"/>
  <c r="H28" s="1"/>
  <c r="V26"/>
  <c r="W14"/>
  <c r="AB15"/>
  <c r="W18"/>
  <c r="R19"/>
  <c r="R21"/>
  <c r="W24"/>
  <c r="L30" i="3"/>
  <c r="M30" s="1"/>
  <c r="N30" s="1"/>
  <c r="AB14" i="2"/>
  <c r="AB18"/>
  <c r="E26"/>
  <c r="E28" s="1"/>
  <c r="I26"/>
  <c r="I28" s="1"/>
  <c r="AA16"/>
  <c r="AB16" s="1"/>
  <c r="W21"/>
  <c r="AA22"/>
  <c r="AB22" s="1"/>
  <c r="R14"/>
  <c r="G14" i="3"/>
  <c r="H14" s="1"/>
  <c r="D27"/>
  <c r="W23" i="2"/>
  <c r="W22"/>
  <c r="W25"/>
  <c r="R27"/>
  <c r="R25"/>
  <c r="AA12"/>
  <c r="AA17"/>
  <c r="AB17" s="1"/>
  <c r="AA19"/>
  <c r="AB19" s="1"/>
  <c r="AA21"/>
  <c r="AB21" s="1"/>
  <c r="AA24"/>
  <c r="AB24" s="1"/>
  <c r="AA25"/>
  <c r="AB25" s="1"/>
  <c r="AA27"/>
  <c r="AB27" s="1"/>
  <c r="W15"/>
  <c r="R16"/>
  <c r="R15"/>
  <c r="R18"/>
  <c r="G26"/>
  <c r="G28" s="1"/>
  <c r="W12"/>
  <c r="W17"/>
  <c r="W19"/>
  <c r="R23"/>
  <c r="R12"/>
  <c r="R26"/>
  <c r="Q28"/>
  <c r="R28" s="1"/>
  <c r="V28"/>
  <c r="W28" s="1"/>
  <c r="W26"/>
  <c r="W27"/>
  <c r="D31" i="3" l="1"/>
  <c r="AA26" i="2"/>
  <c r="AB12"/>
  <c r="AA28" l="1"/>
  <c r="AB28" s="1"/>
  <c r="AB26"/>
  <c r="V26" i="1" l="1"/>
  <c r="Q27"/>
  <c r="AA27" s="1"/>
  <c r="Q24"/>
  <c r="AA24" s="1"/>
  <c r="Q21"/>
  <c r="AA21" s="1"/>
  <c r="Q22"/>
  <c r="AA22" s="1"/>
  <c r="Q23"/>
  <c r="AA23" s="1"/>
  <c r="Q25"/>
  <c r="AA25" s="1"/>
  <c r="Q19"/>
  <c r="AA19" s="1"/>
  <c r="Q18"/>
  <c r="AA18" s="1"/>
  <c r="Q17"/>
  <c r="AA17" s="1"/>
  <c r="Q16"/>
  <c r="AA16" s="1"/>
  <c r="Q15"/>
  <c r="AA15" s="1"/>
  <c r="Q14"/>
  <c r="AA14" s="1"/>
  <c r="Q12"/>
  <c r="AA12" s="1"/>
  <c r="N52"/>
  <c r="N50"/>
  <c r="N48"/>
  <c r="N54"/>
  <c r="N46"/>
  <c r="N44"/>
  <c r="N42"/>
  <c r="N40"/>
  <c r="N38"/>
  <c r="N36"/>
  <c r="N34"/>
  <c r="J54"/>
  <c r="L54" s="1"/>
  <c r="J52"/>
  <c r="L52" s="1"/>
  <c r="J50"/>
  <c r="L50" s="1"/>
  <c r="J48"/>
  <c r="L48" s="1"/>
  <c r="J46"/>
  <c r="J44"/>
  <c r="J42"/>
  <c r="J40"/>
  <c r="J38"/>
  <c r="J36"/>
  <c r="F54"/>
  <c r="F52"/>
  <c r="F50"/>
  <c r="F48"/>
  <c r="F46"/>
  <c r="F44"/>
  <c r="F42"/>
  <c r="F40"/>
  <c r="F38"/>
  <c r="F36"/>
  <c r="E54"/>
  <c r="E52"/>
  <c r="E50"/>
  <c r="E48"/>
  <c r="E46"/>
  <c r="E44"/>
  <c r="E42"/>
  <c r="E40"/>
  <c r="E38"/>
  <c r="E36"/>
  <c r="D48"/>
  <c r="D50"/>
  <c r="D52"/>
  <c r="D54"/>
  <c r="D46"/>
  <c r="D44"/>
  <c r="D42"/>
  <c r="D40"/>
  <c r="D38"/>
  <c r="D36"/>
  <c r="F34"/>
  <c r="E34"/>
  <c r="D34"/>
  <c r="J34"/>
  <c r="L34" s="1"/>
  <c r="D27"/>
  <c r="I24"/>
  <c r="H24"/>
  <c r="G24"/>
  <c r="F24"/>
  <c r="E24"/>
  <c r="D24"/>
  <c r="I25"/>
  <c r="H25"/>
  <c r="G25"/>
  <c r="F25"/>
  <c r="E25"/>
  <c r="D25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D49" s="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D39" s="1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L36" l="1"/>
  <c r="L44"/>
  <c r="AA26"/>
  <c r="L40"/>
  <c r="D41"/>
  <c r="D37"/>
  <c r="D45"/>
  <c r="D51"/>
  <c r="L42"/>
  <c r="E26"/>
  <c r="E28" s="1"/>
  <c r="D55"/>
  <c r="L38"/>
  <c r="L46"/>
  <c r="V28"/>
  <c r="D47"/>
  <c r="E56"/>
  <c r="D43"/>
  <c r="N56"/>
  <c r="Q26"/>
  <c r="D53"/>
  <c r="D35"/>
  <c r="D56"/>
  <c r="J56"/>
  <c r="F56"/>
  <c r="D26"/>
  <c r="D28" s="1"/>
  <c r="F26"/>
  <c r="F28" s="1"/>
  <c r="G26"/>
  <c r="G28" s="1"/>
  <c r="H26"/>
  <c r="H28" s="1"/>
  <c r="I26"/>
  <c r="I28" s="1"/>
  <c r="AA28" l="1"/>
  <c r="L56"/>
  <c r="Q28"/>
  <c r="D57"/>
  <c r="L27"/>
  <c r="J27"/>
  <c r="AB27" s="1"/>
  <c r="L13"/>
  <c r="F15" i="3" s="1"/>
  <c r="L14" i="1"/>
  <c r="L15"/>
  <c r="L16"/>
  <c r="F18" i="3" s="1"/>
  <c r="L17" i="1"/>
  <c r="L18"/>
  <c r="F20" i="3" s="1"/>
  <c r="L19" i="1"/>
  <c r="F21" i="3" s="1"/>
  <c r="L20" i="1"/>
  <c r="F22" i="3" s="1"/>
  <c r="G22" s="1"/>
  <c r="L21" i="1"/>
  <c r="F23" i="3" s="1"/>
  <c r="L22" i="1"/>
  <c r="F24" i="3" s="1"/>
  <c r="L23" i="1"/>
  <c r="F25" i="3" s="1"/>
  <c r="L24" i="1"/>
  <c r="F29" i="3" s="1"/>
  <c r="G29" s="1"/>
  <c r="H29" s="1"/>
  <c r="L25" i="1"/>
  <c r="F26" i="3" s="1"/>
  <c r="J13" i="1"/>
  <c r="J14"/>
  <c r="J15"/>
  <c r="J16"/>
  <c r="J17"/>
  <c r="J18"/>
  <c r="AB18" s="1"/>
  <c r="J19"/>
  <c r="AB19" s="1"/>
  <c r="J20"/>
  <c r="J21"/>
  <c r="AB21" s="1"/>
  <c r="J22"/>
  <c r="AB22" s="1"/>
  <c r="J23"/>
  <c r="AB23" s="1"/>
  <c r="J24"/>
  <c r="AB24" s="1"/>
  <c r="J25"/>
  <c r="AB25" s="1"/>
  <c r="J12"/>
  <c r="AF14" l="1"/>
  <c r="AF15"/>
  <c r="AB16"/>
  <c r="AF16"/>
  <c r="AJ17"/>
  <c r="AL17" s="1"/>
  <c r="AO17" s="1"/>
  <c r="AF17"/>
  <c r="G18" i="3"/>
  <c r="H18" s="1"/>
  <c r="G26"/>
  <c r="H26" s="1"/>
  <c r="G23"/>
  <c r="H23" s="1"/>
  <c r="G24"/>
  <c r="H24" s="1"/>
  <c r="G20"/>
  <c r="H20" s="1"/>
  <c r="G25"/>
  <c r="H25" s="1"/>
  <c r="G21"/>
  <c r="H21" s="1"/>
  <c r="AB12" i="1"/>
  <c r="F17" i="3"/>
  <c r="AD27" i="1"/>
  <c r="F30" i="3"/>
  <c r="G30" s="1"/>
  <c r="H30" s="1"/>
  <c r="Y27" i="1"/>
  <c r="T27"/>
  <c r="AB15"/>
  <c r="F19" i="3"/>
  <c r="G15"/>
  <c r="AB17" i="1"/>
  <c r="F16" i="3"/>
  <c r="AB14" i="1"/>
  <c r="R24"/>
  <c r="W24"/>
  <c r="R16"/>
  <c r="W16"/>
  <c r="R25"/>
  <c r="W25"/>
  <c r="R21"/>
  <c r="W21"/>
  <c r="R17"/>
  <c r="W17"/>
  <c r="R22"/>
  <c r="W22"/>
  <c r="R18"/>
  <c r="W18"/>
  <c r="R14"/>
  <c r="W14"/>
  <c r="W27"/>
  <c r="W12"/>
  <c r="R23"/>
  <c r="W23"/>
  <c r="R19"/>
  <c r="W19"/>
  <c r="R15"/>
  <c r="W15"/>
  <c r="R27"/>
  <c r="N12"/>
  <c r="O12" s="1"/>
  <c r="R12"/>
  <c r="N24"/>
  <c r="N20"/>
  <c r="N18"/>
  <c r="N18" i="2" s="1"/>
  <c r="N22" i="1"/>
  <c r="N14"/>
  <c r="N23"/>
  <c r="N16"/>
  <c r="N19"/>
  <c r="N15"/>
  <c r="N25"/>
  <c r="N21"/>
  <c r="N17"/>
  <c r="N13"/>
  <c r="L26"/>
  <c r="L28" s="1"/>
  <c r="N27"/>
  <c r="J26"/>
  <c r="AH15" l="1"/>
  <c r="AG15"/>
  <c r="AG16" s="1"/>
  <c r="AG17" s="1"/>
  <c r="G19" i="3"/>
  <c r="H19" s="1"/>
  <c r="G17"/>
  <c r="H17" s="1"/>
  <c r="G16"/>
  <c r="H16" s="1"/>
  <c r="F27"/>
  <c r="N37" i="2"/>
  <c r="L18"/>
  <c r="L20" i="3" s="1"/>
  <c r="M20" s="1"/>
  <c r="N20" s="1"/>
  <c r="H15"/>
  <c r="W26" i="1"/>
  <c r="AB26"/>
  <c r="S15"/>
  <c r="X15"/>
  <c r="Y15" s="1"/>
  <c r="S25"/>
  <c r="N25" i="2"/>
  <c r="X25" i="1"/>
  <c r="Y25" s="1"/>
  <c r="S20"/>
  <c r="N20" i="2"/>
  <c r="X20" i="1"/>
  <c r="O27"/>
  <c r="N27" i="2"/>
  <c r="O27" s="1"/>
  <c r="S17" i="1"/>
  <c r="X17"/>
  <c r="Y17" s="1"/>
  <c r="S19"/>
  <c r="N19" i="2"/>
  <c r="X19" i="1"/>
  <c r="Y19" s="1"/>
  <c r="S22"/>
  <c r="N22" i="2"/>
  <c r="X22" i="1"/>
  <c r="Y22" s="1"/>
  <c r="O13"/>
  <c r="N13" i="2"/>
  <c r="N32" s="1"/>
  <c r="S14" i="1"/>
  <c r="X14"/>
  <c r="Y14" s="1"/>
  <c r="N24" i="2"/>
  <c r="X24" i="1"/>
  <c r="Y24" s="1"/>
  <c r="S23"/>
  <c r="N23" i="2"/>
  <c r="X23" i="1"/>
  <c r="Y23" s="1"/>
  <c r="S21"/>
  <c r="N21" i="2"/>
  <c r="X21" i="1"/>
  <c r="Y21" s="1"/>
  <c r="S16"/>
  <c r="X16"/>
  <c r="Y16" s="1"/>
  <c r="S18"/>
  <c r="X18"/>
  <c r="Y18" s="1"/>
  <c r="S12"/>
  <c r="N12" i="2"/>
  <c r="N31" s="1"/>
  <c r="X12" i="1"/>
  <c r="Y12" s="1"/>
  <c r="J28"/>
  <c r="AB28" s="1"/>
  <c r="R26"/>
  <c r="O24"/>
  <c r="S24"/>
  <c r="O17"/>
  <c r="N43"/>
  <c r="O19"/>
  <c r="N47"/>
  <c r="O22"/>
  <c r="N51"/>
  <c r="O15"/>
  <c r="N39"/>
  <c r="O14"/>
  <c r="N37"/>
  <c r="O25"/>
  <c r="N55"/>
  <c r="O23"/>
  <c r="N53"/>
  <c r="O21"/>
  <c r="N49"/>
  <c r="O16"/>
  <c r="N41"/>
  <c r="O18"/>
  <c r="N45"/>
  <c r="N35"/>
  <c r="N26"/>
  <c r="AI14" l="1"/>
  <c r="AI15"/>
  <c r="AH16"/>
  <c r="T12"/>
  <c r="F31" i="3"/>
  <c r="G27"/>
  <c r="G31" s="1"/>
  <c r="H31" s="1"/>
  <c r="AC12" i="1"/>
  <c r="AD12" s="1"/>
  <c r="T21"/>
  <c r="AC21"/>
  <c r="T22"/>
  <c r="AC22"/>
  <c r="AC23"/>
  <c r="T23"/>
  <c r="AC14"/>
  <c r="T14"/>
  <c r="T19"/>
  <c r="AC19"/>
  <c r="T15"/>
  <c r="AC15"/>
  <c r="T24"/>
  <c r="AC24"/>
  <c r="AD24" s="1"/>
  <c r="AC18"/>
  <c r="T18"/>
  <c r="T16"/>
  <c r="AC16"/>
  <c r="T17"/>
  <c r="AC17"/>
  <c r="T25"/>
  <c r="AC25"/>
  <c r="L22" i="2"/>
  <c r="L24" i="3" s="1"/>
  <c r="M24" s="1"/>
  <c r="N24" s="1"/>
  <c r="N41" i="2"/>
  <c r="L23"/>
  <c r="L25" i="3" s="1"/>
  <c r="M25" s="1"/>
  <c r="N25" s="1"/>
  <c r="N42" i="2"/>
  <c r="L19"/>
  <c r="L21" i="3" s="1"/>
  <c r="M21" s="1"/>
  <c r="N21" s="1"/>
  <c r="N38" i="2"/>
  <c r="L24"/>
  <c r="L29" i="3" s="1"/>
  <c r="M29" s="1"/>
  <c r="N29" s="1"/>
  <c r="N43" i="2"/>
  <c r="L20"/>
  <c r="L22" i="3" s="1"/>
  <c r="M22" s="1"/>
  <c r="N39" i="2"/>
  <c r="L21"/>
  <c r="L23" i="3" s="1"/>
  <c r="M23" s="1"/>
  <c r="N23" s="1"/>
  <c r="N40" i="2"/>
  <c r="L25"/>
  <c r="L26" i="3" s="1"/>
  <c r="M26" s="1"/>
  <c r="N26" s="1"/>
  <c r="N44" i="2"/>
  <c r="O13"/>
  <c r="L13"/>
  <c r="L15" i="3" s="1"/>
  <c r="M15" s="1"/>
  <c r="N15" s="1"/>
  <c r="X18" i="2"/>
  <c r="Y18" s="1"/>
  <c r="S26" i="1"/>
  <c r="T26" s="1"/>
  <c r="L12" i="2"/>
  <c r="X12"/>
  <c r="O12"/>
  <c r="S12"/>
  <c r="S21"/>
  <c r="O21"/>
  <c r="X21"/>
  <c r="O19"/>
  <c r="S19"/>
  <c r="X19"/>
  <c r="X24"/>
  <c r="O24"/>
  <c r="S24"/>
  <c r="S25"/>
  <c r="O25"/>
  <c r="X25"/>
  <c r="X22"/>
  <c r="O22"/>
  <c r="S22"/>
  <c r="T22" s="1"/>
  <c r="R28" i="1"/>
  <c r="W28"/>
  <c r="S23" i="2"/>
  <c r="O23"/>
  <c r="X23"/>
  <c r="X20"/>
  <c r="S20"/>
  <c r="X26" i="1"/>
  <c r="Y26" s="1"/>
  <c r="N28"/>
  <c r="O28" s="1"/>
  <c r="N57"/>
  <c r="O26"/>
  <c r="T19" i="2" l="1"/>
  <c r="Y21"/>
  <c r="Y24"/>
  <c r="AH17" i="1"/>
  <c r="AI17" s="1"/>
  <c r="AI16"/>
  <c r="H27" i="3"/>
  <c r="AL16" i="1" s="1"/>
  <c r="T24" i="2"/>
  <c r="T21"/>
  <c r="Y23"/>
  <c r="T25"/>
  <c r="Y19"/>
  <c r="Y22"/>
  <c r="T23"/>
  <c r="Y25"/>
  <c r="T12"/>
  <c r="Y12"/>
  <c r="I14" i="3"/>
  <c r="J14" s="1"/>
  <c r="AD15" i="1"/>
  <c r="I17" i="3"/>
  <c r="J17" s="1"/>
  <c r="AD16" i="1"/>
  <c r="I18" i="3"/>
  <c r="J18" s="1"/>
  <c r="AD17" i="1"/>
  <c r="I19" i="3"/>
  <c r="J19" s="1"/>
  <c r="I16"/>
  <c r="J16" s="1"/>
  <c r="AD14" i="1"/>
  <c r="S28"/>
  <c r="T28" s="1"/>
  <c r="I24" i="3"/>
  <c r="J24" s="1"/>
  <c r="AD22" i="1"/>
  <c r="I26" i="3"/>
  <c r="J26" s="1"/>
  <c r="AD25" i="1"/>
  <c r="AD23"/>
  <c r="I25" i="3"/>
  <c r="J25" s="1"/>
  <c r="AD18" i="1"/>
  <c r="I20" i="3"/>
  <c r="J20" s="1"/>
  <c r="AD19" i="1"/>
  <c r="I21" i="3"/>
  <c r="J21" s="1"/>
  <c r="I23"/>
  <c r="J23" s="1"/>
  <c r="AD21" i="1"/>
  <c r="L14" i="3"/>
  <c r="AC12" i="2"/>
  <c r="AD12" s="1"/>
  <c r="AC23"/>
  <c r="AD23" s="1"/>
  <c r="AC24"/>
  <c r="AD24" s="1"/>
  <c r="AC19"/>
  <c r="AD19" s="1"/>
  <c r="AC21"/>
  <c r="AD21" s="1"/>
  <c r="AC22"/>
  <c r="AD22" s="1"/>
  <c r="AC25"/>
  <c r="AD25" s="1"/>
  <c r="O18"/>
  <c r="AC26" i="1"/>
  <c r="AD26" s="1"/>
  <c r="S18" i="2"/>
  <c r="T18" s="1"/>
  <c r="X28" i="1"/>
  <c r="Y28" s="1"/>
  <c r="AI18" l="1"/>
  <c r="AJ18" s="1"/>
  <c r="AJ16" s="1"/>
  <c r="I27" i="3"/>
  <c r="J27" s="1"/>
  <c r="O24"/>
  <c r="O21"/>
  <c r="O25"/>
  <c r="O14"/>
  <c r="O26"/>
  <c r="O23"/>
  <c r="M14"/>
  <c r="N14" s="1"/>
  <c r="AC18" i="2"/>
  <c r="AD18" s="1"/>
  <c r="AC28" i="1"/>
  <c r="AD28" s="1"/>
  <c r="AJ15" l="1"/>
  <c r="P23" i="3"/>
  <c r="P25"/>
  <c r="P26"/>
  <c r="P21"/>
  <c r="P14"/>
  <c r="P24"/>
  <c r="I31"/>
  <c r="J31" s="1"/>
  <c r="O20"/>
  <c r="P20" l="1"/>
  <c r="N17" i="2"/>
  <c r="AK17" i="1"/>
  <c r="O17" i="2" l="1"/>
  <c r="AM17" i="1" s="1"/>
  <c r="N36" i="2"/>
  <c r="X17"/>
  <c r="L17"/>
  <c r="L19" i="3" s="1"/>
  <c r="M19" s="1"/>
  <c r="N19" s="1"/>
  <c r="S17" i="2"/>
  <c r="AK14" i="1"/>
  <c r="AJ14" s="1"/>
  <c r="Y17" i="2" l="1"/>
  <c r="T17"/>
  <c r="AC17"/>
  <c r="AD17" l="1"/>
  <c r="O19" i="3"/>
  <c r="P19" l="1"/>
  <c r="AN16" i="1"/>
  <c r="AO16"/>
  <c r="N16" i="2" s="1"/>
  <c r="N35" s="1"/>
  <c r="AN15" i="1"/>
  <c r="AN14" s="1"/>
  <c r="AL14" s="1"/>
  <c r="AO14" s="1"/>
  <c r="N14" i="2" l="1"/>
  <c r="AL15" i="1"/>
  <c r="AO15" s="1"/>
  <c r="N15" i="2" s="1"/>
  <c r="L16"/>
  <c r="L18" i="3" s="1"/>
  <c r="M18" s="1"/>
  <c r="N18" s="1"/>
  <c r="O16" i="2"/>
  <c r="AM16" i="1" s="1"/>
  <c r="X16" i="2"/>
  <c r="S16"/>
  <c r="T16" l="1"/>
  <c r="AC16"/>
  <c r="AO18" i="1"/>
  <c r="L15" i="2"/>
  <c r="L17" i="3" s="1"/>
  <c r="M17" s="1"/>
  <c r="N17" s="1"/>
  <c r="X15" i="2"/>
  <c r="S15"/>
  <c r="N34"/>
  <c r="O15"/>
  <c r="AM15" i="1" s="1"/>
  <c r="N26" i="2"/>
  <c r="N33"/>
  <c r="S14"/>
  <c r="O14"/>
  <c r="AM14" i="1" s="1"/>
  <c r="X14" i="2"/>
  <c r="L14"/>
  <c r="Y16"/>
  <c r="Y14" l="1"/>
  <c r="X26"/>
  <c r="N28"/>
  <c r="O28" s="1"/>
  <c r="O26"/>
  <c r="Y15"/>
  <c r="AC14"/>
  <c r="S26"/>
  <c r="T14"/>
  <c r="L26"/>
  <c r="L28" s="1"/>
  <c r="L16" i="3"/>
  <c r="T15" i="2"/>
  <c r="AC15"/>
  <c r="AD16"/>
  <c r="O18" i="3"/>
  <c r="P18" s="1"/>
  <c r="N45" i="2"/>
  <c r="O17" i="3" l="1"/>
  <c r="P17" s="1"/>
  <c r="AD15" i="2"/>
  <c r="T26"/>
  <c r="S28"/>
  <c r="T28" s="1"/>
  <c r="M16" i="3"/>
  <c r="L27"/>
  <c r="L31" s="1"/>
  <c r="AD14" i="2"/>
  <c r="AC26"/>
  <c r="O16" i="3"/>
  <c r="Y26" i="2"/>
  <c r="X28"/>
  <c r="Y28" s="1"/>
  <c r="N16" i="3" l="1"/>
  <c r="M27"/>
  <c r="O27"/>
  <c r="P16"/>
  <c r="AD26" i="2"/>
  <c r="AC28"/>
  <c r="AD28" s="1"/>
  <c r="M31" i="3" l="1"/>
  <c r="N31" s="1"/>
  <c r="N27"/>
  <c r="P27"/>
  <c r="O31"/>
  <c r="P31" s="1"/>
</calcChain>
</file>

<file path=xl/sharedStrings.xml><?xml version="1.0" encoding="utf-8"?>
<sst xmlns="http://schemas.openxmlformats.org/spreadsheetml/2006/main" count="390" uniqueCount="119">
  <si>
    <t>Derivation of Kroger Recommended Rate Spread</t>
  </si>
  <si>
    <t>at LG&amp;E's Requested Revenue Increase</t>
  </si>
  <si>
    <t>Line</t>
  </si>
  <si>
    <t>No.</t>
  </si>
  <si>
    <t>Total Revenue</t>
  </si>
  <si>
    <t>At Current Rates</t>
  </si>
  <si>
    <t>Residential Service</t>
  </si>
  <si>
    <t>Residential Time-of-Day Service</t>
  </si>
  <si>
    <t>General Service</t>
  </si>
  <si>
    <t>Power Service-Secondary</t>
  </si>
  <si>
    <t>Power Service-Primary</t>
  </si>
  <si>
    <t>Time-of-Day Secondary Service</t>
  </si>
  <si>
    <t>Time-of-Day Primary Service</t>
  </si>
  <si>
    <t>Retail Transmission Service</t>
  </si>
  <si>
    <t>Fluctuating Load Service</t>
  </si>
  <si>
    <t>Lighting Energy Service</t>
  </si>
  <si>
    <t>Traffic Energy Service</t>
  </si>
  <si>
    <t>Lighting Service &amp; Restricted Lighting Service</t>
  </si>
  <si>
    <t>Curtailable Service Riders</t>
  </si>
  <si>
    <t>Special Contracts</t>
  </si>
  <si>
    <t>Sales to Ultimate Consumers</t>
  </si>
  <si>
    <t>Change in</t>
  </si>
  <si>
    <t>Other Operating Revenue</t>
  </si>
  <si>
    <t>Total</t>
  </si>
  <si>
    <t>Percent Change</t>
  </si>
  <si>
    <t>in Total Revenue</t>
  </si>
  <si>
    <t>LG&amp;E As-Filed</t>
  </si>
  <si>
    <t>Rate Class</t>
  </si>
  <si>
    <t>Revenue</t>
  </si>
  <si>
    <t>Total Billings</t>
  </si>
  <si>
    <t>Net of ECR</t>
  </si>
  <si>
    <t>Fuel Adjustment</t>
  </si>
  <si>
    <t>Clause</t>
  </si>
  <si>
    <t>Billings</t>
  </si>
  <si>
    <t>DSM</t>
  </si>
  <si>
    <t>ECR</t>
  </si>
  <si>
    <t>OSS Adjustment</t>
  </si>
  <si>
    <t>Add</t>
  </si>
  <si>
    <t>Base ECR</t>
  </si>
  <si>
    <t>Revenues</t>
  </si>
  <si>
    <t>Residential</t>
  </si>
  <si>
    <t>Check</t>
  </si>
  <si>
    <t>Operating</t>
  </si>
  <si>
    <t>Other</t>
  </si>
  <si>
    <t>ECR Revenue</t>
  </si>
  <si>
    <t>Total Pro Forma</t>
  </si>
  <si>
    <t>Rate PS Primary</t>
  </si>
  <si>
    <t>Rate PS Secondary</t>
  </si>
  <si>
    <t>BIP COS Model:</t>
  </si>
  <si>
    <t>Rate TOD Secondary</t>
  </si>
  <si>
    <t>Rate TOD Primary</t>
  </si>
  <si>
    <t>Rate RTS Transmission</t>
  </si>
  <si>
    <t>Special Contract</t>
  </si>
  <si>
    <t>Street Lighting Rate RLS, LS, DSK</t>
  </si>
  <si>
    <t>Street Lighting Rate TLE</t>
  </si>
  <si>
    <t>Street Lighting Rate LE</t>
  </si>
  <si>
    <t>of Off-system</t>
  </si>
  <si>
    <t>Pro Forma</t>
  </si>
  <si>
    <t>Removal</t>
  </si>
  <si>
    <t>Current</t>
  </si>
  <si>
    <t>Proposed</t>
  </si>
  <si>
    <t>LG&amp;E</t>
  </si>
  <si>
    <t>Required</t>
  </si>
  <si>
    <t>Change</t>
  </si>
  <si>
    <t>@ Cost</t>
  </si>
  <si>
    <t>BIP COS Model</t>
  </si>
  <si>
    <t>Percent</t>
  </si>
  <si>
    <t>Subsidy</t>
  </si>
  <si>
    <t>Paid/</t>
  </si>
  <si>
    <t>(Received)</t>
  </si>
  <si>
    <t>LOLP COS Model</t>
  </si>
  <si>
    <t>Kroger Recommended</t>
  </si>
  <si>
    <t>Kroger</t>
  </si>
  <si>
    <t>Recommended</t>
  </si>
  <si>
    <t>Rates</t>
  </si>
  <si>
    <t>at Proposed</t>
  </si>
  <si>
    <t>at Current</t>
  </si>
  <si>
    <t>Avg. of COS Models</t>
  </si>
  <si>
    <t>Equalized</t>
  </si>
  <si>
    <t>Change from LG&amp;E Increase:</t>
  </si>
  <si>
    <t>Kroger Spread Analysis</t>
  </si>
  <si>
    <t>Sub-Total</t>
  </si>
  <si>
    <r>
      <t>LG&amp;E Proposed Spread</t>
    </r>
    <r>
      <rPr>
        <b/>
        <vertAlign val="superscript"/>
        <sz val="11"/>
        <color theme="1"/>
        <rFont val="Times New Roman"/>
        <family val="1"/>
      </rPr>
      <t>1</t>
    </r>
  </si>
  <si>
    <r>
      <t>Other Revenue Items</t>
    </r>
    <r>
      <rPr>
        <vertAlign val="superscript"/>
        <sz val="11"/>
        <color theme="1"/>
        <rFont val="Times New Roman"/>
        <family val="1"/>
      </rPr>
      <t>2</t>
    </r>
  </si>
  <si>
    <t>2.  Kroger is neither supporting nor opposing the revenue changes to the other revenue items.</t>
  </si>
  <si>
    <t>3.  The subsidy is based on a calculation that uses an average of the BIP and LOLP cost of service model results.</t>
  </si>
  <si>
    <r>
      <t>(Received)</t>
    </r>
    <r>
      <rPr>
        <b/>
        <vertAlign val="superscript"/>
        <sz val="11"/>
        <color theme="1"/>
        <rFont val="Times New Roman"/>
        <family val="1"/>
      </rPr>
      <t>3</t>
    </r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</si>
  <si>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</si>
  <si>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</si>
  <si>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</si>
  <si>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</si>
  <si>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</si>
  <si>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</si>
  <si>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</si>
  <si>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</si>
  <si>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</si>
  <si>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</si>
  <si>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</si>
  <si>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</si>
  <si>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r>
      <t>Rates</t>
    </r>
    <r>
      <rPr>
        <b/>
        <vertAlign val="superscript"/>
        <sz val="11"/>
        <color theme="1"/>
        <rFont val="Times New Roman"/>
        <family val="1"/>
      </rPr>
      <t>1</t>
    </r>
  </si>
  <si>
    <t>Comparison of LG&amp;E's and Kroger's Recommended Rate Spread</t>
  </si>
  <si>
    <t>1.  Data Source:  LG&amp;E Schedule M-2.1-E, p. 1 of 1.</t>
  </si>
  <si>
    <t>Notes:</t>
  </si>
  <si>
    <t>% Above COS</t>
  </si>
  <si>
    <t xml:space="preserve">of Prop. </t>
  </si>
  <si>
    <t xml:space="preserve">Equalized </t>
  </si>
  <si>
    <t xml:space="preserve">% Above </t>
  </si>
  <si>
    <t>COS</t>
  </si>
  <si>
    <t>Total Rev</t>
  </si>
  <si>
    <t>Equalized Sub.</t>
  </si>
  <si>
    <t xml:space="preserve">Respread for </t>
  </si>
  <si>
    <t>$0 Floor</t>
  </si>
  <si>
    <t xml:space="preserve">Total </t>
  </si>
  <si>
    <t xml:space="preserve">COS At </t>
  </si>
  <si>
    <t>Equalized ROR</t>
  </si>
  <si>
    <r>
      <t>(Received)</t>
    </r>
    <r>
      <rPr>
        <b/>
        <vertAlign val="superscript"/>
        <sz val="11"/>
        <color theme="1"/>
        <rFont val="Times New Roman"/>
        <family val="1"/>
      </rPr>
      <t>4</t>
    </r>
  </si>
  <si>
    <t xml:space="preserve">4.  The percent subsidy is calculated by divided the Proposed Subsidy (Column [f] or [k]) by the Total Revenue at Proposed Rates (Column [c] or [h]). </t>
  </si>
  <si>
    <t>% Change in Total Revenue</t>
  </si>
  <si>
    <t>Total Revenue for % Change &lt;= System Avg. + 2.5%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</si>
</sst>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37" fontId="0" fillId="0" borderId="0" xfId="0" applyNumberFormat="1"/>
    <xf numFmtId="37" fontId="0" fillId="0" borderId="1" xfId="0" applyNumberFormat="1" applyBorder="1"/>
    <xf numFmtId="0" fontId="0" fillId="0" borderId="0" xfId="0" applyAlignment="1">
      <alignment horizontal="left" indent="1"/>
    </xf>
    <xf numFmtId="10" fontId="0" fillId="0" borderId="0" xfId="1" applyNumberFormat="1" applyFon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2" xfId="0" applyNumberFormat="1" applyFont="1" applyBorder="1"/>
    <xf numFmtId="10" fontId="3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7" fontId="0" fillId="0" borderId="0" xfId="0" applyNumberFormat="1" applyBorder="1"/>
    <xf numFmtId="37" fontId="3" fillId="0" borderId="0" xfId="0" applyNumberFormat="1" applyFont="1" applyBorder="1"/>
    <xf numFmtId="0" fontId="0" fillId="0" borderId="0" xfId="0" applyBorder="1"/>
    <xf numFmtId="0" fontId="2" fillId="0" borderId="0" xfId="0" applyFont="1"/>
    <xf numFmtId="37" fontId="2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37" fontId="0" fillId="2" borderId="0" xfId="0" applyNumberFormat="1" applyFill="1"/>
    <xf numFmtId="37" fontId="0" fillId="2" borderId="0" xfId="0" applyNumberFormat="1" applyFill="1" applyBorder="1"/>
    <xf numFmtId="10" fontId="0" fillId="2" borderId="0" xfId="1" applyNumberFormat="1" applyFont="1" applyFill="1" applyAlignment="1">
      <alignment horizontal="center"/>
    </xf>
    <xf numFmtId="0" fontId="0" fillId="2" borderId="0" xfId="0" applyFill="1"/>
    <xf numFmtId="0" fontId="3" fillId="0" borderId="1" xfId="0" quotePrefix="1" applyFont="1" applyBorder="1" applyAlignment="1">
      <alignment horizontal="center"/>
    </xf>
    <xf numFmtId="10" fontId="0" fillId="0" borderId="0" xfId="1" applyNumberFormat="1" applyFont="1"/>
    <xf numFmtId="10" fontId="0" fillId="0" borderId="1" xfId="1" applyNumberFormat="1" applyFont="1" applyBorder="1"/>
    <xf numFmtId="10" fontId="3" fillId="0" borderId="2" xfId="1" applyNumberFormat="1" applyFont="1" applyBorder="1"/>
    <xf numFmtId="10" fontId="0" fillId="2" borderId="0" xfId="1" applyNumberFormat="1" applyFont="1" applyFill="1"/>
    <xf numFmtId="164" fontId="0" fillId="0" borderId="0" xfId="2" applyNumberFormat="1" applyFont="1"/>
    <xf numFmtId="37" fontId="0" fillId="3" borderId="0" xfId="0" applyNumberFormat="1" applyFill="1"/>
    <xf numFmtId="0" fontId="0" fillId="0" borderId="0" xfId="0" applyAlignment="1">
      <alignment horizontal="right"/>
    </xf>
    <xf numFmtId="0" fontId="0" fillId="3" borderId="0" xfId="0" applyFill="1" applyAlignment="1">
      <alignment horizontal="left" indent="1"/>
    </xf>
    <xf numFmtId="37" fontId="0" fillId="3" borderId="0" xfId="0" applyNumberFormat="1" applyFill="1" applyBorder="1"/>
    <xf numFmtId="10" fontId="0" fillId="3" borderId="0" xfId="1" applyNumberFormat="1" applyFont="1" applyFill="1" applyAlignment="1">
      <alignment horizontal="center"/>
    </xf>
    <xf numFmtId="0" fontId="0" fillId="3" borderId="0" xfId="0" applyFill="1"/>
    <xf numFmtId="10" fontId="0" fillId="3" borderId="0" xfId="1" applyNumberFormat="1" applyFont="1" applyFill="1"/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left" indent="1"/>
    </xf>
    <xf numFmtId="37" fontId="0" fillId="4" borderId="0" xfId="0" applyNumberFormat="1" applyFill="1"/>
    <xf numFmtId="37" fontId="0" fillId="4" borderId="0" xfId="0" applyNumberFormat="1" applyFill="1" applyBorder="1"/>
    <xf numFmtId="10" fontId="0" fillId="4" borderId="0" xfId="1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0" fontId="0" fillId="4" borderId="0" xfId="0" applyNumberFormat="1" applyFill="1" applyAlignment="1">
      <alignment horizontal="center"/>
    </xf>
    <xf numFmtId="37" fontId="0" fillId="4" borderId="1" xfId="0" applyNumberFormat="1" applyFill="1" applyBorder="1"/>
    <xf numFmtId="10" fontId="0" fillId="4" borderId="1" xfId="0" applyNumberForma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Border="1"/>
    <xf numFmtId="37" fontId="3" fillId="4" borderId="0" xfId="0" applyNumberFormat="1" applyFont="1" applyFill="1" applyBorder="1"/>
    <xf numFmtId="37" fontId="3" fillId="4" borderId="1" xfId="0" applyNumberFormat="1" applyFont="1" applyFill="1" applyBorder="1"/>
    <xf numFmtId="0" fontId="3" fillId="4" borderId="0" xfId="0" applyFont="1" applyFill="1" applyAlignment="1">
      <alignment horizontal="left"/>
    </xf>
    <xf numFmtId="37" fontId="3" fillId="4" borderId="2" xfId="0" applyNumberFormat="1" applyFont="1" applyFill="1" applyBorder="1"/>
    <xf numFmtId="10" fontId="3" fillId="4" borderId="2" xfId="0" applyNumberFormat="1" applyFont="1" applyFill="1" applyBorder="1" applyAlignment="1">
      <alignment horizontal="center"/>
    </xf>
    <xf numFmtId="37" fontId="3" fillId="4" borderId="10" xfId="0" applyNumberFormat="1" applyFont="1" applyFill="1" applyBorder="1"/>
    <xf numFmtId="10" fontId="3" fillId="4" borderId="2" xfId="1" applyNumberFormat="1" applyFont="1" applyFill="1" applyBorder="1" applyAlignment="1">
      <alignment horizontal="center"/>
    </xf>
    <xf numFmtId="0" fontId="0" fillId="4" borderId="0" xfId="0" applyFill="1"/>
    <xf numFmtId="10" fontId="0" fillId="0" borderId="0" xfId="1" applyNumberFormat="1" applyFont="1" applyFill="1"/>
    <xf numFmtId="10" fontId="0" fillId="0" borderId="1" xfId="1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0" xfId="1" applyNumberFormat="1" applyFont="1" applyBorder="1"/>
    <xf numFmtId="10" fontId="0" fillId="2" borderId="0" xfId="1" applyNumberFormat="1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0" fillId="4" borderId="0" xfId="1" applyNumberFormat="1" applyFont="1" applyFill="1"/>
    <xf numFmtId="10" fontId="3" fillId="4" borderId="2" xfId="1" applyNumberFormat="1" applyFont="1" applyFill="1" applyBorder="1"/>
    <xf numFmtId="0" fontId="0" fillId="0" borderId="0" xfId="0" applyBorder="1" applyAlignment="1"/>
    <xf numFmtId="165" fontId="0" fillId="3" borderId="0" xfId="1" applyNumberFormat="1" applyFont="1" applyFill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37" fontId="0" fillId="3" borderId="1" xfId="0" applyNumberFormat="1" applyFill="1" applyBorder="1"/>
    <xf numFmtId="10" fontId="0" fillId="3" borderId="1" xfId="1" applyNumberFormat="1" applyFont="1" applyFill="1" applyBorder="1"/>
    <xf numFmtId="164" fontId="0" fillId="3" borderId="1" xfId="2" applyNumberFormat="1" applyFont="1" applyFill="1" applyBorder="1"/>
    <xf numFmtId="164" fontId="0" fillId="3" borderId="0" xfId="2" applyNumberFormat="1" applyFont="1" applyFill="1"/>
    <xf numFmtId="0" fontId="0" fillId="0" borderId="0" xfId="0" applyBorder="1" applyAlignment="1">
      <alignment horizontal="center" vertical="center" wrapText="1"/>
    </xf>
    <xf numFmtId="0" fontId="0" fillId="0" borderId="0" xfId="0" applyFill="1"/>
    <xf numFmtId="0" fontId="7" fillId="4" borderId="0" xfId="0" applyFont="1" applyFill="1" applyAlignment="1">
      <alignment horizontal="center"/>
    </xf>
    <xf numFmtId="37" fontId="0" fillId="4" borderId="0" xfId="0" applyNumberFormat="1" applyFill="1" applyBorder="1" applyAlignment="1">
      <alignment vertical="center"/>
    </xf>
    <xf numFmtId="0" fontId="0" fillId="4" borderId="0" xfId="0" applyFill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0" fontId="0" fillId="4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7" fontId="0" fillId="0" borderId="6" xfId="0" applyNumberFormat="1" applyBorder="1" applyAlignment="1">
      <alignment vertical="center"/>
    </xf>
    <xf numFmtId="37" fontId="0" fillId="0" borderId="0" xfId="0" applyNumberFormat="1" applyBorder="1" applyAlignment="1">
      <alignment vertical="center"/>
    </xf>
    <xf numFmtId="10" fontId="0" fillId="0" borderId="6" xfId="1" applyNumberFormat="1" applyFont="1" applyBorder="1" applyAlignment="1">
      <alignment vertical="center"/>
    </xf>
    <xf numFmtId="10" fontId="0" fillId="0" borderId="0" xfId="1" applyNumberFormat="1" applyFont="1" applyAlignment="1">
      <alignment vertical="center"/>
    </xf>
    <xf numFmtId="37" fontId="0" fillId="0" borderId="0" xfId="0" applyNumberFormat="1" applyAlignment="1">
      <alignment vertical="center"/>
    </xf>
    <xf numFmtId="10" fontId="0" fillId="0" borderId="6" xfId="1" applyNumberFormat="1" applyFont="1" applyFill="1" applyBorder="1" applyAlignment="1">
      <alignment vertical="center"/>
    </xf>
    <xf numFmtId="10" fontId="0" fillId="0" borderId="0" xfId="1" applyNumberFormat="1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7" fontId="4" fillId="3" borderId="0" xfId="0" applyNumberFormat="1" applyFont="1" applyFill="1"/>
    <xf numFmtId="10" fontId="0" fillId="4" borderId="0" xfId="0" applyNumberFormat="1" applyFill="1"/>
    <xf numFmtId="10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roger%20-%20Kentucky/KU-LG&amp;E%202016%20Rate%20Case/Discovery%20Responses/LG&amp;E%20Responses/Staff/Set%201/Att_LGE_PSC_1-53_ElecScheduleM_Forecas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roger%20-%20Kentucky/KU-LG&amp;E%202016%20Rate%20Case/Neal's%20Analysis/Spread/Att_LGE_PSC_1-53_LGEElecCossA%20(Kroger%20W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roger%20-%20Kentucky/KU-LG&amp;E%202016%20Rate%20Case/Neal's%20Analysis/Spread/Att_LGE_PSC_1-53_LGEElecCossB%20(Kroger%20WP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roger%20-%20Kentucky/KU-LG&amp;E%202016%20Rate%20Case/Discovery%20Responses/LG&amp;E%20Responses/Staff/Set%201/Att_LGE_PSC_1-53_LGEElecCos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s==&gt;"/>
      <sheetName val="Index"/>
      <sheetName val="Sch M-2.1"/>
      <sheetName val="Sch M-2.2"/>
      <sheetName val="Sch M-2.3 (1)"/>
      <sheetName val="Sch M-2.3 (2)"/>
      <sheetName val="Sch M-2.3 (3)"/>
      <sheetName val="Summary"/>
      <sheetName val="Rate Summary"/>
      <sheetName val="Data==&gt;"/>
      <sheetName val="ECR in Base Rates"/>
      <sheetName val="12MonResults"/>
      <sheetName val="12MonLights"/>
      <sheetName val="12MonPoles"/>
      <sheetName val="Forecast Sources ==&gt;"/>
      <sheetName val="FinForecast"/>
      <sheetName val="Customers"/>
      <sheetName val="Cal_Energy"/>
      <sheetName val="Billing Demand"/>
      <sheetName val="1055 Lights Forecast"/>
      <sheetName val="Lights Load Forecast"/>
      <sheetName val="Forecasted ODL Base ECR"/>
      <sheetName val="1051 Poles Forecast"/>
      <sheetName val="Power Factor"/>
      <sheetName val="12ME PF"/>
      <sheetName val="Rates"/>
      <sheetName val="LightingRates"/>
      <sheetName val="PoleRates"/>
      <sheetName val="1051"/>
      <sheetName val="MiscData"/>
      <sheetName val="Rate Design Sources ==&gt;"/>
      <sheetName val="SpecContr Cust#1"/>
      <sheetName val="Pvt_Tbl"/>
    </sheetNames>
    <sheetDataSet>
      <sheetData sheetId="0"/>
      <sheetData sheetId="1"/>
      <sheetData sheetId="2">
        <row r="7">
          <cell r="B7">
            <v>441462416</v>
          </cell>
          <cell r="C7">
            <v>483588845</v>
          </cell>
        </row>
        <row r="8">
          <cell r="B8">
            <v>55652</v>
          </cell>
          <cell r="C8">
            <v>60958</v>
          </cell>
        </row>
        <row r="9">
          <cell r="B9">
            <v>170461520</v>
          </cell>
          <cell r="C9">
            <v>182642225</v>
          </cell>
        </row>
        <row r="10">
          <cell r="B10">
            <v>164895598</v>
          </cell>
          <cell r="C10">
            <v>176526765</v>
          </cell>
        </row>
        <row r="11">
          <cell r="B11">
            <v>12536325</v>
          </cell>
          <cell r="C11">
            <v>13570842</v>
          </cell>
        </row>
        <row r="12">
          <cell r="B12">
            <v>84439205</v>
          </cell>
          <cell r="C12">
            <v>90137293</v>
          </cell>
        </row>
        <row r="13">
          <cell r="B13">
            <v>126370424</v>
          </cell>
          <cell r="C13">
            <v>136755655</v>
          </cell>
        </row>
        <row r="14">
          <cell r="B14">
            <v>68895503</v>
          </cell>
          <cell r="C14">
            <v>74719968</v>
          </cell>
        </row>
        <row r="15">
          <cell r="B15">
            <v>0</v>
          </cell>
          <cell r="C15">
            <v>0</v>
          </cell>
        </row>
        <row r="16">
          <cell r="B16">
            <v>244537</v>
          </cell>
          <cell r="C16">
            <v>244537</v>
          </cell>
        </row>
        <row r="17">
          <cell r="B17">
            <v>304220</v>
          </cell>
          <cell r="C17">
            <v>324800</v>
          </cell>
        </row>
        <row r="18">
          <cell r="B18">
            <v>23389325</v>
          </cell>
          <cell r="C18">
            <v>25309553</v>
          </cell>
        </row>
        <row r="19">
          <cell r="B19">
            <v>-4334522</v>
          </cell>
          <cell r="C19">
            <v>-2414251</v>
          </cell>
        </row>
        <row r="20">
          <cell r="B20">
            <v>10274768</v>
          </cell>
          <cell r="C20">
            <v>11167899</v>
          </cell>
        </row>
        <row r="23">
          <cell r="B23">
            <v>2623527</v>
          </cell>
          <cell r="C23">
            <v>2623527</v>
          </cell>
        </row>
        <row r="24">
          <cell r="B24">
            <v>1599304</v>
          </cell>
          <cell r="C24">
            <v>1599304</v>
          </cell>
        </row>
        <row r="25">
          <cell r="B25">
            <v>3785840</v>
          </cell>
          <cell r="C25">
            <v>3763449</v>
          </cell>
        </row>
        <row r="26">
          <cell r="B26">
            <v>13775652</v>
          </cell>
          <cell r="C26">
            <v>13775652</v>
          </cell>
        </row>
      </sheetData>
      <sheetData sheetId="3"/>
      <sheetData sheetId="4">
        <row r="13">
          <cell r="O13">
            <v>379152166</v>
          </cell>
          <cell r="P13">
            <v>-15239054</v>
          </cell>
          <cell r="Q13">
            <v>13769784</v>
          </cell>
          <cell r="R13">
            <v>35275380</v>
          </cell>
          <cell r="S13">
            <v>-376364</v>
          </cell>
          <cell r="T13">
            <v>28880504</v>
          </cell>
        </row>
        <row r="15">
          <cell r="O15">
            <v>47907</v>
          </cell>
          <cell r="P15">
            <v>-2074</v>
          </cell>
          <cell r="Q15">
            <v>1674</v>
          </cell>
          <cell r="R15">
            <v>4288</v>
          </cell>
          <cell r="S15">
            <v>-52</v>
          </cell>
          <cell r="T15">
            <v>3909</v>
          </cell>
        </row>
        <row r="17">
          <cell r="O17">
            <v>135825835</v>
          </cell>
          <cell r="P17">
            <v>-4998752</v>
          </cell>
          <cell r="Q17">
            <v>3788000</v>
          </cell>
          <cell r="R17">
            <v>24161686</v>
          </cell>
          <cell r="S17">
            <v>-119564</v>
          </cell>
          <cell r="T17">
            <v>11804315</v>
          </cell>
        </row>
        <row r="20">
          <cell r="O20">
            <v>151571213</v>
          </cell>
          <cell r="P20">
            <v>-6930881</v>
          </cell>
          <cell r="Q20">
            <v>907454</v>
          </cell>
          <cell r="R20">
            <v>7160930</v>
          </cell>
          <cell r="S20">
            <v>-164831</v>
          </cell>
          <cell r="T20">
            <v>12351713</v>
          </cell>
        </row>
        <row r="21">
          <cell r="O21">
            <v>11517853</v>
          </cell>
          <cell r="P21">
            <v>-612937</v>
          </cell>
          <cell r="Q21">
            <v>77465</v>
          </cell>
          <cell r="R21">
            <v>574599</v>
          </cell>
          <cell r="S21">
            <v>-14604</v>
          </cell>
          <cell r="T21">
            <v>993949</v>
          </cell>
        </row>
        <row r="24">
          <cell r="O24">
            <v>77629237</v>
          </cell>
          <cell r="P24">
            <v>-3996175</v>
          </cell>
          <cell r="Q24">
            <v>439027</v>
          </cell>
          <cell r="R24">
            <v>4320114</v>
          </cell>
          <cell r="S24">
            <v>-95641</v>
          </cell>
          <cell r="T24">
            <v>6142643</v>
          </cell>
        </row>
        <row r="26">
          <cell r="O26">
            <v>116918595</v>
          </cell>
          <cell r="P26">
            <v>-6855082</v>
          </cell>
          <cell r="Q26">
            <v>259281</v>
          </cell>
          <cell r="R26">
            <v>8034362</v>
          </cell>
          <cell r="S26">
            <v>-163331</v>
          </cell>
          <cell r="T26">
            <v>8176599</v>
          </cell>
        </row>
        <row r="28">
          <cell r="O28">
            <v>64284636</v>
          </cell>
          <cell r="P28">
            <v>-4273319</v>
          </cell>
          <cell r="Q28">
            <v>0</v>
          </cell>
          <cell r="R28">
            <v>4904122</v>
          </cell>
          <cell r="S28">
            <v>-98827</v>
          </cell>
          <cell r="T28">
            <v>4078891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8">
          <cell r="O38">
            <v>-4334522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40">
          <cell r="O40">
            <v>6341748</v>
          </cell>
          <cell r="P40">
            <v>-407615</v>
          </cell>
          <cell r="Q40">
            <v>0</v>
          </cell>
          <cell r="R40">
            <v>430555</v>
          </cell>
          <cell r="S40">
            <v>-10376</v>
          </cell>
          <cell r="T40">
            <v>400475</v>
          </cell>
        </row>
        <row r="41">
          <cell r="O41">
            <v>3292762</v>
          </cell>
          <cell r="P41">
            <v>-217213</v>
          </cell>
          <cell r="Q41">
            <v>0</v>
          </cell>
          <cell r="R41">
            <v>224247</v>
          </cell>
          <cell r="S41">
            <v>-5341</v>
          </cell>
          <cell r="T41">
            <v>225526</v>
          </cell>
        </row>
        <row r="43">
          <cell r="O43">
            <v>210819</v>
          </cell>
          <cell r="P43">
            <v>-12636</v>
          </cell>
          <cell r="Q43">
            <v>0</v>
          </cell>
          <cell r="R43">
            <v>27467</v>
          </cell>
          <cell r="S43">
            <v>-321</v>
          </cell>
          <cell r="T43">
            <v>19208</v>
          </cell>
        </row>
        <row r="44">
          <cell r="O44">
            <v>270128</v>
          </cell>
          <cell r="P44">
            <v>-11637</v>
          </cell>
          <cell r="Q44">
            <v>0</v>
          </cell>
          <cell r="R44">
            <v>28013</v>
          </cell>
          <cell r="S44">
            <v>-283</v>
          </cell>
          <cell r="T44">
            <v>17999</v>
          </cell>
        </row>
        <row r="48">
          <cell r="O48">
            <v>18141167.299999997</v>
          </cell>
          <cell r="P48">
            <v>-387056</v>
          </cell>
          <cell r="Q48">
            <v>0</v>
          </cell>
          <cell r="R48">
            <v>4280816</v>
          </cell>
          <cell r="S48">
            <v>-9736</v>
          </cell>
          <cell r="T48">
            <v>1364133.6999999997</v>
          </cell>
        </row>
        <row r="53">
          <cell r="O53">
            <v>2623527</v>
          </cell>
        </row>
        <row r="54">
          <cell r="O54">
            <v>1599304</v>
          </cell>
        </row>
        <row r="55">
          <cell r="O55">
            <v>3785840</v>
          </cell>
        </row>
        <row r="56">
          <cell r="O56">
            <v>13775652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Assignment"/>
      <sheetName val="Allocation"/>
      <sheetName val="Summary of Returns"/>
      <sheetName val="Billing Det"/>
      <sheetName val="Meters"/>
      <sheetName val="RS"/>
      <sheetName val="Services"/>
    </sheetNames>
    <sheetDataSet>
      <sheetData sheetId="0"/>
      <sheetData sheetId="1">
        <row r="964">
          <cell r="G964">
            <v>87174229.077447191</v>
          </cell>
          <cell r="H964">
            <v>-325767.54843283398</v>
          </cell>
          <cell r="J964">
            <v>284178.53549553693</v>
          </cell>
          <cell r="K964">
            <v>-7442955.341189744</v>
          </cell>
          <cell r="N964">
            <v>10654568.356106328</v>
          </cell>
          <cell r="O964">
            <v>-10903597.552298291</v>
          </cell>
          <cell r="P964">
            <v>7838139.9950658679</v>
          </cell>
          <cell r="Q964">
            <v>1377488.3556797297</v>
          </cell>
          <cell r="R964">
            <v>556204.38297406572</v>
          </cell>
          <cell r="S964">
            <v>2512696.5639958186</v>
          </cell>
          <cell r="T964">
            <v>-3324.477977715334</v>
          </cell>
          <cell r="U964">
            <v>-2013.3182989951047</v>
          </cell>
        </row>
        <row r="965">
          <cell r="F965">
            <v>1920271</v>
          </cell>
        </row>
        <row r="966">
          <cell r="F966">
            <v>-22391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Assignment"/>
      <sheetName val="Allocation"/>
      <sheetName val="Summary of Returns"/>
      <sheetName val="Billing Det"/>
      <sheetName val="Meters"/>
      <sheetName val="Services"/>
    </sheetNames>
    <sheetDataSet>
      <sheetData sheetId="0"/>
      <sheetData sheetId="1">
        <row r="964">
          <cell r="G964">
            <v>104962913.64278305</v>
          </cell>
          <cell r="H964">
            <v>-6168569.5971917985</v>
          </cell>
          <cell r="J964">
            <v>83220.412921078416</v>
          </cell>
          <cell r="K964">
            <v>-10927368.547577027</v>
          </cell>
          <cell r="N964">
            <v>6922593.8652986661</v>
          </cell>
          <cell r="O964">
            <v>-10866811.425184982</v>
          </cell>
          <cell r="P964">
            <v>4472160.5473788055</v>
          </cell>
          <cell r="Q964">
            <v>1195741.2239449741</v>
          </cell>
          <cell r="R964">
            <v>448847.55504429276</v>
          </cell>
          <cell r="S964">
            <v>1648278.204136742</v>
          </cell>
          <cell r="T964">
            <v>-31519.652783508973</v>
          </cell>
          <cell r="U964">
            <v>-19639.200203292807</v>
          </cell>
        </row>
        <row r="965">
          <cell r="F965">
            <v>1920271</v>
          </cell>
        </row>
        <row r="966">
          <cell r="F966">
            <v>-22391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Assignment"/>
      <sheetName val="Allocation"/>
      <sheetName val="Summary of Returns"/>
      <sheetName val="Billing Det"/>
      <sheetName val="Meters"/>
      <sheetName val="RS"/>
      <sheetName val="Services"/>
    </sheetNames>
    <sheetDataSet>
      <sheetData sheetId="0"/>
      <sheetData sheetId="1">
        <row r="697">
          <cell r="G697">
            <v>379200073</v>
          </cell>
          <cell r="H697">
            <v>135825835</v>
          </cell>
          <cell r="J697">
            <v>11517853</v>
          </cell>
          <cell r="K697">
            <v>151571212</v>
          </cell>
          <cell r="N697">
            <v>116918595</v>
          </cell>
          <cell r="O697">
            <v>77629237</v>
          </cell>
          <cell r="P697">
            <v>64284636.000000007</v>
          </cell>
          <cell r="Q697">
            <v>6341748</v>
          </cell>
          <cell r="R697">
            <v>3292762</v>
          </cell>
          <cell r="S697">
            <v>18141167.300000001</v>
          </cell>
          <cell r="T697">
            <v>210819</v>
          </cell>
          <cell r="U697">
            <v>270128</v>
          </cell>
        </row>
        <row r="699">
          <cell r="G699">
            <v>15545979.971223349</v>
          </cell>
          <cell r="H699">
            <v>5051886.9375175666</v>
          </cell>
          <cell r="J699">
            <v>601688.19675814186</v>
          </cell>
          <cell r="K699">
            <v>6971339.727557797</v>
          </cell>
          <cell r="N699">
            <v>6729278.1617034627</v>
          </cell>
          <cell r="O699">
            <v>2959628.1337464256</v>
          </cell>
          <cell r="P699">
            <v>4097615.1350165531</v>
          </cell>
          <cell r="Q699">
            <v>399948.02857112564</v>
          </cell>
          <cell r="R699">
            <v>211291.05228267645</v>
          </cell>
          <cell r="S699">
            <v>378490.38509035693</v>
          </cell>
          <cell r="T699">
            <v>12337.496126540351</v>
          </cell>
          <cell r="U699">
            <v>11561.474405968587</v>
          </cell>
        </row>
        <row r="700">
          <cell r="G700">
            <v>0</v>
          </cell>
          <cell r="H700">
            <v>0</v>
          </cell>
          <cell r="J700">
            <v>0</v>
          </cell>
          <cell r="K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</row>
        <row r="701">
          <cell r="G701">
            <v>0</v>
          </cell>
          <cell r="H701">
            <v>0</v>
          </cell>
          <cell r="J701">
            <v>0</v>
          </cell>
          <cell r="K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</row>
        <row r="702">
          <cell r="G702">
            <v>0</v>
          </cell>
          <cell r="H702">
            <v>0</v>
          </cell>
          <cell r="J702">
            <v>0</v>
          </cell>
          <cell r="K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</row>
        <row r="703">
          <cell r="G703">
            <v>-1781296.7047978356</v>
          </cell>
          <cell r="H703">
            <v>-608997.19787395257</v>
          </cell>
          <cell r="J703">
            <v>-48659.080216153132</v>
          </cell>
          <cell r="K703">
            <v>-669784.91710334783</v>
          </cell>
          <cell r="N703">
            <v>-520505.80020643398</v>
          </cell>
          <cell r="O703">
            <v>-350227.79249608587</v>
          </cell>
          <cell r="P703">
            <v>-306518.76954155817</v>
          </cell>
          <cell r="Q703">
            <v>-34337.040661335901</v>
          </cell>
          <cell r="R703">
            <v>-13426.980047327623</v>
          </cell>
          <cell r="S703">
            <v>0</v>
          </cell>
          <cell r="T703">
            <v>0</v>
          </cell>
          <cell r="U703">
            <v>-767.71705596950017</v>
          </cell>
        </row>
        <row r="704">
          <cell r="G704">
            <v>2068557.0073810685</v>
          </cell>
          <cell r="H704">
            <v>375660.48751128826</v>
          </cell>
          <cell r="J704">
            <v>4867.1788868687199</v>
          </cell>
          <cell r="K704">
            <v>83926.923741793464</v>
          </cell>
          <cell r="N704">
            <v>29247.034106126437</v>
          </cell>
          <cell r="O704">
            <v>50539.800277713934</v>
          </cell>
          <cell r="P704">
            <v>10394.647592420743</v>
          </cell>
          <cell r="Q704">
            <v>0</v>
          </cell>
          <cell r="R704">
            <v>0</v>
          </cell>
          <cell r="S704">
            <v>333.92050271976024</v>
          </cell>
          <cell r="T704">
            <v>0</v>
          </cell>
          <cell r="U704">
            <v>0</v>
          </cell>
        </row>
        <row r="705">
          <cell r="G705">
            <v>3513478.4570116438</v>
          </cell>
          <cell r="H705">
            <v>227289.94509409383</v>
          </cell>
          <cell r="J705">
            <v>847.59613189445713</v>
          </cell>
          <cell r="K705">
            <v>33246.565867943464</v>
          </cell>
          <cell r="N705">
            <v>100.29966229255481</v>
          </cell>
          <cell r="O705">
            <v>262.3953250497168</v>
          </cell>
          <cell r="P705">
            <v>12.359200092921446</v>
          </cell>
          <cell r="Q705">
            <v>0</v>
          </cell>
          <cell r="R705">
            <v>0</v>
          </cell>
          <cell r="S705">
            <v>751.38170698822182</v>
          </cell>
          <cell r="T705">
            <v>0</v>
          </cell>
          <cell r="U705">
            <v>0</v>
          </cell>
        </row>
        <row r="706">
          <cell r="G706">
            <v>1831351.2689605516</v>
          </cell>
          <cell r="H706">
            <v>480312.823966878</v>
          </cell>
          <cell r="J706">
            <v>35933.508108451198</v>
          </cell>
          <cell r="K706">
            <v>461625.09120032209</v>
          </cell>
          <cell r="N706">
            <v>385105.16064138111</v>
          </cell>
          <cell r="O706">
            <v>228213.26902653184</v>
          </cell>
          <cell r="P706">
            <v>202315.52552754694</v>
          </cell>
          <cell r="Q706">
            <v>24174.294330914599</v>
          </cell>
          <cell r="R706">
            <v>11261.936853589725</v>
          </cell>
          <cell r="S706">
            <v>124302.1398102229</v>
          </cell>
          <cell r="T706">
            <v>490.9051105847094</v>
          </cell>
          <cell r="U706">
            <v>754.07646302512717</v>
          </cell>
        </row>
        <row r="707">
          <cell r="G707">
            <v>5610851.1626040274</v>
          </cell>
          <cell r="H707">
            <v>1471571.1903253838</v>
          </cell>
          <cell r="J707">
            <v>110092.2412668433</v>
          </cell>
          <cell r="K707">
            <v>1414316.1519846632</v>
          </cell>
          <cell r="N707">
            <v>1179876.1793721442</v>
          </cell>
          <cell r="O707">
            <v>699194.47325141425</v>
          </cell>
          <cell r="P707">
            <v>619849.57274929737</v>
          </cell>
          <cell r="Q707">
            <v>74064.637271215863</v>
          </cell>
          <cell r="R707">
            <v>34504.058592758251</v>
          </cell>
          <cell r="S707">
            <v>380833.98717069434</v>
          </cell>
          <cell r="T707">
            <v>1504.0235901962328</v>
          </cell>
          <cell r="U707">
            <v>2310.3218213610808</v>
          </cell>
        </row>
        <row r="708">
          <cell r="G708">
            <v>0</v>
          </cell>
          <cell r="H708">
            <v>0</v>
          </cell>
          <cell r="J708">
            <v>0</v>
          </cell>
          <cell r="K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</row>
        <row r="767">
          <cell r="G767">
            <v>-3297836.5637638657</v>
          </cell>
          <cell r="H767">
            <v>-1848541.9147539535</v>
          </cell>
          <cell r="J767">
            <v>-80618.546479590106</v>
          </cell>
          <cell r="K767">
            <v>-1002889.880727366</v>
          </cell>
          <cell r="N767">
            <v>-833193.57320102572</v>
          </cell>
          <cell r="O767">
            <v>-537753.55392959388</v>
          </cell>
          <cell r="P767">
            <v>-461699.26012290485</v>
          </cell>
          <cell r="Q767">
            <v>-42712.387941544512</v>
          </cell>
          <cell r="R767">
            <v>-23116.949883436577</v>
          </cell>
          <cell r="S767">
            <v>-290133.08100865397</v>
          </cell>
          <cell r="T767">
            <v>-2398.9515506920206</v>
          </cell>
          <cell r="U767">
            <v>-2364.8753883329678</v>
          </cell>
        </row>
        <row r="770">
          <cell r="G770">
            <v>402691157.59861892</v>
          </cell>
          <cell r="H770">
            <v>140975017.27178732</v>
          </cell>
          <cell r="J770">
            <v>12142004.094456457</v>
          </cell>
          <cell r="K770">
            <v>158862991.66252178</v>
          </cell>
          <cell r="N770">
            <v>123888502.46207795</v>
          </cell>
          <cell r="O770">
            <v>80679093.725201458</v>
          </cell>
          <cell r="P770">
            <v>68446605.210421458</v>
          </cell>
          <cell r="Q770">
            <v>6762885.5315703759</v>
          </cell>
          <cell r="R770">
            <v>3513275.1177982604</v>
          </cell>
          <cell r="S770">
            <v>18735746.033272326</v>
          </cell>
          <cell r="T770">
            <v>222752.47327662929</v>
          </cell>
          <cell r="U770">
            <v>281621.28024605225</v>
          </cell>
        </row>
        <row r="964">
          <cell r="G964">
            <v>42131735</v>
          </cell>
          <cell r="H964">
            <v>12180705</v>
          </cell>
          <cell r="J964">
            <v>1034517</v>
          </cell>
          <cell r="K964">
            <v>11631167</v>
          </cell>
          <cell r="N964">
            <v>10385231</v>
          </cell>
          <cell r="O964">
            <v>5698088</v>
          </cell>
          <cell r="P964">
            <v>5824465</v>
          </cell>
          <cell r="Q964">
            <v>604641</v>
          </cell>
          <cell r="R964">
            <v>288490</v>
          </cell>
          <cell r="S964">
            <v>1920228</v>
          </cell>
          <cell r="T964">
            <v>0</v>
          </cell>
          <cell r="U964">
            <v>20580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opLeftCell="A4" zoomScaleNormal="100" workbookViewId="0">
      <selection activeCell="M38" sqref="M38"/>
    </sheetView>
  </sheetViews>
  <sheetFormatPr defaultRowHeight="15"/>
  <cols>
    <col min="1" max="1" width="6.7109375" customWidth="1"/>
    <col min="2" max="2" width="1.7109375" customWidth="1"/>
    <col min="3" max="3" width="41.140625" bestFit="1" customWidth="1"/>
    <col min="4" max="4" width="14.7109375" customWidth="1"/>
    <col min="5" max="5" width="2.7109375" customWidth="1"/>
    <col min="6" max="8" width="14.7109375" customWidth="1"/>
    <col min="9" max="9" width="13.42578125" bestFit="1" customWidth="1"/>
    <col min="10" max="10" width="13.42578125" customWidth="1"/>
    <col min="11" max="11" width="2.7109375" customWidth="1"/>
    <col min="12" max="14" width="14.7109375" customWidth="1"/>
    <col min="15" max="15" width="13.42578125" bestFit="1" customWidth="1"/>
    <col min="16" max="16" width="13.42578125" customWidth="1"/>
    <col min="18" max="18" width="10.28515625" bestFit="1" customWidth="1"/>
    <col min="19" max="19" width="12.85546875" bestFit="1" customWidth="1"/>
  </cols>
  <sheetData>
    <row r="1" spans="1:18" ht="18.75">
      <c r="A1" s="90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8" ht="18.7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8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8" ht="15.75" thickBot="1">
      <c r="A4" s="49"/>
      <c r="B4" s="49"/>
      <c r="C4" s="5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8" ht="18" thickBot="1">
      <c r="A5" s="49"/>
      <c r="B5" s="49"/>
      <c r="C5" s="50"/>
      <c r="D5" s="49"/>
      <c r="E5" s="49"/>
      <c r="F5" s="93" t="s">
        <v>82</v>
      </c>
      <c r="G5" s="94"/>
      <c r="H5" s="94"/>
      <c r="I5" s="94"/>
      <c r="J5" s="95"/>
      <c r="K5" s="49"/>
      <c r="L5" s="93" t="s">
        <v>71</v>
      </c>
      <c r="M5" s="94"/>
      <c r="N5" s="94"/>
      <c r="O5" s="94"/>
      <c r="P5" s="95"/>
    </row>
    <row r="6" spans="1:18">
      <c r="A6" s="49"/>
      <c r="B6" s="49"/>
      <c r="C6" s="50"/>
      <c r="D6" s="49"/>
      <c r="E6" s="49"/>
      <c r="F6" s="51"/>
      <c r="G6" s="51"/>
      <c r="H6" s="51"/>
      <c r="I6" s="51"/>
      <c r="J6" s="51"/>
      <c r="K6" s="49"/>
      <c r="L6" s="51"/>
      <c r="M6" s="51"/>
      <c r="N6" s="51"/>
      <c r="O6" s="51"/>
      <c r="P6" s="51"/>
    </row>
    <row r="7" spans="1:18">
      <c r="A7" s="51"/>
      <c r="B7" s="50"/>
      <c r="C7" s="51" t="s">
        <v>87</v>
      </c>
      <c r="D7" s="51" t="s">
        <v>88</v>
      </c>
      <c r="E7" s="51"/>
      <c r="F7" s="51" t="s">
        <v>89</v>
      </c>
      <c r="G7" s="51" t="s">
        <v>90</v>
      </c>
      <c r="H7" s="51" t="s">
        <v>91</v>
      </c>
      <c r="I7" s="51" t="s">
        <v>92</v>
      </c>
      <c r="J7" s="51" t="s">
        <v>93</v>
      </c>
      <c r="K7" s="51"/>
      <c r="L7" s="51" t="s">
        <v>94</v>
      </c>
      <c r="M7" s="51" t="s">
        <v>95</v>
      </c>
      <c r="N7" s="51" t="s">
        <v>96</v>
      </c>
      <c r="O7" s="51" t="s">
        <v>97</v>
      </c>
      <c r="P7" s="51" t="s">
        <v>98</v>
      </c>
    </row>
    <row r="8" spans="1:18">
      <c r="A8" s="49"/>
      <c r="B8" s="49"/>
      <c r="C8" s="50"/>
      <c r="D8" s="49"/>
      <c r="E8" s="49"/>
      <c r="F8" s="51"/>
      <c r="G8" s="51"/>
      <c r="H8" s="51"/>
      <c r="I8" s="52"/>
      <c r="J8" s="52"/>
      <c r="K8" s="49"/>
      <c r="L8" s="51"/>
      <c r="M8" s="51"/>
      <c r="N8" s="51"/>
      <c r="O8" s="52"/>
      <c r="P8" s="52"/>
    </row>
    <row r="9" spans="1:18">
      <c r="A9" s="49"/>
      <c r="B9" s="49"/>
      <c r="C9" s="50"/>
      <c r="D9" s="49"/>
      <c r="E9" s="49"/>
      <c r="F9" s="52"/>
      <c r="G9" s="52"/>
      <c r="H9" s="52" t="s">
        <v>60</v>
      </c>
      <c r="I9" s="52"/>
      <c r="J9" s="52"/>
      <c r="K9" s="49"/>
      <c r="L9" s="52"/>
      <c r="M9" s="52"/>
      <c r="N9" s="52" t="s">
        <v>60</v>
      </c>
      <c r="O9" s="52"/>
      <c r="P9" s="52"/>
    </row>
    <row r="10" spans="1:18">
      <c r="A10" s="49"/>
      <c r="B10" s="49"/>
      <c r="C10" s="49"/>
      <c r="D10" s="49"/>
      <c r="E10" s="49"/>
      <c r="F10" s="52"/>
      <c r="G10" s="52" t="s">
        <v>60</v>
      </c>
      <c r="H10" s="52" t="s">
        <v>66</v>
      </c>
      <c r="I10" s="52" t="s">
        <v>60</v>
      </c>
      <c r="J10" s="52" t="s">
        <v>66</v>
      </c>
      <c r="K10" s="49"/>
      <c r="L10" s="52"/>
      <c r="M10" s="52" t="s">
        <v>60</v>
      </c>
      <c r="N10" s="52" t="s">
        <v>66</v>
      </c>
      <c r="O10" s="52" t="s">
        <v>60</v>
      </c>
      <c r="P10" s="52" t="s">
        <v>66</v>
      </c>
    </row>
    <row r="11" spans="1:18">
      <c r="A11" s="49"/>
      <c r="B11" s="49"/>
      <c r="C11" s="49"/>
      <c r="D11" s="52" t="s">
        <v>4</v>
      </c>
      <c r="E11" s="49"/>
      <c r="F11" s="52" t="s">
        <v>4</v>
      </c>
      <c r="G11" s="52" t="s">
        <v>21</v>
      </c>
      <c r="H11" s="52" t="s">
        <v>21</v>
      </c>
      <c r="I11" s="51" t="s">
        <v>67</v>
      </c>
      <c r="J11" s="51" t="s">
        <v>67</v>
      </c>
      <c r="K11" s="49"/>
      <c r="L11" s="52" t="s">
        <v>4</v>
      </c>
      <c r="M11" s="52" t="s">
        <v>21</v>
      </c>
      <c r="N11" s="52" t="s">
        <v>21</v>
      </c>
      <c r="O11" s="51" t="s">
        <v>67</v>
      </c>
      <c r="P11" s="51" t="s">
        <v>67</v>
      </c>
    </row>
    <row r="12" spans="1:18">
      <c r="A12" s="52" t="s">
        <v>2</v>
      </c>
      <c r="B12" s="50"/>
      <c r="C12" s="50"/>
      <c r="D12" s="52" t="s">
        <v>76</v>
      </c>
      <c r="E12" s="51"/>
      <c r="F12" s="52" t="s">
        <v>75</v>
      </c>
      <c r="G12" s="52" t="s">
        <v>23</v>
      </c>
      <c r="H12" s="52" t="s">
        <v>23</v>
      </c>
      <c r="I12" s="51" t="s">
        <v>68</v>
      </c>
      <c r="J12" s="51" t="s">
        <v>68</v>
      </c>
      <c r="K12" s="51"/>
      <c r="L12" s="52" t="s">
        <v>75</v>
      </c>
      <c r="M12" s="52" t="s">
        <v>23</v>
      </c>
      <c r="N12" s="52" t="s">
        <v>23</v>
      </c>
      <c r="O12" s="51" t="s">
        <v>68</v>
      </c>
      <c r="P12" s="51" t="s">
        <v>68</v>
      </c>
    </row>
    <row r="13" spans="1:18" ht="17.25">
      <c r="A13" s="53" t="s">
        <v>3</v>
      </c>
      <c r="B13" s="50"/>
      <c r="C13" s="54" t="s">
        <v>27</v>
      </c>
      <c r="D13" s="53" t="s">
        <v>99</v>
      </c>
      <c r="E13" s="51"/>
      <c r="F13" s="53" t="s">
        <v>74</v>
      </c>
      <c r="G13" s="53" t="s">
        <v>28</v>
      </c>
      <c r="H13" s="53" t="s">
        <v>28</v>
      </c>
      <c r="I13" s="53" t="s">
        <v>86</v>
      </c>
      <c r="J13" s="53" t="s">
        <v>115</v>
      </c>
      <c r="K13" s="51"/>
      <c r="L13" s="53" t="s">
        <v>74</v>
      </c>
      <c r="M13" s="53" t="s">
        <v>28</v>
      </c>
      <c r="N13" s="53" t="s">
        <v>28</v>
      </c>
      <c r="O13" s="53" t="s">
        <v>86</v>
      </c>
      <c r="P13" s="53" t="s">
        <v>115</v>
      </c>
    </row>
    <row r="14" spans="1:18">
      <c r="A14" s="52">
        <v>1</v>
      </c>
      <c r="B14" s="49"/>
      <c r="C14" s="45" t="s">
        <v>6</v>
      </c>
      <c r="D14" s="46">
        <f>+'[1]Sch M-2.1'!B7</f>
        <v>441462416</v>
      </c>
      <c r="E14" s="47"/>
      <c r="F14" s="46">
        <f>+'LG&amp;E'!L12</f>
        <v>483588845</v>
      </c>
      <c r="G14" s="46">
        <f>+F14-D14</f>
        <v>42126429</v>
      </c>
      <c r="H14" s="55">
        <f>+G14/D14</f>
        <v>9.542472353977241E-2</v>
      </c>
      <c r="I14" s="91">
        <f>+SUM('LG&amp;E'!AC12:AC13)</f>
        <v>-53936836.360115118</v>
      </c>
      <c r="J14" s="96">
        <f>I14/(F14+F15)</f>
        <v>-0.11152043487985276</v>
      </c>
      <c r="K14" s="47"/>
      <c r="L14" s="46">
        <f>+Kroger!L12</f>
        <v>483588845</v>
      </c>
      <c r="M14" s="46">
        <f>+L14-D14</f>
        <v>42126429</v>
      </c>
      <c r="N14" s="55">
        <f>+M14/D14</f>
        <v>9.542472353977241E-2</v>
      </c>
      <c r="O14" s="91">
        <f>+SUM(Kroger!AC12)</f>
        <v>-53936836.360115118</v>
      </c>
      <c r="P14" s="96">
        <f>+O14/(L14+L15)</f>
        <v>-0.11152043487985276</v>
      </c>
      <c r="R14" s="1"/>
    </row>
    <row r="15" spans="1:18">
      <c r="A15" s="52">
        <v>2</v>
      </c>
      <c r="B15" s="49"/>
      <c r="C15" s="45" t="s">
        <v>7</v>
      </c>
      <c r="D15" s="46">
        <f>+'[1]Sch M-2.1'!B8</f>
        <v>55652</v>
      </c>
      <c r="E15" s="47"/>
      <c r="F15" s="46">
        <f>+'LG&amp;E'!L13</f>
        <v>60958</v>
      </c>
      <c r="G15" s="46">
        <f t="shared" ref="G15:G26" si="0">+F15-D15</f>
        <v>5306</v>
      </c>
      <c r="H15" s="55">
        <f t="shared" ref="H15:H31" si="1">+G15/D15</f>
        <v>9.5342485445267022E-2</v>
      </c>
      <c r="I15" s="92"/>
      <c r="J15" s="96"/>
      <c r="K15" s="47"/>
      <c r="L15" s="46">
        <f>+Kroger!L13</f>
        <v>60958</v>
      </c>
      <c r="M15" s="46">
        <f t="shared" ref="M15:M26" si="2">+L15-D15</f>
        <v>5306</v>
      </c>
      <c r="N15" s="55">
        <f t="shared" ref="N15:N26" si="3">+M15/D15</f>
        <v>9.5342485445267022E-2</v>
      </c>
      <c r="O15" s="92"/>
      <c r="P15" s="96"/>
      <c r="R15" s="1"/>
    </row>
    <row r="16" spans="1:18">
      <c r="A16" s="52">
        <v>3</v>
      </c>
      <c r="B16" s="49"/>
      <c r="C16" s="45" t="s">
        <v>8</v>
      </c>
      <c r="D16" s="46">
        <f>+'[1]Sch M-2.1'!B9</f>
        <v>170461520</v>
      </c>
      <c r="E16" s="47"/>
      <c r="F16" s="46">
        <f>+'LG&amp;E'!L14</f>
        <v>182642225</v>
      </c>
      <c r="G16" s="46">
        <f t="shared" si="0"/>
        <v>12180705</v>
      </c>
      <c r="H16" s="55">
        <f t="shared" si="1"/>
        <v>7.1457212161430916E-2</v>
      </c>
      <c r="I16" s="46">
        <f>+'LG&amp;E'!AC14</f>
        <v>15427873.572812317</v>
      </c>
      <c r="J16" s="48">
        <f>+I16/F16</f>
        <v>8.4470464443872809E-2</v>
      </c>
      <c r="K16" s="47"/>
      <c r="L16" s="46">
        <f>+Kroger!L14</f>
        <v>188766338.92801395</v>
      </c>
      <c r="M16" s="46">
        <f t="shared" si="2"/>
        <v>18304818.928013951</v>
      </c>
      <c r="N16" s="55">
        <f t="shared" si="3"/>
        <v>0.10738387718245121</v>
      </c>
      <c r="O16" s="46">
        <f>+Kroger!AC14</f>
        <v>21551987.500826269</v>
      </c>
      <c r="P16" s="48">
        <f>+O16/L16</f>
        <v>0.11417283199546038</v>
      </c>
      <c r="R16" s="1"/>
    </row>
    <row r="17" spans="1:19">
      <c r="A17" s="52">
        <v>4</v>
      </c>
      <c r="B17" s="49"/>
      <c r="C17" s="45" t="s">
        <v>9</v>
      </c>
      <c r="D17" s="46">
        <f>+'[1]Sch M-2.1'!B10</f>
        <v>164895598</v>
      </c>
      <c r="E17" s="47"/>
      <c r="F17" s="46">
        <f>+'LG&amp;E'!L15</f>
        <v>176526765</v>
      </c>
      <c r="G17" s="46">
        <f t="shared" si="0"/>
        <v>11631167</v>
      </c>
      <c r="H17" s="55">
        <f t="shared" si="1"/>
        <v>7.053655246758013E-2</v>
      </c>
      <c r="I17" s="46">
        <f>+'LG&amp;E'!AC15</f>
        <v>20816328.944383383</v>
      </c>
      <c r="J17" s="48">
        <f t="shared" ref="J17:J27" si="4">+I17/F17</f>
        <v>0.11792165876026439</v>
      </c>
      <c r="K17" s="47"/>
      <c r="L17" s="46">
        <f>+Kroger!L15</f>
        <v>175779702.49702099</v>
      </c>
      <c r="M17" s="46">
        <f t="shared" si="2"/>
        <v>10884104.49702099</v>
      </c>
      <c r="N17" s="55">
        <f t="shared" si="3"/>
        <v>6.6006034297052554E-2</v>
      </c>
      <c r="O17" s="46">
        <f>+Kroger!AC15</f>
        <v>20069266.441404372</v>
      </c>
      <c r="P17" s="48">
        <f t="shared" ref="P17:P27" si="5">+O17/L17</f>
        <v>0.11417283199546031</v>
      </c>
      <c r="R17" s="1"/>
    </row>
    <row r="18" spans="1:19">
      <c r="A18" s="52">
        <v>5</v>
      </c>
      <c r="B18" s="49"/>
      <c r="C18" s="45" t="s">
        <v>10</v>
      </c>
      <c r="D18" s="46">
        <f>+'[1]Sch M-2.1'!B11</f>
        <v>12536325</v>
      </c>
      <c r="E18" s="47"/>
      <c r="F18" s="46">
        <f>+'LG&amp;E'!L16</f>
        <v>13570842</v>
      </c>
      <c r="G18" s="46">
        <f t="shared" si="0"/>
        <v>1034517</v>
      </c>
      <c r="H18" s="55">
        <f t="shared" si="1"/>
        <v>8.2521552368816226E-2</v>
      </c>
      <c r="I18" s="46">
        <f>+'LG&amp;E'!AC16</f>
        <v>850817.52579169231</v>
      </c>
      <c r="J18" s="48">
        <f t="shared" si="4"/>
        <v>6.2694527413383216E-2</v>
      </c>
      <c r="K18" s="47"/>
      <c r="L18" s="46">
        <f>+Kroger!L16</f>
        <v>13891878.574965121</v>
      </c>
      <c r="M18" s="46">
        <f t="shared" si="2"/>
        <v>1355553.5749651212</v>
      </c>
      <c r="N18" s="55">
        <f t="shared" si="3"/>
        <v>0.10813006004272553</v>
      </c>
      <c r="O18" s="46">
        <f>+Kroger!AC16</f>
        <v>1171854.1007568135</v>
      </c>
      <c r="P18" s="48">
        <f t="shared" si="5"/>
        <v>8.4355337144152637E-2</v>
      </c>
      <c r="R18" s="1"/>
    </row>
    <row r="19" spans="1:19">
      <c r="A19" s="52">
        <v>6</v>
      </c>
      <c r="B19" s="49"/>
      <c r="C19" s="45" t="s">
        <v>11</v>
      </c>
      <c r="D19" s="46">
        <f>+'[1]Sch M-2.1'!B12</f>
        <v>84439205</v>
      </c>
      <c r="E19" s="47"/>
      <c r="F19" s="46">
        <f>+'LG&amp;E'!L17</f>
        <v>90137293</v>
      </c>
      <c r="G19" s="46">
        <f t="shared" si="0"/>
        <v>5698088</v>
      </c>
      <c r="H19" s="55">
        <f t="shared" si="1"/>
        <v>6.7481544858220777E-2</v>
      </c>
      <c r="I19" s="46">
        <f>+'LG&amp;E'!AC17</f>
        <v>16583292.488741636</v>
      </c>
      <c r="J19" s="48">
        <f t="shared" si="4"/>
        <v>0.1839781508497447</v>
      </c>
      <c r="K19" s="47"/>
      <c r="L19" s="46">
        <f>+Kroger!L17</f>
        <v>84439205</v>
      </c>
      <c r="M19" s="46">
        <f t="shared" si="2"/>
        <v>0</v>
      </c>
      <c r="N19" s="55">
        <f t="shared" si="3"/>
        <v>0</v>
      </c>
      <c r="O19" s="46">
        <f>+Kroger!AC17</f>
        <v>10885204.488741636</v>
      </c>
      <c r="P19" s="48">
        <f t="shared" si="5"/>
        <v>0.12891173583102347</v>
      </c>
      <c r="R19" s="1"/>
      <c r="S19" s="34"/>
    </row>
    <row r="20" spans="1:19">
      <c r="A20" s="52">
        <v>7</v>
      </c>
      <c r="B20" s="49"/>
      <c r="C20" s="45" t="s">
        <v>12</v>
      </c>
      <c r="D20" s="46">
        <f>+'[1]Sch M-2.1'!B13</f>
        <v>126370424</v>
      </c>
      <c r="E20" s="47"/>
      <c r="F20" s="46">
        <f>+'LG&amp;E'!L18</f>
        <v>136755655</v>
      </c>
      <c r="G20" s="46">
        <f t="shared" si="0"/>
        <v>10385231</v>
      </c>
      <c r="H20" s="55">
        <f t="shared" si="1"/>
        <v>8.2180866940827865E-2</v>
      </c>
      <c r="I20" s="46">
        <f>+'LG&amp;E'!AC18</f>
        <v>1596649.889297503</v>
      </c>
      <c r="J20" s="48">
        <f t="shared" si="4"/>
        <v>1.1675201945378442E-2</v>
      </c>
      <c r="K20" s="47"/>
      <c r="L20" s="46">
        <f>+Kroger!L18</f>
        <v>136755655</v>
      </c>
      <c r="M20" s="46">
        <f t="shared" si="2"/>
        <v>10385231</v>
      </c>
      <c r="N20" s="55">
        <f t="shared" si="3"/>
        <v>8.2180866940827865E-2</v>
      </c>
      <c r="O20" s="46">
        <f>+Kroger!AC18</f>
        <v>1596649.889297503</v>
      </c>
      <c r="P20" s="48">
        <f t="shared" si="5"/>
        <v>1.1675201945378442E-2</v>
      </c>
      <c r="R20" s="1"/>
      <c r="S20" s="34"/>
    </row>
    <row r="21" spans="1:19">
      <c r="A21" s="52">
        <v>8</v>
      </c>
      <c r="B21" s="49"/>
      <c r="C21" s="45" t="s">
        <v>13</v>
      </c>
      <c r="D21" s="46">
        <f>+'[1]Sch M-2.1'!B14</f>
        <v>68895503</v>
      </c>
      <c r="E21" s="47"/>
      <c r="F21" s="46">
        <f>+'LG&amp;E'!L19</f>
        <v>74719968</v>
      </c>
      <c r="G21" s="46">
        <f t="shared" si="0"/>
        <v>5824465</v>
      </c>
      <c r="H21" s="55">
        <f t="shared" si="1"/>
        <v>8.4540568634791743E-2</v>
      </c>
      <c r="I21" s="46">
        <f>+'LG&amp;E'!AC19</f>
        <v>-330685.27122233668</v>
      </c>
      <c r="J21" s="48">
        <f t="shared" si="4"/>
        <v>-4.4256613067920033E-3</v>
      </c>
      <c r="K21" s="47"/>
      <c r="L21" s="46">
        <f>+Kroger!L19</f>
        <v>74719968</v>
      </c>
      <c r="M21" s="46">
        <f t="shared" si="2"/>
        <v>5824465</v>
      </c>
      <c r="N21" s="55">
        <f t="shared" si="3"/>
        <v>8.4540568634791743E-2</v>
      </c>
      <c r="O21" s="46">
        <f>+Kroger!AC19</f>
        <v>-330685.27122233668</v>
      </c>
      <c r="P21" s="48">
        <f t="shared" si="5"/>
        <v>-4.4256613067920033E-3</v>
      </c>
      <c r="R21" s="1"/>
    </row>
    <row r="22" spans="1:19">
      <c r="A22" s="52">
        <v>9</v>
      </c>
      <c r="B22" s="49"/>
      <c r="C22" s="45" t="s">
        <v>14</v>
      </c>
      <c r="D22" s="46">
        <f>+'[1]Sch M-2.1'!B15</f>
        <v>0</v>
      </c>
      <c r="E22" s="47"/>
      <c r="F22" s="46">
        <f>+'LG&amp;E'!L20</f>
        <v>0</v>
      </c>
      <c r="G22" s="46">
        <f t="shared" si="0"/>
        <v>0</v>
      </c>
      <c r="H22" s="55">
        <v>0</v>
      </c>
      <c r="I22" s="46">
        <f>+'LG&amp;E'!AC20</f>
        <v>0</v>
      </c>
      <c r="J22" s="48">
        <v>0</v>
      </c>
      <c r="K22" s="47"/>
      <c r="L22" s="46">
        <f>+Kroger!L20</f>
        <v>0</v>
      </c>
      <c r="M22" s="46">
        <f t="shared" si="2"/>
        <v>0</v>
      </c>
      <c r="N22" s="55">
        <v>0</v>
      </c>
      <c r="O22" s="46">
        <f>+Kroger!AC20</f>
        <v>0</v>
      </c>
      <c r="P22" s="48">
        <v>0</v>
      </c>
      <c r="R22" s="1"/>
    </row>
    <row r="23" spans="1:19">
      <c r="A23" s="52">
        <v>10</v>
      </c>
      <c r="B23" s="49"/>
      <c r="C23" s="45" t="s">
        <v>15</v>
      </c>
      <c r="D23" s="46">
        <f>+'[1]Sch M-2.1'!B16</f>
        <v>244537</v>
      </c>
      <c r="E23" s="47"/>
      <c r="F23" s="46">
        <f>+'LG&amp;E'!L21</f>
        <v>244537</v>
      </c>
      <c r="G23" s="46">
        <f t="shared" si="0"/>
        <v>0</v>
      </c>
      <c r="H23" s="55">
        <f t="shared" si="1"/>
        <v>0</v>
      </c>
      <c r="I23" s="46">
        <f>+'LG&amp;E'!AC21</f>
        <v>17422.065380612152</v>
      </c>
      <c r="J23" s="48">
        <f t="shared" si="4"/>
        <v>7.1245109658710754E-2</v>
      </c>
      <c r="K23" s="47"/>
      <c r="L23" s="46">
        <f>+Kroger!L21</f>
        <v>244537</v>
      </c>
      <c r="M23" s="46">
        <f t="shared" si="2"/>
        <v>0</v>
      </c>
      <c r="N23" s="55">
        <f t="shared" si="3"/>
        <v>0</v>
      </c>
      <c r="O23" s="46">
        <f>+Kroger!AC21</f>
        <v>17422.065380612152</v>
      </c>
      <c r="P23" s="48">
        <f t="shared" si="5"/>
        <v>7.1245109658710754E-2</v>
      </c>
      <c r="R23" s="1"/>
    </row>
    <row r="24" spans="1:19">
      <c r="A24" s="52">
        <v>11</v>
      </c>
      <c r="B24" s="49"/>
      <c r="C24" s="45" t="s">
        <v>16</v>
      </c>
      <c r="D24" s="46">
        <f>+'[1]Sch M-2.1'!B17</f>
        <v>304220</v>
      </c>
      <c r="E24" s="47"/>
      <c r="F24" s="46">
        <f>+'LG&amp;E'!L22</f>
        <v>324800</v>
      </c>
      <c r="G24" s="46">
        <f t="shared" si="0"/>
        <v>20580</v>
      </c>
      <c r="H24" s="55">
        <f t="shared" si="1"/>
        <v>6.7648412333179933E-2</v>
      </c>
      <c r="I24" s="46">
        <f>+'LG&amp;E'!AC22</f>
        <v>31406.259251143958</v>
      </c>
      <c r="J24" s="48">
        <f t="shared" si="4"/>
        <v>9.6694147940714154E-2</v>
      </c>
      <c r="K24" s="47"/>
      <c r="L24" s="46">
        <f>+Kroger!L22</f>
        <v>324800</v>
      </c>
      <c r="M24" s="46">
        <f t="shared" si="2"/>
        <v>20580</v>
      </c>
      <c r="N24" s="55">
        <f t="shared" si="3"/>
        <v>6.7648412333179933E-2</v>
      </c>
      <c r="O24" s="46">
        <f>+Kroger!AC22</f>
        <v>31406.259251143958</v>
      </c>
      <c r="P24" s="48">
        <f t="shared" si="5"/>
        <v>9.6694147940714154E-2</v>
      </c>
      <c r="R24" s="1"/>
    </row>
    <row r="25" spans="1:19">
      <c r="A25" s="52">
        <v>12</v>
      </c>
      <c r="B25" s="49"/>
      <c r="C25" s="45" t="s">
        <v>17</v>
      </c>
      <c r="D25" s="46">
        <f>+'[1]Sch M-2.1'!B18</f>
        <v>23389325</v>
      </c>
      <c r="E25" s="47"/>
      <c r="F25" s="46">
        <f>+'LG&amp;E'!L23</f>
        <v>25309553</v>
      </c>
      <c r="G25" s="46">
        <f t="shared" si="0"/>
        <v>1920228</v>
      </c>
      <c r="H25" s="55">
        <f t="shared" si="1"/>
        <v>8.2098478686323778E-2</v>
      </c>
      <c r="I25" s="46">
        <f>+'LG&amp;E'!AC23</f>
        <v>-160259.38406628033</v>
      </c>
      <c r="J25" s="48">
        <f t="shared" si="4"/>
        <v>-6.3319721239754939E-3</v>
      </c>
      <c r="K25" s="47"/>
      <c r="L25" s="46">
        <f>+Kroger!L23</f>
        <v>25309553</v>
      </c>
      <c r="M25" s="46">
        <f t="shared" si="2"/>
        <v>1920228</v>
      </c>
      <c r="N25" s="55">
        <f t="shared" si="3"/>
        <v>8.2098478686323778E-2</v>
      </c>
      <c r="O25" s="46">
        <f>+Kroger!AC23</f>
        <v>-160259.38406628033</v>
      </c>
      <c r="P25" s="48">
        <f t="shared" si="5"/>
        <v>-6.3319721239754939E-3</v>
      </c>
      <c r="R25" s="1"/>
    </row>
    <row r="26" spans="1:19">
      <c r="A26" s="52">
        <v>13</v>
      </c>
      <c r="B26" s="49"/>
      <c r="C26" s="45" t="s">
        <v>19</v>
      </c>
      <c r="D26" s="56">
        <f>+'[1]Sch M-2.1'!B20</f>
        <v>10274768</v>
      </c>
      <c r="E26" s="47"/>
      <c r="F26" s="56">
        <f>+'LG&amp;E'!L25</f>
        <v>11167899</v>
      </c>
      <c r="G26" s="56">
        <f t="shared" si="0"/>
        <v>893131</v>
      </c>
      <c r="H26" s="57">
        <f t="shared" si="1"/>
        <v>8.6924687739908094E-2</v>
      </c>
      <c r="I26" s="56">
        <f>+'LG&amp;E'!AC25</f>
        <v>-896009.75882153108</v>
      </c>
      <c r="J26" s="58">
        <f t="shared" si="4"/>
        <v>-8.0230825764231128E-2</v>
      </c>
      <c r="K26" s="47"/>
      <c r="L26" s="56">
        <f>+Kroger!L25</f>
        <v>11167899</v>
      </c>
      <c r="M26" s="56">
        <f t="shared" si="2"/>
        <v>893131</v>
      </c>
      <c r="N26" s="57">
        <f t="shared" si="3"/>
        <v>8.6924687739908094E-2</v>
      </c>
      <c r="O26" s="56">
        <f>+Kroger!AC25</f>
        <v>-896009.75882153108</v>
      </c>
      <c r="P26" s="58">
        <f t="shared" si="5"/>
        <v>-8.0230825764231128E-2</v>
      </c>
      <c r="R26" s="1"/>
    </row>
    <row r="27" spans="1:19">
      <c r="A27" s="52">
        <v>14</v>
      </c>
      <c r="B27" s="49"/>
      <c r="C27" s="49" t="s">
        <v>81</v>
      </c>
      <c r="D27" s="46">
        <f>SUM(D14:D26)</f>
        <v>1103329493</v>
      </c>
      <c r="E27" s="47"/>
      <c r="F27" s="46">
        <f>SUM(F14:F26)</f>
        <v>1195049340</v>
      </c>
      <c r="G27" s="46">
        <f>SUM(G14:G26)</f>
        <v>91719847</v>
      </c>
      <c r="H27" s="55">
        <f t="shared" si="1"/>
        <v>8.3130060042725606E-2</v>
      </c>
      <c r="I27" s="46">
        <f>SUM(I14:I26)</f>
        <v>-2.856697584502399E-2</v>
      </c>
      <c r="J27" s="48">
        <f t="shared" si="4"/>
        <v>-2.3904432134177816E-11</v>
      </c>
      <c r="K27" s="47"/>
      <c r="L27" s="46">
        <f>SUM(L14:L26)</f>
        <v>1195049340</v>
      </c>
      <c r="M27" s="46">
        <f>SUM(M14:M26)</f>
        <v>91719847.00000006</v>
      </c>
      <c r="N27" s="55">
        <f>+M27/D27</f>
        <v>8.3130060042725662E-2</v>
      </c>
      <c r="O27" s="46">
        <f>SUM(O14:O26)</f>
        <v>-2.8566916240379214E-2</v>
      </c>
      <c r="P27" s="48">
        <f t="shared" si="5"/>
        <v>-2.3904382257873316E-11</v>
      </c>
      <c r="R27" s="1"/>
    </row>
    <row r="28" spans="1:19" ht="18">
      <c r="A28" s="52">
        <v>15</v>
      </c>
      <c r="B28" s="49"/>
      <c r="C28" s="59" t="s">
        <v>83</v>
      </c>
      <c r="D28" s="46"/>
      <c r="E28" s="47"/>
      <c r="F28" s="46"/>
      <c r="G28" s="46"/>
      <c r="H28" s="46"/>
      <c r="I28" s="46"/>
      <c r="J28" s="46"/>
      <c r="K28" s="47"/>
      <c r="L28" s="46"/>
      <c r="M28" s="46"/>
      <c r="N28" s="46"/>
      <c r="O28" s="46"/>
      <c r="P28" s="46"/>
    </row>
    <row r="29" spans="1:19">
      <c r="A29" s="52">
        <v>16</v>
      </c>
      <c r="B29" s="49"/>
      <c r="C29" s="45" t="s">
        <v>18</v>
      </c>
      <c r="D29" s="46">
        <f>+'[1]Sch M-2.1'!B19</f>
        <v>-4334522</v>
      </c>
      <c r="E29" s="47"/>
      <c r="F29" s="46">
        <f>+'LG&amp;E'!L24</f>
        <v>-2414251</v>
      </c>
      <c r="G29" s="46">
        <f t="shared" ref="G29:G30" si="6">+F29-D29</f>
        <v>1920271</v>
      </c>
      <c r="H29" s="55">
        <f t="shared" si="1"/>
        <v>-0.44301793831015279</v>
      </c>
      <c r="I29" s="60"/>
      <c r="J29" s="60"/>
      <c r="K29" s="47"/>
      <c r="L29" s="46">
        <f>+Kroger!L24</f>
        <v>-2414251</v>
      </c>
      <c r="M29" s="46">
        <f t="shared" ref="M29:M30" si="7">+L29-D29</f>
        <v>1920271</v>
      </c>
      <c r="N29" s="55">
        <f t="shared" ref="N29:N30" si="8">+M29/D29</f>
        <v>-0.44301793831015279</v>
      </c>
      <c r="O29" s="60"/>
      <c r="P29" s="60"/>
    </row>
    <row r="30" spans="1:19">
      <c r="A30" s="52">
        <v>17</v>
      </c>
      <c r="B30" s="49"/>
      <c r="C30" s="45" t="s">
        <v>22</v>
      </c>
      <c r="D30" s="46">
        <f>+SUM('[1]Sch M-2.1'!B23:B26)</f>
        <v>21784323</v>
      </c>
      <c r="E30" s="61"/>
      <c r="F30" s="46">
        <f>+'LG&amp;E'!L27</f>
        <v>21761932</v>
      </c>
      <c r="G30" s="46">
        <f t="shared" si="6"/>
        <v>-22391</v>
      </c>
      <c r="H30" s="55">
        <f t="shared" si="1"/>
        <v>-1.0278492473693123E-3</v>
      </c>
      <c r="I30" s="62"/>
      <c r="J30" s="61"/>
      <c r="K30" s="47"/>
      <c r="L30" s="46">
        <f>+Kroger!L27</f>
        <v>21761932</v>
      </c>
      <c r="M30" s="46">
        <f t="shared" si="7"/>
        <v>-22391</v>
      </c>
      <c r="N30" s="55">
        <f t="shared" si="8"/>
        <v>-1.0278492473693123E-3</v>
      </c>
      <c r="O30" s="62"/>
      <c r="P30" s="61"/>
    </row>
    <row r="31" spans="1:19" ht="15.75" thickBot="1">
      <c r="A31" s="52">
        <v>18</v>
      </c>
      <c r="B31" s="49"/>
      <c r="C31" s="63" t="s">
        <v>23</v>
      </c>
      <c r="D31" s="64">
        <f>+D27+D29+D30</f>
        <v>1120779294</v>
      </c>
      <c r="E31" s="50"/>
      <c r="F31" s="64">
        <f>+F27+F29+F30</f>
        <v>1214397021</v>
      </c>
      <c r="G31" s="64">
        <f>+G27+G29+G30</f>
        <v>93617727</v>
      </c>
      <c r="H31" s="65">
        <f t="shared" si="1"/>
        <v>8.3529136825755815E-2</v>
      </c>
      <c r="I31" s="66">
        <f>+I27+I29+I30</f>
        <v>-2.856697584502399E-2</v>
      </c>
      <c r="J31" s="67">
        <f>+I31/F31</f>
        <v>-2.3523588539026882E-11</v>
      </c>
      <c r="K31" s="61"/>
      <c r="L31" s="64">
        <f>+L27+L29+L30</f>
        <v>1214397021</v>
      </c>
      <c r="M31" s="64">
        <f>+M27+M29+M30</f>
        <v>93617727.00000006</v>
      </c>
      <c r="N31" s="65">
        <f>+M31/D31</f>
        <v>8.352913682575587E-2</v>
      </c>
      <c r="O31" s="66">
        <f>+O27+O29+O30</f>
        <v>-2.8566916240379214E-2</v>
      </c>
      <c r="P31" s="67">
        <f>+O31/L31</f>
        <v>-2.3523539457347874E-11</v>
      </c>
    </row>
    <row r="32" spans="1:19" ht="15.75" thickTop="1">
      <c r="A32" s="49"/>
      <c r="B32" s="49"/>
      <c r="C32" s="49"/>
      <c r="D32" s="49"/>
      <c r="E32" s="49"/>
      <c r="F32" s="52"/>
      <c r="G32" s="49"/>
      <c r="H32" s="49"/>
      <c r="I32" s="49"/>
      <c r="J32" s="49"/>
      <c r="K32" s="49"/>
      <c r="L32" s="52"/>
      <c r="M32" s="49"/>
      <c r="N32" s="49"/>
      <c r="O32" s="49"/>
      <c r="P32" s="49"/>
    </row>
    <row r="33" spans="1:16">
      <c r="A33" s="49"/>
      <c r="B33" s="49"/>
      <c r="C33" s="49" t="s">
        <v>102</v>
      </c>
      <c r="D33" s="49"/>
      <c r="E33" s="49"/>
      <c r="F33" s="52"/>
      <c r="G33" s="49"/>
      <c r="H33" s="49"/>
      <c r="I33" s="49"/>
      <c r="J33" s="49"/>
      <c r="K33" s="49"/>
      <c r="L33" s="52"/>
      <c r="M33" s="49"/>
      <c r="N33" s="49"/>
      <c r="O33" s="49"/>
      <c r="P33" s="49"/>
    </row>
    <row r="34" spans="1:16">
      <c r="A34" s="68"/>
      <c r="B34" s="68"/>
      <c r="C34" s="68" t="s">
        <v>101</v>
      </c>
      <c r="D34" s="68"/>
      <c r="E34" s="68"/>
      <c r="F34" s="52"/>
      <c r="G34" s="68"/>
      <c r="H34" s="68"/>
      <c r="I34" s="68"/>
      <c r="J34" s="68"/>
      <c r="K34" s="68"/>
      <c r="L34" s="52"/>
      <c r="M34" s="68"/>
      <c r="N34" s="116"/>
      <c r="O34" s="68"/>
      <c r="P34" s="68"/>
    </row>
    <row r="35" spans="1:16">
      <c r="A35" s="68"/>
      <c r="B35" s="68"/>
      <c r="C35" s="68" t="s">
        <v>84</v>
      </c>
      <c r="D35" s="68"/>
      <c r="E35" s="68"/>
      <c r="F35" s="52"/>
      <c r="G35" s="68"/>
      <c r="H35" s="68"/>
      <c r="I35" s="68"/>
      <c r="J35" s="68"/>
      <c r="K35" s="68"/>
      <c r="L35" s="52"/>
      <c r="M35" s="68"/>
      <c r="N35" s="68"/>
      <c r="O35" s="68"/>
      <c r="P35" s="68"/>
    </row>
    <row r="36" spans="1:16">
      <c r="A36" s="68"/>
      <c r="B36" s="68"/>
      <c r="C36" s="68" t="s">
        <v>85</v>
      </c>
      <c r="D36" s="68"/>
      <c r="E36" s="68"/>
      <c r="F36" s="52"/>
      <c r="G36" s="52"/>
      <c r="H36" s="52"/>
      <c r="I36" s="68"/>
      <c r="J36" s="68"/>
      <c r="K36" s="68"/>
      <c r="L36" s="52"/>
      <c r="M36" s="52"/>
      <c r="N36" s="52"/>
      <c r="O36" s="68"/>
      <c r="P36" s="68"/>
    </row>
    <row r="37" spans="1:16">
      <c r="A37" s="68"/>
      <c r="B37" s="68"/>
      <c r="C37" s="68" t="s">
        <v>116</v>
      </c>
      <c r="D37" s="68"/>
      <c r="E37" s="68"/>
      <c r="F37" s="51"/>
      <c r="G37" s="51"/>
      <c r="H37" s="51"/>
      <c r="I37" s="68"/>
      <c r="J37" s="68"/>
      <c r="K37" s="68"/>
      <c r="L37" s="51"/>
      <c r="M37" s="51"/>
      <c r="N37" s="51"/>
      <c r="O37" s="68"/>
      <c r="P37" s="68"/>
    </row>
    <row r="38" spans="1:16">
      <c r="F38" s="16"/>
      <c r="G38" s="16"/>
      <c r="H38" s="16"/>
      <c r="L38" s="16"/>
      <c r="M38" s="16"/>
      <c r="N38" s="16"/>
    </row>
    <row r="41" spans="1:16">
      <c r="N41" s="117"/>
    </row>
  </sheetData>
  <mergeCells count="8">
    <mergeCell ref="A1:P1"/>
    <mergeCell ref="A2:P2"/>
    <mergeCell ref="I14:I15"/>
    <mergeCell ref="F5:J5"/>
    <mergeCell ref="J14:J15"/>
    <mergeCell ref="L5:P5"/>
    <mergeCell ref="O14:O15"/>
    <mergeCell ref="P14:P15"/>
  </mergeCells>
  <printOptions horizontalCentered="1"/>
  <pageMargins left="1" right="1" top="1.25" bottom="1" header="0.75" footer="0.3"/>
  <pageSetup scale="55" orientation="landscape" r:id="rId1"/>
  <headerFooter scaleWithDoc="0">
    <oddHeader>&amp;R&amp;"Times New Roman,Bold"&amp;8Exhibit NT-2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zoomScaleNormal="100" workbookViewId="0">
      <selection activeCell="H37" sqref="H37"/>
    </sheetView>
  </sheetViews>
  <sheetFormatPr defaultRowHeight="15"/>
  <cols>
    <col min="1" max="1" width="6.7109375" customWidth="1"/>
    <col min="2" max="2" width="1.7109375" customWidth="1"/>
    <col min="3" max="3" width="41.140625" bestFit="1" customWidth="1"/>
    <col min="4" max="4" width="17.5703125" customWidth="1"/>
    <col min="5" max="5" width="16.7109375" customWidth="1"/>
    <col min="6" max="6" width="14.7109375" customWidth="1"/>
    <col min="7" max="7" width="12" customWidth="1"/>
    <col min="8" max="8" width="16.5703125" customWidth="1"/>
    <col min="9" max="9" width="12" customWidth="1"/>
    <col min="10" max="10" width="14.7109375" customWidth="1"/>
    <col min="11" max="11" width="2.7109375" customWidth="1"/>
    <col min="12" max="12" width="15.140625" bestFit="1" customWidth="1"/>
    <col min="13" max="13" width="2.7109375" customWidth="1"/>
    <col min="14" max="14" width="15" bestFit="1" customWidth="1"/>
    <col min="15" max="15" width="17.42578125" bestFit="1" customWidth="1"/>
    <col min="16" max="16" width="2.7109375" customWidth="1"/>
    <col min="17" max="17" width="12" bestFit="1" customWidth="1"/>
    <col min="19" max="20" width="11.28515625" bestFit="1" customWidth="1"/>
    <col min="21" max="21" width="2.7109375" customWidth="1"/>
    <col min="22" max="22" width="12" bestFit="1" customWidth="1"/>
    <col min="23" max="23" width="9.7109375" bestFit="1" customWidth="1"/>
    <col min="24" max="24" width="11.5703125" bestFit="1" customWidth="1"/>
    <col min="25" max="25" width="11.28515625" bestFit="1" customWidth="1"/>
    <col min="26" max="26" width="2.7109375" customWidth="1"/>
    <col min="27" max="27" width="15.42578125" bestFit="1" customWidth="1"/>
    <col min="28" max="28" width="9.28515625" bestFit="1" customWidth="1"/>
    <col min="29" max="29" width="13.42578125" bestFit="1" customWidth="1"/>
    <col min="30" max="30" width="11.42578125" bestFit="1" customWidth="1"/>
    <col min="34" max="34" width="12.85546875" bestFit="1" customWidth="1"/>
  </cols>
  <sheetData>
    <row r="1" spans="1:30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30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4" spans="1:30">
      <c r="Q4" s="98" t="s">
        <v>65</v>
      </c>
      <c r="R4" s="99"/>
      <c r="S4" s="99"/>
      <c r="T4" s="100"/>
      <c r="V4" s="98" t="s">
        <v>70</v>
      </c>
      <c r="W4" s="99"/>
      <c r="X4" s="99"/>
      <c r="Y4" s="100"/>
      <c r="AA4" s="98" t="s">
        <v>77</v>
      </c>
      <c r="AB4" s="99"/>
      <c r="AC4" s="99"/>
      <c r="AD4" s="100"/>
    </row>
    <row r="5" spans="1:30">
      <c r="C5" s="6" t="s">
        <v>71</v>
      </c>
      <c r="D5" s="6"/>
      <c r="E5" s="6"/>
      <c r="F5" s="6"/>
      <c r="G5" s="6"/>
      <c r="H5" s="6"/>
      <c r="I5" s="6"/>
    </row>
    <row r="6" spans="1:30">
      <c r="C6" s="6"/>
      <c r="D6" s="6"/>
      <c r="E6" s="6"/>
      <c r="F6" s="6"/>
      <c r="G6" s="6"/>
      <c r="H6" s="6"/>
      <c r="I6" s="6"/>
      <c r="S6" s="14"/>
      <c r="X6" s="14"/>
      <c r="AC6" s="14"/>
    </row>
    <row r="7" spans="1:30">
      <c r="C7" s="6"/>
      <c r="D7" s="6"/>
      <c r="E7" s="6"/>
      <c r="F7" s="6"/>
      <c r="G7" s="6"/>
      <c r="H7" s="6"/>
      <c r="I7" s="6"/>
      <c r="L7" s="14" t="s">
        <v>72</v>
      </c>
      <c r="S7" s="21" t="s">
        <v>72</v>
      </c>
      <c r="T7" s="21" t="s">
        <v>72</v>
      </c>
      <c r="X7" s="21" t="s">
        <v>72</v>
      </c>
      <c r="Y7" s="21" t="s">
        <v>72</v>
      </c>
      <c r="AC7" s="21" t="s">
        <v>72</v>
      </c>
      <c r="AD7" s="21" t="s">
        <v>72</v>
      </c>
    </row>
    <row r="8" spans="1:30">
      <c r="L8" s="14" t="s">
        <v>73</v>
      </c>
      <c r="N8" s="14" t="s">
        <v>72</v>
      </c>
      <c r="Q8" s="14" t="s">
        <v>62</v>
      </c>
      <c r="R8" s="14" t="s">
        <v>62</v>
      </c>
      <c r="S8" s="14" t="s">
        <v>60</v>
      </c>
      <c r="T8" s="14" t="s">
        <v>66</v>
      </c>
      <c r="V8" s="14" t="s">
        <v>62</v>
      </c>
      <c r="W8" s="14" t="s">
        <v>62</v>
      </c>
      <c r="X8" s="14" t="s">
        <v>60</v>
      </c>
      <c r="Y8" s="14" t="s">
        <v>66</v>
      </c>
      <c r="AA8" s="14" t="s">
        <v>62</v>
      </c>
      <c r="AB8" s="14" t="s">
        <v>62</v>
      </c>
      <c r="AC8" s="14" t="s">
        <v>60</v>
      </c>
      <c r="AD8" s="14" t="s">
        <v>66</v>
      </c>
    </row>
    <row r="9" spans="1:30">
      <c r="D9" s="14" t="s">
        <v>29</v>
      </c>
      <c r="E9" s="14" t="s">
        <v>31</v>
      </c>
      <c r="H9" s="14" t="s">
        <v>36</v>
      </c>
      <c r="I9" s="14" t="s">
        <v>37</v>
      </c>
      <c r="J9" s="14" t="s">
        <v>4</v>
      </c>
      <c r="L9" s="14" t="s">
        <v>4</v>
      </c>
      <c r="N9" s="14" t="s">
        <v>73</v>
      </c>
      <c r="Q9" s="14" t="s">
        <v>28</v>
      </c>
      <c r="R9" s="14" t="s">
        <v>66</v>
      </c>
      <c r="S9" s="23" t="s">
        <v>67</v>
      </c>
      <c r="T9" s="23" t="s">
        <v>67</v>
      </c>
      <c r="V9" s="14" t="s">
        <v>28</v>
      </c>
      <c r="W9" s="14" t="s">
        <v>66</v>
      </c>
      <c r="X9" s="23" t="s">
        <v>67</v>
      </c>
      <c r="Y9" s="23" t="s">
        <v>67</v>
      </c>
      <c r="AA9" s="14" t="s">
        <v>28</v>
      </c>
      <c r="AB9" s="14" t="s">
        <v>66</v>
      </c>
      <c r="AC9" s="23" t="s">
        <v>67</v>
      </c>
      <c r="AD9" s="23" t="s">
        <v>67</v>
      </c>
    </row>
    <row r="10" spans="1:30">
      <c r="A10" s="14" t="s">
        <v>2</v>
      </c>
      <c r="B10" s="6"/>
      <c r="C10" s="6"/>
      <c r="D10" s="14" t="s">
        <v>30</v>
      </c>
      <c r="E10" s="14" t="s">
        <v>32</v>
      </c>
      <c r="F10" s="14" t="s">
        <v>34</v>
      </c>
      <c r="G10" s="14" t="s">
        <v>35</v>
      </c>
      <c r="H10" s="14" t="s">
        <v>32</v>
      </c>
      <c r="I10" s="14" t="s">
        <v>38</v>
      </c>
      <c r="J10" s="14" t="s">
        <v>76</v>
      </c>
      <c r="K10" s="15"/>
      <c r="L10" s="14" t="s">
        <v>75</v>
      </c>
      <c r="M10" s="14"/>
      <c r="N10" s="14" t="s">
        <v>21</v>
      </c>
      <c r="O10" s="14" t="s">
        <v>24</v>
      </c>
      <c r="Q10" s="23" t="s">
        <v>63</v>
      </c>
      <c r="R10" s="23" t="s">
        <v>63</v>
      </c>
      <c r="S10" s="23" t="s">
        <v>68</v>
      </c>
      <c r="T10" s="23" t="s">
        <v>68</v>
      </c>
      <c r="V10" s="23" t="s">
        <v>63</v>
      </c>
      <c r="W10" s="23" t="s">
        <v>63</v>
      </c>
      <c r="X10" s="23" t="s">
        <v>68</v>
      </c>
      <c r="Y10" s="23" t="s">
        <v>68</v>
      </c>
      <c r="AA10" s="23" t="s">
        <v>63</v>
      </c>
      <c r="AB10" s="23" t="s">
        <v>63</v>
      </c>
      <c r="AC10" s="23" t="s">
        <v>68</v>
      </c>
      <c r="AD10" s="23" t="s">
        <v>68</v>
      </c>
    </row>
    <row r="11" spans="1:30">
      <c r="A11" s="14" t="s">
        <v>3</v>
      </c>
      <c r="B11" s="6"/>
      <c r="C11" s="8" t="s">
        <v>27</v>
      </c>
      <c r="D11" s="9" t="s">
        <v>5</v>
      </c>
      <c r="E11" s="9" t="s">
        <v>33</v>
      </c>
      <c r="F11" s="9" t="s">
        <v>33</v>
      </c>
      <c r="G11" s="9" t="s">
        <v>33</v>
      </c>
      <c r="H11" s="9" t="s">
        <v>33</v>
      </c>
      <c r="I11" s="9" t="s">
        <v>39</v>
      </c>
      <c r="J11" s="9" t="s">
        <v>74</v>
      </c>
      <c r="K11" s="15"/>
      <c r="L11" s="9" t="s">
        <v>74</v>
      </c>
      <c r="M11" s="15"/>
      <c r="N11" s="10" t="s">
        <v>4</v>
      </c>
      <c r="O11" s="10" t="s">
        <v>25</v>
      </c>
      <c r="Q11" s="29" t="s">
        <v>64</v>
      </c>
      <c r="R11" s="29" t="s">
        <v>64</v>
      </c>
      <c r="S11" s="10" t="s">
        <v>69</v>
      </c>
      <c r="T11" s="10" t="s">
        <v>69</v>
      </c>
      <c r="V11" s="29" t="s">
        <v>64</v>
      </c>
      <c r="W11" s="29" t="s">
        <v>64</v>
      </c>
      <c r="X11" s="10" t="s">
        <v>69</v>
      </c>
      <c r="Y11" s="10" t="s">
        <v>69</v>
      </c>
      <c r="AA11" s="29" t="s">
        <v>64</v>
      </c>
      <c r="AB11" s="29" t="s">
        <v>64</v>
      </c>
      <c r="AC11" s="10" t="s">
        <v>69</v>
      </c>
      <c r="AD11" s="10" t="s">
        <v>69</v>
      </c>
    </row>
    <row r="12" spans="1:30">
      <c r="C12" s="3" t="s">
        <v>6</v>
      </c>
      <c r="D12" s="1">
        <f>+'[1]Sch M-2.3 (1)'!$O$13</f>
        <v>379152166</v>
      </c>
      <c r="E12" s="1">
        <f>+'[1]Sch M-2.3 (1)'!$P$13</f>
        <v>-15239054</v>
      </c>
      <c r="F12" s="1">
        <f>+'[1]Sch M-2.3 (1)'!$Q$13</f>
        <v>13769784</v>
      </c>
      <c r="G12" s="1">
        <f>+'[1]Sch M-2.3 (1)'!$R$13</f>
        <v>35275380</v>
      </c>
      <c r="H12" s="1">
        <f>+'[1]Sch M-2.3 (1)'!$S$13</f>
        <v>-376364</v>
      </c>
      <c r="I12" s="1">
        <f>+'[1]Sch M-2.3 (1)'!$T$13</f>
        <v>28880504</v>
      </c>
      <c r="J12" s="1">
        <f>+'[1]Sch M-2.1'!B7</f>
        <v>441462416</v>
      </c>
      <c r="K12" s="16"/>
      <c r="L12" s="1">
        <f>+J12+N12</f>
        <v>483588845</v>
      </c>
      <c r="M12" s="16"/>
      <c r="N12" s="1">
        <f>+'LG&amp;E'!N12</f>
        <v>42126429</v>
      </c>
      <c r="O12" s="4">
        <f t="shared" ref="O12:O19" si="0">+N12/J12</f>
        <v>9.542472353977241E-2</v>
      </c>
      <c r="Q12" s="101">
        <f>+[2]Allocation!$G$964</f>
        <v>87174229.077447191</v>
      </c>
      <c r="R12" s="103">
        <f>+Q12/(J12+J13)</f>
        <v>0.19744204234343404</v>
      </c>
      <c r="S12" s="101">
        <f>+N12+N13-Q12</f>
        <v>-45042494.077447191</v>
      </c>
      <c r="T12" s="103">
        <f>+S12/(L12+L13)</f>
        <v>-9.3130388553982701E-2</v>
      </c>
      <c r="V12" s="101">
        <f>+[3]Allocation!$G$964</f>
        <v>104962913.64278305</v>
      </c>
      <c r="W12" s="103">
        <f>+V12/(J12+J13)</f>
        <v>0.23773186478697639</v>
      </c>
      <c r="X12" s="101">
        <f>+N12+N13-V12</f>
        <v>-62831178.642783046</v>
      </c>
      <c r="Y12" s="106">
        <f>+X12/(L12+L13)</f>
        <v>-0.12991048120572282</v>
      </c>
      <c r="AA12" s="101">
        <f>+AVERAGE(Q12,V12)</f>
        <v>96068571.360115111</v>
      </c>
      <c r="AB12" s="103">
        <f>+AA12/(J12+J13)</f>
        <v>0.21758695356520519</v>
      </c>
      <c r="AC12" s="101">
        <f>+AVERAGE(S12,X12)</f>
        <v>-53936836.360115118</v>
      </c>
      <c r="AD12" s="103">
        <f>+AC12/(L12+L13)</f>
        <v>-0.11152043487985276</v>
      </c>
    </row>
    <row r="13" spans="1:30">
      <c r="C13" s="3" t="s">
        <v>7</v>
      </c>
      <c r="D13" s="1">
        <f>+'[1]Sch M-2.3 (1)'!$O$15</f>
        <v>47907</v>
      </c>
      <c r="E13" s="1">
        <f>+'[1]Sch M-2.3 (1)'!$P$15</f>
        <v>-2074</v>
      </c>
      <c r="F13" s="1">
        <f>+'[1]Sch M-2.3 (1)'!$Q$15</f>
        <v>1674</v>
      </c>
      <c r="G13" s="1">
        <f>+'[1]Sch M-2.3 (1)'!$R$15</f>
        <v>4288</v>
      </c>
      <c r="H13" s="1">
        <f>+'[1]Sch M-2.3 (1)'!$S$15</f>
        <v>-52</v>
      </c>
      <c r="I13" s="1">
        <f>+'[1]Sch M-2.3 (1)'!$T$15</f>
        <v>3909</v>
      </c>
      <c r="J13" s="1">
        <f>+'[1]Sch M-2.1'!B8</f>
        <v>55652</v>
      </c>
      <c r="K13" s="16"/>
      <c r="L13" s="1">
        <f t="shared" ref="L13:L25" si="1">+J13+N13</f>
        <v>60958</v>
      </c>
      <c r="M13" s="16"/>
      <c r="N13" s="1">
        <f>+'LG&amp;E'!N13</f>
        <v>5306</v>
      </c>
      <c r="O13" s="4">
        <f t="shared" si="0"/>
        <v>9.5342485445267022E-2</v>
      </c>
      <c r="Q13" s="102"/>
      <c r="R13" s="104"/>
      <c r="S13" s="105"/>
      <c r="T13" s="104"/>
      <c r="V13" s="102"/>
      <c r="W13" s="104"/>
      <c r="X13" s="105"/>
      <c r="Y13" s="107"/>
      <c r="AA13" s="102"/>
      <c r="AB13" s="104"/>
      <c r="AC13" s="105"/>
      <c r="AD13" s="104"/>
    </row>
    <row r="14" spans="1:30">
      <c r="C14" s="37" t="s">
        <v>8</v>
      </c>
      <c r="D14" s="35">
        <f>+'[1]Sch M-2.3 (1)'!$O$17</f>
        <v>135825835</v>
      </c>
      <c r="E14" s="35">
        <f>+'[1]Sch M-2.3 (1)'!$P$17</f>
        <v>-4998752</v>
      </c>
      <c r="F14" s="35">
        <f>+'[1]Sch M-2.3 (1)'!$Q$17</f>
        <v>3788000</v>
      </c>
      <c r="G14" s="35">
        <f>+'[1]Sch M-2.3 (1)'!$R$17</f>
        <v>24161686</v>
      </c>
      <c r="H14" s="35">
        <f>+'[1]Sch M-2.3 (1)'!$S$17</f>
        <v>-119564</v>
      </c>
      <c r="I14" s="35">
        <f>+'[1]Sch M-2.3 (1)'!$T$17</f>
        <v>11804315</v>
      </c>
      <c r="J14" s="35">
        <f>+'[1]Sch M-2.1'!B9</f>
        <v>170461520</v>
      </c>
      <c r="K14" s="38"/>
      <c r="L14" s="35">
        <f t="shared" si="1"/>
        <v>188766338.92801395</v>
      </c>
      <c r="M14" s="38"/>
      <c r="N14" s="35">
        <f>+'LG&amp;E'!AO14</f>
        <v>18304818.928013951</v>
      </c>
      <c r="O14" s="39">
        <f t="shared" si="0"/>
        <v>0.10738387718245121</v>
      </c>
      <c r="P14" s="40"/>
      <c r="Q14" s="35">
        <f>+[2]Allocation!$H$964</f>
        <v>-325767.54843283398</v>
      </c>
      <c r="R14" s="41">
        <f>+Q14/J14</f>
        <v>-1.9110914207079344E-3</v>
      </c>
      <c r="S14" s="35">
        <f>+N14-Q14</f>
        <v>18630586.476446785</v>
      </c>
      <c r="T14" s="41">
        <f>+S14/L14</f>
        <v>9.869655036087531E-2</v>
      </c>
      <c r="U14" s="40"/>
      <c r="V14" s="35">
        <f>+[3]Allocation!$H$964</f>
        <v>-6168569.5971917985</v>
      </c>
      <c r="W14" s="41">
        <f>+V14/J14</f>
        <v>-3.618746094245668E-2</v>
      </c>
      <c r="X14" s="35">
        <f>+N14-V14</f>
        <v>24473388.52520575</v>
      </c>
      <c r="Y14" s="41">
        <f>+X14/L14</f>
        <v>0.12964911363004544</v>
      </c>
      <c r="Z14" s="40"/>
      <c r="AA14" s="35">
        <f>+AVERAGE(Q14,V14)</f>
        <v>-3247168.572812316</v>
      </c>
      <c r="AB14" s="41">
        <f>+AA14/J14</f>
        <v>-1.9049276181582305E-2</v>
      </c>
      <c r="AC14" s="35">
        <f>+AVERAGE(S14,X14)</f>
        <v>21551987.500826269</v>
      </c>
      <c r="AD14" s="41">
        <f>+AC14/L14</f>
        <v>0.11417283199546038</v>
      </c>
    </row>
    <row r="15" spans="1:30">
      <c r="C15" s="37" t="s">
        <v>9</v>
      </c>
      <c r="D15" s="35">
        <f>+'[1]Sch M-2.3 (1)'!$O$20</f>
        <v>151571213</v>
      </c>
      <c r="E15" s="35">
        <f>+'[1]Sch M-2.3 (1)'!$P$20</f>
        <v>-6930881</v>
      </c>
      <c r="F15" s="35">
        <f>+'[1]Sch M-2.3 (1)'!$Q$20</f>
        <v>907454</v>
      </c>
      <c r="G15" s="35">
        <f>+'[1]Sch M-2.3 (1)'!$R$20</f>
        <v>7160930</v>
      </c>
      <c r="H15" s="35">
        <f>+'[1]Sch M-2.3 (1)'!$S$20</f>
        <v>-164831</v>
      </c>
      <c r="I15" s="35">
        <f>+'[1]Sch M-2.3 (1)'!$T$20</f>
        <v>12351713</v>
      </c>
      <c r="J15" s="35">
        <f>+'[1]Sch M-2.1'!B10</f>
        <v>164895598</v>
      </c>
      <c r="K15" s="38"/>
      <c r="L15" s="35">
        <f t="shared" si="1"/>
        <v>175779702.49702099</v>
      </c>
      <c r="M15" s="38"/>
      <c r="N15" s="35">
        <f>+'LG&amp;E'!AO15</f>
        <v>10884104.49702099</v>
      </c>
      <c r="O15" s="39">
        <f t="shared" si="0"/>
        <v>6.6006034297052554E-2</v>
      </c>
      <c r="P15" s="40"/>
      <c r="Q15" s="35">
        <f>+[2]Allocation!$K$964</f>
        <v>-7442955.341189744</v>
      </c>
      <c r="R15" s="41">
        <f t="shared" ref="R15:R28" si="2">+Q15/J15</f>
        <v>-4.5137380448383731E-2</v>
      </c>
      <c r="S15" s="35">
        <f t="shared" ref="S15:S25" si="3">+N15-Q15</f>
        <v>18327059.838210732</v>
      </c>
      <c r="T15" s="41">
        <f>+S15/L15</f>
        <v>0.10426152495349301</v>
      </c>
      <c r="U15" s="40"/>
      <c r="V15" s="35">
        <f>+[3]Allocation!$K$964</f>
        <v>-10927368.547577027</v>
      </c>
      <c r="W15" s="41">
        <f t="shared" ref="W15:W23" si="4">+V15/J15</f>
        <v>-6.6268406677399763E-2</v>
      </c>
      <c r="X15" s="35">
        <f t="shared" ref="X15:X23" si="5">+N15-V15</f>
        <v>21811473.044598017</v>
      </c>
      <c r="Y15" s="41">
        <f t="shared" ref="Y15:Y28" si="6">+X15/L15</f>
        <v>0.12408413903742763</v>
      </c>
      <c r="Z15" s="40"/>
      <c r="AA15" s="35">
        <f t="shared" ref="AA15:AC27" si="7">+AVERAGE(Q15,V15)</f>
        <v>-9185161.9443833865</v>
      </c>
      <c r="AB15" s="41">
        <f t="shared" ref="AB15:AB28" si="8">+AA15/J15</f>
        <v>-5.5702893562891757E-2</v>
      </c>
      <c r="AC15" s="35">
        <f t="shared" si="7"/>
        <v>20069266.441404372</v>
      </c>
      <c r="AD15" s="41">
        <f>+AC15/L15</f>
        <v>0.11417283199546031</v>
      </c>
    </row>
    <row r="16" spans="1:30">
      <c r="C16" s="37" t="s">
        <v>10</v>
      </c>
      <c r="D16" s="35">
        <f>+'[1]Sch M-2.3 (1)'!$O$21</f>
        <v>11517853</v>
      </c>
      <c r="E16" s="35">
        <f>+'[1]Sch M-2.3 (1)'!$P$21</f>
        <v>-612937</v>
      </c>
      <c r="F16" s="35">
        <f>+'[1]Sch M-2.3 (1)'!$Q$21</f>
        <v>77465</v>
      </c>
      <c r="G16" s="35">
        <f>+'[1]Sch M-2.3 (1)'!$R$21</f>
        <v>574599</v>
      </c>
      <c r="H16" s="35">
        <f>+'[1]Sch M-2.3 (1)'!$S$21</f>
        <v>-14604</v>
      </c>
      <c r="I16" s="35">
        <f>+'[1]Sch M-2.3 (1)'!$T$21</f>
        <v>993949</v>
      </c>
      <c r="J16" s="35">
        <f>+'[1]Sch M-2.1'!B11</f>
        <v>12536325</v>
      </c>
      <c r="K16" s="38"/>
      <c r="L16" s="115">
        <f t="shared" si="1"/>
        <v>13891878.574965121</v>
      </c>
      <c r="M16" s="38"/>
      <c r="N16" s="35">
        <f>+'LG&amp;E'!AO16</f>
        <v>1355553.5749651212</v>
      </c>
      <c r="O16" s="39">
        <f t="shared" si="0"/>
        <v>0.10813006004272553</v>
      </c>
      <c r="P16" s="40"/>
      <c r="Q16" s="35">
        <f>+[2]Allocation!$J$964</f>
        <v>284178.53549553693</v>
      </c>
      <c r="R16" s="41">
        <f t="shared" si="2"/>
        <v>2.2668408444702647E-2</v>
      </c>
      <c r="S16" s="35">
        <f t="shared" si="3"/>
        <v>1071375.0394695844</v>
      </c>
      <c r="T16" s="41">
        <f>+S16/L16</f>
        <v>7.7122401674337579E-2</v>
      </c>
      <c r="U16" s="40"/>
      <c r="V16" s="35">
        <f>+[3]Allocation!$J$964</f>
        <v>83220.412921078416</v>
      </c>
      <c r="W16" s="41">
        <f t="shared" si="4"/>
        <v>6.6383420117999822E-3</v>
      </c>
      <c r="X16" s="35">
        <f t="shared" si="5"/>
        <v>1272333.1620440427</v>
      </c>
      <c r="Y16" s="41">
        <f t="shared" si="6"/>
        <v>9.1588272613967708E-2</v>
      </c>
      <c r="Z16" s="40"/>
      <c r="AA16" s="35">
        <f t="shared" si="7"/>
        <v>183699.47420830769</v>
      </c>
      <c r="AB16" s="41">
        <f t="shared" si="8"/>
        <v>1.4653375228251317E-2</v>
      </c>
      <c r="AC16" s="35">
        <f t="shared" si="7"/>
        <v>1171854.1007568135</v>
      </c>
      <c r="AD16" s="41">
        <f>+AC16/L16</f>
        <v>8.4355337144152637E-2</v>
      </c>
    </row>
    <row r="17" spans="3:34">
      <c r="C17" s="37" t="s">
        <v>11</v>
      </c>
      <c r="D17" s="35">
        <f>+'[1]Sch M-2.3 (1)'!$O$24</f>
        <v>77629237</v>
      </c>
      <c r="E17" s="35">
        <f>+'[1]Sch M-2.3 (1)'!$P$24</f>
        <v>-3996175</v>
      </c>
      <c r="F17" s="35">
        <f>+'[1]Sch M-2.3 (1)'!$Q$24</f>
        <v>439027</v>
      </c>
      <c r="G17" s="35">
        <f>+'[1]Sch M-2.3 (1)'!$R$24</f>
        <v>4320114</v>
      </c>
      <c r="H17" s="35">
        <f>+'[1]Sch M-2.3 (1)'!$S$24</f>
        <v>-95641</v>
      </c>
      <c r="I17" s="35">
        <f>+'[1]Sch M-2.3 (1)'!$T$24</f>
        <v>6142643</v>
      </c>
      <c r="J17" s="35">
        <f>+'[1]Sch M-2.1'!B12</f>
        <v>84439205</v>
      </c>
      <c r="K17" s="38"/>
      <c r="L17" s="35">
        <f t="shared" si="1"/>
        <v>84439205</v>
      </c>
      <c r="M17" s="38"/>
      <c r="N17" s="35">
        <f>+'LG&amp;E'!AO17</f>
        <v>0</v>
      </c>
      <c r="O17" s="39">
        <f t="shared" si="0"/>
        <v>0</v>
      </c>
      <c r="P17" s="40"/>
      <c r="Q17" s="35">
        <f>+[2]Allocation!$O$964</f>
        <v>-10903597.552298291</v>
      </c>
      <c r="R17" s="41">
        <f t="shared" si="2"/>
        <v>-0.12912956194102362</v>
      </c>
      <c r="S17" s="35">
        <f t="shared" si="3"/>
        <v>10903597.552298291</v>
      </c>
      <c r="T17" s="41">
        <f>+S17/L17</f>
        <v>0.12912956194102362</v>
      </c>
      <c r="U17" s="40"/>
      <c r="V17" s="35">
        <f>+[3]Allocation!$O$964</f>
        <v>-10866811.425184982</v>
      </c>
      <c r="W17" s="41">
        <f t="shared" si="4"/>
        <v>-0.12869390972102332</v>
      </c>
      <c r="X17" s="35">
        <f t="shared" si="5"/>
        <v>10866811.425184982</v>
      </c>
      <c r="Y17" s="41">
        <f t="shared" si="6"/>
        <v>0.12869390972102332</v>
      </c>
      <c r="Z17" s="40"/>
      <c r="AA17" s="35">
        <f t="shared" si="7"/>
        <v>-10885204.488741636</v>
      </c>
      <c r="AB17" s="41">
        <f t="shared" si="8"/>
        <v>-0.12891173583102347</v>
      </c>
      <c r="AC17" s="35">
        <f t="shared" si="7"/>
        <v>10885204.488741636</v>
      </c>
      <c r="AD17" s="41">
        <f>+AC17/L17</f>
        <v>0.12891173583102347</v>
      </c>
      <c r="AG17" s="30"/>
      <c r="AH17" s="34"/>
    </row>
    <row r="18" spans="3:34">
      <c r="C18" s="3" t="s">
        <v>12</v>
      </c>
      <c r="D18" s="1">
        <f>+'[1]Sch M-2.3 (1)'!$O$26</f>
        <v>116918595</v>
      </c>
      <c r="E18" s="1">
        <f>+'[1]Sch M-2.3 (1)'!$P$26</f>
        <v>-6855082</v>
      </c>
      <c r="F18" s="1">
        <f>+'[1]Sch M-2.3 (1)'!$Q$26</f>
        <v>259281</v>
      </c>
      <c r="G18" s="1">
        <f>+'[1]Sch M-2.3 (1)'!$R$26</f>
        <v>8034362</v>
      </c>
      <c r="H18" s="1">
        <f>+'[1]Sch M-2.3 (1)'!$S$26</f>
        <v>-163331</v>
      </c>
      <c r="I18" s="1">
        <f>+'[1]Sch M-2.3 (1)'!$T$26</f>
        <v>8176599</v>
      </c>
      <c r="J18" s="1">
        <f>+'[1]Sch M-2.1'!B13</f>
        <v>126370424</v>
      </c>
      <c r="K18" s="16"/>
      <c r="L18" s="1">
        <f t="shared" si="1"/>
        <v>136755655</v>
      </c>
      <c r="M18" s="16"/>
      <c r="N18" s="1">
        <f>+'LG&amp;E'!N18</f>
        <v>10385231</v>
      </c>
      <c r="O18" s="4">
        <f t="shared" si="0"/>
        <v>8.2180866940827865E-2</v>
      </c>
      <c r="Q18" s="1">
        <f>+[2]Allocation!$N$964</f>
        <v>10654568.356106328</v>
      </c>
      <c r="R18" s="30">
        <f t="shared" si="2"/>
        <v>8.431219915908747E-2</v>
      </c>
      <c r="S18" s="1">
        <f t="shared" si="3"/>
        <v>-269337.35610632785</v>
      </c>
      <c r="T18" s="30">
        <f>+S18/L18</f>
        <v>-1.9694787473785113E-3</v>
      </c>
      <c r="V18" s="1">
        <f>+[3]Allocation!$N$964</f>
        <v>6922593.8652986661</v>
      </c>
      <c r="W18" s="30">
        <f t="shared" si="4"/>
        <v>5.4780174396650484E-2</v>
      </c>
      <c r="X18" s="1">
        <f t="shared" si="5"/>
        <v>3462637.1347013339</v>
      </c>
      <c r="Y18" s="69">
        <f t="shared" si="6"/>
        <v>2.5319882638135394E-2</v>
      </c>
      <c r="AA18" s="1">
        <f t="shared" si="7"/>
        <v>8788581.110702496</v>
      </c>
      <c r="AB18" s="30">
        <f t="shared" si="8"/>
        <v>6.9546186777868974E-2</v>
      </c>
      <c r="AC18" s="1">
        <f t="shared" si="7"/>
        <v>1596649.889297503</v>
      </c>
      <c r="AD18" s="30">
        <f>+AC18/L18</f>
        <v>1.1675201945378442E-2</v>
      </c>
      <c r="AH18" s="34"/>
    </row>
    <row r="19" spans="3:34">
      <c r="C19" s="3" t="s">
        <v>13</v>
      </c>
      <c r="D19" s="1">
        <f>+'[1]Sch M-2.3 (1)'!$O$28</f>
        <v>64284636</v>
      </c>
      <c r="E19" s="1">
        <f>+'[1]Sch M-2.3 (1)'!$P$28</f>
        <v>-4273319</v>
      </c>
      <c r="F19" s="1">
        <f>+'[1]Sch M-2.3 (1)'!$Q$28</f>
        <v>0</v>
      </c>
      <c r="G19" s="1">
        <f>+'[1]Sch M-2.3 (1)'!$R$28</f>
        <v>4904122</v>
      </c>
      <c r="H19" s="1">
        <f>+'[1]Sch M-2.3 (1)'!$S$28</f>
        <v>-98827</v>
      </c>
      <c r="I19" s="1">
        <f>+'[1]Sch M-2.3 (1)'!$T$28</f>
        <v>4078891</v>
      </c>
      <c r="J19" s="1">
        <f>+'[1]Sch M-2.1'!B14</f>
        <v>68895503</v>
      </c>
      <c r="K19" s="16"/>
      <c r="L19" s="1">
        <f t="shared" si="1"/>
        <v>74719968</v>
      </c>
      <c r="M19" s="16"/>
      <c r="N19" s="1">
        <f>+'LG&amp;E'!N19</f>
        <v>5824465</v>
      </c>
      <c r="O19" s="4">
        <f t="shared" si="0"/>
        <v>8.4540568634791743E-2</v>
      </c>
      <c r="Q19" s="1">
        <f>+[2]Allocation!$P$964</f>
        <v>7838139.9950658679</v>
      </c>
      <c r="R19" s="30">
        <f t="shared" si="2"/>
        <v>0.11376852847806145</v>
      </c>
      <c r="S19" s="1">
        <f t="shared" si="3"/>
        <v>-2013674.9950658679</v>
      </c>
      <c r="T19" s="30">
        <f t="shared" ref="T19:T28" si="9">+S19/L19</f>
        <v>-2.6949623359927937E-2</v>
      </c>
      <c r="V19" s="1">
        <f>+[3]Allocation!$P$964</f>
        <v>4472160.5473788055</v>
      </c>
      <c r="W19" s="30">
        <f t="shared" si="4"/>
        <v>6.4912227252028415E-2</v>
      </c>
      <c r="X19" s="1">
        <f t="shared" si="5"/>
        <v>1352304.4526211945</v>
      </c>
      <c r="Y19" s="69">
        <f t="shared" si="6"/>
        <v>1.8098300746343929E-2</v>
      </c>
      <c r="AA19" s="1">
        <f t="shared" si="7"/>
        <v>6155150.2712223362</v>
      </c>
      <c r="AB19" s="30">
        <f t="shared" si="8"/>
        <v>8.9340377865044923E-2</v>
      </c>
      <c r="AC19" s="1">
        <f t="shared" si="7"/>
        <v>-330685.27122233668</v>
      </c>
      <c r="AD19" s="30">
        <f t="shared" ref="AD19:AD28" si="10">+AC19/L19</f>
        <v>-4.4256613067920033E-3</v>
      </c>
    </row>
    <row r="20" spans="3:34">
      <c r="C20" s="3" t="s">
        <v>14</v>
      </c>
      <c r="D20" s="1">
        <f>+'[1]Sch M-2.3 (1)'!$O$30</f>
        <v>0</v>
      </c>
      <c r="E20" s="1">
        <f>+'[1]Sch M-2.3 (1)'!$P$30</f>
        <v>0</v>
      </c>
      <c r="F20" s="1">
        <f>+'[1]Sch M-2.3 (1)'!$Q$30</f>
        <v>0</v>
      </c>
      <c r="G20" s="1">
        <f>+'[1]Sch M-2.3 (1)'!$R$30</f>
        <v>0</v>
      </c>
      <c r="H20" s="1">
        <f>+'[1]Sch M-2.3 (1)'!$S$30</f>
        <v>0</v>
      </c>
      <c r="I20" s="1">
        <f>+'[1]Sch M-2.3 (1)'!$T$30</f>
        <v>0</v>
      </c>
      <c r="J20" s="1">
        <f>+'[1]Sch M-2.1'!B15</f>
        <v>0</v>
      </c>
      <c r="K20" s="16"/>
      <c r="L20" s="1">
        <f t="shared" si="1"/>
        <v>0</v>
      </c>
      <c r="M20" s="16"/>
      <c r="N20" s="1">
        <f>+'LG&amp;E'!N20</f>
        <v>0</v>
      </c>
      <c r="O20" s="4">
        <v>0</v>
      </c>
      <c r="Q20" s="1"/>
      <c r="R20" s="30">
        <v>0</v>
      </c>
      <c r="S20" s="1">
        <f t="shared" si="3"/>
        <v>0</v>
      </c>
      <c r="T20" s="30">
        <v>0</v>
      </c>
      <c r="V20" s="1"/>
      <c r="W20" s="30">
        <v>0</v>
      </c>
      <c r="X20" s="1">
        <f t="shared" si="5"/>
        <v>0</v>
      </c>
      <c r="Y20" s="69">
        <v>0</v>
      </c>
      <c r="AA20" s="1"/>
      <c r="AB20" s="30">
        <v>0</v>
      </c>
      <c r="AC20" s="1"/>
      <c r="AD20" s="30">
        <v>0</v>
      </c>
    </row>
    <row r="21" spans="3:34">
      <c r="C21" s="3" t="s">
        <v>15</v>
      </c>
      <c r="D21" s="1">
        <f>+'[1]Sch M-2.3 (1)'!$O$43</f>
        <v>210819</v>
      </c>
      <c r="E21" s="1">
        <f>+'[1]Sch M-2.3 (1)'!$P$43</f>
        <v>-12636</v>
      </c>
      <c r="F21" s="1">
        <f>+'[1]Sch M-2.3 (1)'!$Q$43</f>
        <v>0</v>
      </c>
      <c r="G21" s="1">
        <f>+'[1]Sch M-2.3 (1)'!$R$43</f>
        <v>27467</v>
      </c>
      <c r="H21" s="1">
        <f>+'[1]Sch M-2.3 (1)'!$S$43</f>
        <v>-321</v>
      </c>
      <c r="I21" s="1">
        <f>+'[1]Sch M-2.3 (1)'!$T$43</f>
        <v>19208</v>
      </c>
      <c r="J21" s="1">
        <f>+'[1]Sch M-2.1'!B16</f>
        <v>244537</v>
      </c>
      <c r="K21" s="16"/>
      <c r="L21" s="1">
        <f t="shared" si="1"/>
        <v>244537</v>
      </c>
      <c r="M21" s="16"/>
      <c r="N21" s="1">
        <f>+'LG&amp;E'!N21</f>
        <v>0</v>
      </c>
      <c r="O21" s="4">
        <f t="shared" ref="O21:O28" si="11">+N21/J21</f>
        <v>0</v>
      </c>
      <c r="Q21" s="1">
        <f>+[2]Allocation!$T$964</f>
        <v>-3324.477977715334</v>
      </c>
      <c r="R21" s="30">
        <f t="shared" si="2"/>
        <v>-1.3594989624127776E-2</v>
      </c>
      <c r="S21" s="1">
        <f t="shared" si="3"/>
        <v>3324.477977715334</v>
      </c>
      <c r="T21" s="30">
        <f t="shared" si="9"/>
        <v>1.3594989624127776E-2</v>
      </c>
      <c r="V21" s="1">
        <f>+[3]Allocation!$T$964</f>
        <v>-31519.652783508973</v>
      </c>
      <c r="W21" s="30">
        <f t="shared" si="4"/>
        <v>-0.12889522969329376</v>
      </c>
      <c r="X21" s="1">
        <f t="shared" si="5"/>
        <v>31519.652783508973</v>
      </c>
      <c r="Y21" s="69">
        <f t="shared" si="6"/>
        <v>0.12889522969329376</v>
      </c>
      <c r="AA21" s="1">
        <f t="shared" si="7"/>
        <v>-17422.065380612152</v>
      </c>
      <c r="AB21" s="30">
        <f t="shared" si="8"/>
        <v>-7.1245109658710754E-2</v>
      </c>
      <c r="AC21" s="1">
        <f t="shared" si="7"/>
        <v>17422.065380612152</v>
      </c>
      <c r="AD21" s="30">
        <f t="shared" si="10"/>
        <v>7.1245109658710754E-2</v>
      </c>
    </row>
    <row r="22" spans="3:34">
      <c r="C22" s="3" t="s">
        <v>16</v>
      </c>
      <c r="D22" s="1">
        <f>+'[1]Sch M-2.3 (1)'!$O$44</f>
        <v>270128</v>
      </c>
      <c r="E22" s="1">
        <f>+'[1]Sch M-2.3 (1)'!$P$44</f>
        <v>-11637</v>
      </c>
      <c r="F22" s="1">
        <f>+'[1]Sch M-2.3 (1)'!$Q$44</f>
        <v>0</v>
      </c>
      <c r="G22" s="1">
        <f>+'[1]Sch M-2.3 (1)'!$R$44</f>
        <v>28013</v>
      </c>
      <c r="H22" s="1">
        <f>+'[1]Sch M-2.3 (1)'!$S$44</f>
        <v>-283</v>
      </c>
      <c r="I22" s="1">
        <f>+'[1]Sch M-2.3 (1)'!$T$44</f>
        <v>17999</v>
      </c>
      <c r="J22" s="1">
        <f>+'[1]Sch M-2.1'!B17</f>
        <v>304220</v>
      </c>
      <c r="K22" s="16"/>
      <c r="L22" s="1">
        <f t="shared" si="1"/>
        <v>324800</v>
      </c>
      <c r="M22" s="16"/>
      <c r="N22" s="1">
        <f>+'LG&amp;E'!N22</f>
        <v>20580</v>
      </c>
      <c r="O22" s="4">
        <f t="shared" si="11"/>
        <v>6.7648412333179933E-2</v>
      </c>
      <c r="Q22" s="1">
        <f>+[2]Allocation!$U$964</f>
        <v>-2013.3182989951047</v>
      </c>
      <c r="R22" s="30">
        <f t="shared" si="2"/>
        <v>-6.6179682433604127E-3</v>
      </c>
      <c r="S22" s="1">
        <f t="shared" si="3"/>
        <v>22593.318298995106</v>
      </c>
      <c r="T22" s="30">
        <f t="shared" si="9"/>
        <v>6.9560709048630251E-2</v>
      </c>
      <c r="V22" s="1">
        <f>+[3]Allocation!$U$964</f>
        <v>-19639.200203292807</v>
      </c>
      <c r="W22" s="30">
        <f t="shared" si="4"/>
        <v>-6.4555914151905883E-2</v>
      </c>
      <c r="X22" s="1">
        <f t="shared" si="5"/>
        <v>40219.200203292807</v>
      </c>
      <c r="Y22" s="69">
        <f t="shared" si="6"/>
        <v>0.12382758683279806</v>
      </c>
      <c r="AA22" s="1">
        <f t="shared" si="7"/>
        <v>-10826.259251143956</v>
      </c>
      <c r="AB22" s="30">
        <f t="shared" si="8"/>
        <v>-3.558694119763315E-2</v>
      </c>
      <c r="AC22" s="1">
        <f t="shared" si="7"/>
        <v>31406.259251143958</v>
      </c>
      <c r="AD22" s="30">
        <f t="shared" si="10"/>
        <v>9.6694147940714154E-2</v>
      </c>
    </row>
    <row r="23" spans="3:34">
      <c r="C23" s="3" t="s">
        <v>17</v>
      </c>
      <c r="D23" s="1">
        <f>+'[1]Sch M-2.3 (1)'!$O$48</f>
        <v>18141167.299999997</v>
      </c>
      <c r="E23" s="1">
        <f>+'[1]Sch M-2.3 (1)'!$P$48</f>
        <v>-387056</v>
      </c>
      <c r="F23" s="1">
        <f>+'[1]Sch M-2.3 (1)'!$Q$48</f>
        <v>0</v>
      </c>
      <c r="G23" s="1">
        <f>+'[1]Sch M-2.3 (1)'!$R$48</f>
        <v>4280816</v>
      </c>
      <c r="H23" s="1">
        <f>+'[1]Sch M-2.3 (1)'!$S$48</f>
        <v>-9736</v>
      </c>
      <c r="I23" s="1">
        <f>+'[1]Sch M-2.3 (1)'!$T$48</f>
        <v>1364133.6999999997</v>
      </c>
      <c r="J23" s="1">
        <f>+'[1]Sch M-2.1'!B18</f>
        <v>23389325</v>
      </c>
      <c r="K23" s="16"/>
      <c r="L23" s="1">
        <f t="shared" si="1"/>
        <v>25309553</v>
      </c>
      <c r="M23" s="16"/>
      <c r="N23" s="1">
        <f>+'LG&amp;E'!N23</f>
        <v>1920228</v>
      </c>
      <c r="O23" s="4">
        <f t="shared" si="11"/>
        <v>8.2098478686323778E-2</v>
      </c>
      <c r="Q23" s="1">
        <f>+[2]Allocation!$S$964</f>
        <v>2512696.5639958186</v>
      </c>
      <c r="R23" s="30">
        <f t="shared" si="2"/>
        <v>0.1074292038780862</v>
      </c>
      <c r="S23" s="1">
        <f t="shared" si="3"/>
        <v>-592468.56399581861</v>
      </c>
      <c r="T23" s="30">
        <f t="shared" si="9"/>
        <v>-2.340889086408672E-2</v>
      </c>
      <c r="V23" s="1">
        <f>+[3]Allocation!$S$964</f>
        <v>1648278.204136742</v>
      </c>
      <c r="W23" s="30">
        <f t="shared" si="4"/>
        <v>7.047138829943754E-2</v>
      </c>
      <c r="X23" s="1">
        <f t="shared" si="5"/>
        <v>271949.79586325795</v>
      </c>
      <c r="Y23" s="69">
        <f t="shared" si="6"/>
        <v>1.0744946616135731E-2</v>
      </c>
      <c r="AA23" s="1">
        <f t="shared" si="7"/>
        <v>2080487.3840662804</v>
      </c>
      <c r="AB23" s="30">
        <f t="shared" si="8"/>
        <v>8.8950296088761885E-2</v>
      </c>
      <c r="AC23" s="1">
        <f t="shared" si="7"/>
        <v>-160259.38406628033</v>
      </c>
      <c r="AD23" s="30">
        <f t="shared" si="10"/>
        <v>-6.3319721239754939E-3</v>
      </c>
    </row>
    <row r="24" spans="3:34">
      <c r="C24" s="24" t="s">
        <v>18</v>
      </c>
      <c r="D24" s="25">
        <f>+'[1]Sch M-2.3 (1)'!$O$38</f>
        <v>-4334522</v>
      </c>
      <c r="E24" s="25">
        <f>+'[1]Sch M-2.3 (1)'!$P$38</f>
        <v>0</v>
      </c>
      <c r="F24" s="25">
        <f>+'[1]Sch M-2.3 (1)'!$Q$38</f>
        <v>0</v>
      </c>
      <c r="G24" s="25">
        <f>+'[1]Sch M-2.3 (1)'!$R$38</f>
        <v>0</v>
      </c>
      <c r="H24" s="25">
        <f>+'[1]Sch M-2.3 (1)'!$S$38</f>
        <v>0</v>
      </c>
      <c r="I24" s="25">
        <f>+'[1]Sch M-2.3 (1)'!$T$38</f>
        <v>0</v>
      </c>
      <c r="J24" s="25">
        <f>+'[1]Sch M-2.1'!B19</f>
        <v>-4334522</v>
      </c>
      <c r="K24" s="26"/>
      <c r="L24" s="25">
        <f t="shared" si="1"/>
        <v>-2414251</v>
      </c>
      <c r="M24" s="26"/>
      <c r="N24" s="25">
        <f>+'LG&amp;E'!N24</f>
        <v>1920271</v>
      </c>
      <c r="O24" s="27">
        <f t="shared" si="11"/>
        <v>-0.44301793831015279</v>
      </c>
      <c r="P24" s="28"/>
      <c r="Q24" s="25">
        <f>+[2]Allocation!$F$965</f>
        <v>1920271</v>
      </c>
      <c r="R24" s="33">
        <f t="shared" si="2"/>
        <v>-0.44301793831015279</v>
      </c>
      <c r="S24" s="25">
        <f t="shared" si="3"/>
        <v>0</v>
      </c>
      <c r="T24" s="33">
        <f t="shared" si="9"/>
        <v>0</v>
      </c>
      <c r="U24" s="28"/>
      <c r="V24" s="25">
        <f>+[3]Allocation!$F$965</f>
        <v>1920271</v>
      </c>
      <c r="W24" s="33">
        <f>+V24/J24</f>
        <v>-0.44301793831015279</v>
      </c>
      <c r="X24" s="25">
        <f>+N24-V24</f>
        <v>0</v>
      </c>
      <c r="Y24" s="33">
        <f t="shared" si="6"/>
        <v>0</v>
      </c>
      <c r="Z24" s="28"/>
      <c r="AA24" s="25">
        <f t="shared" si="7"/>
        <v>1920271</v>
      </c>
      <c r="AB24" s="33">
        <f t="shared" si="8"/>
        <v>-0.44301793831015279</v>
      </c>
      <c r="AC24" s="25">
        <f t="shared" si="7"/>
        <v>0</v>
      </c>
      <c r="AD24" s="33">
        <f t="shared" si="10"/>
        <v>0</v>
      </c>
    </row>
    <row r="25" spans="3:34">
      <c r="C25" s="3" t="s">
        <v>19</v>
      </c>
      <c r="D25" s="2">
        <f>+'[1]Sch M-2.3 (1)'!$O$40+'[1]Sch M-2.3 (1)'!$O$41</f>
        <v>9634510</v>
      </c>
      <c r="E25" s="2">
        <f>+'[1]Sch M-2.3 (1)'!$P$40+'[1]Sch M-2.3 (1)'!$P$41</f>
        <v>-624828</v>
      </c>
      <c r="F25" s="2">
        <f>+'[1]Sch M-2.3 (1)'!$Q$40+'[1]Sch M-2.3 (1)'!$Q$41</f>
        <v>0</v>
      </c>
      <c r="G25" s="2">
        <f>+'[1]Sch M-2.3 (1)'!$R$40+'[1]Sch M-2.3 (1)'!$R$41</f>
        <v>654802</v>
      </c>
      <c r="H25" s="2">
        <f>+'[1]Sch M-2.3 (1)'!$S$40+'[1]Sch M-2.3 (1)'!$S$41</f>
        <v>-15717</v>
      </c>
      <c r="I25" s="2">
        <f>+'[1]Sch M-2.3 (1)'!$T$40+'[1]Sch M-2.3 (1)'!$T$41</f>
        <v>626001</v>
      </c>
      <c r="J25" s="2">
        <f>+'[1]Sch M-2.1'!B20</f>
        <v>10274768</v>
      </c>
      <c r="K25" s="16"/>
      <c r="L25" s="2">
        <f t="shared" si="1"/>
        <v>11167899</v>
      </c>
      <c r="M25" s="16"/>
      <c r="N25" s="2">
        <f>+'LG&amp;E'!N25</f>
        <v>893131</v>
      </c>
      <c r="O25" s="5">
        <f t="shared" si="11"/>
        <v>8.6924687739908094E-2</v>
      </c>
      <c r="Q25" s="2">
        <f>+[2]Allocation!$Q$964+[2]Allocation!$R$964</f>
        <v>1933692.7386537953</v>
      </c>
      <c r="R25" s="31">
        <f t="shared" si="2"/>
        <v>0.18819818984270936</v>
      </c>
      <c r="S25" s="2">
        <f t="shared" si="3"/>
        <v>-1040561.7386537953</v>
      </c>
      <c r="T25" s="31">
        <f t="shared" si="9"/>
        <v>-9.3174350757809984E-2</v>
      </c>
      <c r="V25" s="2">
        <f>+[3]Allocation!$Q$964+[3]Allocation!$R$964</f>
        <v>1644588.7789892668</v>
      </c>
      <c r="W25" s="31">
        <f>+V25/J25</f>
        <v>0.1600609161189106</v>
      </c>
      <c r="X25" s="2">
        <f>+N25-V25</f>
        <v>-751457.77898926684</v>
      </c>
      <c r="Y25" s="70">
        <f t="shared" si="6"/>
        <v>-6.7287300770652286E-2</v>
      </c>
      <c r="AA25" s="2">
        <f t="shared" si="7"/>
        <v>1789140.7588215312</v>
      </c>
      <c r="AB25" s="31">
        <f t="shared" si="8"/>
        <v>0.17412955298081001</v>
      </c>
      <c r="AC25" s="2">
        <f t="shared" si="7"/>
        <v>-896009.75882153108</v>
      </c>
      <c r="AD25" s="31">
        <f t="shared" si="10"/>
        <v>-8.0230825764231128E-2</v>
      </c>
    </row>
    <row r="26" spans="3:34">
      <c r="C26" t="s">
        <v>20</v>
      </c>
      <c r="D26" s="1">
        <f t="shared" ref="D26:I26" si="12">SUM(D12:D25)</f>
        <v>960869544.29999995</v>
      </c>
      <c r="E26" s="1">
        <f t="shared" si="12"/>
        <v>-43944431</v>
      </c>
      <c r="F26" s="1">
        <f t="shared" si="12"/>
        <v>19242685</v>
      </c>
      <c r="G26" s="1">
        <f t="shared" si="12"/>
        <v>89426579</v>
      </c>
      <c r="H26" s="1">
        <f t="shared" si="12"/>
        <v>-1059271</v>
      </c>
      <c r="I26" s="1">
        <f t="shared" si="12"/>
        <v>74459864.700000003</v>
      </c>
      <c r="J26" s="1">
        <f>SUM(J12:J25)</f>
        <v>1098994971</v>
      </c>
      <c r="K26" s="16"/>
      <c r="L26" s="1">
        <f>SUM(L12:L25)</f>
        <v>1192635089</v>
      </c>
      <c r="M26" s="16"/>
      <c r="N26" s="1">
        <f>SUM(N12:N25)</f>
        <v>93640118.00000006</v>
      </c>
      <c r="O26" s="4">
        <f t="shared" si="11"/>
        <v>8.5205228841761516E-2</v>
      </c>
      <c r="Q26" s="1">
        <f>SUM(Q12:Q25)</f>
        <v>93640118.028566971</v>
      </c>
      <c r="R26" s="30">
        <f t="shared" si="2"/>
        <v>8.5205228867755181E-2</v>
      </c>
      <c r="S26" s="1">
        <f>SUM(S12:S25)</f>
        <v>-2.8566897846758366E-2</v>
      </c>
      <c r="T26" s="30">
        <f t="shared" si="9"/>
        <v>-2.3952756471982659E-11</v>
      </c>
      <c r="V26" s="1">
        <f>SUM(V12:V25)</f>
        <v>93640118.028566986</v>
      </c>
      <c r="W26" s="30">
        <f>+V26/J26</f>
        <v>8.5205228867755195E-2</v>
      </c>
      <c r="X26" s="1">
        <f>SUM(X12:X25)</f>
        <v>-2.8566936496645212E-2</v>
      </c>
      <c r="Y26" s="78">
        <f t="shared" si="6"/>
        <v>-2.395278887911809E-11</v>
      </c>
      <c r="AA26" s="1">
        <f>SUM(AA12:AA25)</f>
        <v>93640118.028566971</v>
      </c>
      <c r="AB26" s="30">
        <f t="shared" si="8"/>
        <v>8.5205228867755181E-2</v>
      </c>
      <c r="AC26" s="1">
        <f>SUM(AC12:AC25)</f>
        <v>-2.8566916240379214E-2</v>
      </c>
      <c r="AD26" s="30">
        <f t="shared" si="10"/>
        <v>-2.3952771894655543E-11</v>
      </c>
    </row>
    <row r="27" spans="3:34">
      <c r="C27" s="24" t="s">
        <v>22</v>
      </c>
      <c r="D27" s="25">
        <f>+SUM('[1]Sch M-2.3 (1)'!$O$53:$O$56)</f>
        <v>21784323</v>
      </c>
      <c r="E27" s="24"/>
      <c r="F27" s="24"/>
      <c r="G27" s="24"/>
      <c r="H27" s="24"/>
      <c r="I27" s="24"/>
      <c r="J27" s="25">
        <f>+SUM('[1]Sch M-2.1'!B23:B26)</f>
        <v>21784323</v>
      </c>
      <c r="K27" s="26"/>
      <c r="L27" s="25">
        <f>+SUM('[1]Sch M-2.1'!C23:C26)</f>
        <v>21761932</v>
      </c>
      <c r="M27" s="26"/>
      <c r="N27" s="25">
        <f>+'LG&amp;E'!N27</f>
        <v>-22391</v>
      </c>
      <c r="O27" s="27">
        <f t="shared" si="11"/>
        <v>-1.0278492473693123E-3</v>
      </c>
      <c r="P27" s="28"/>
      <c r="Q27" s="25">
        <f>+[2]Allocation!$F$966</f>
        <v>-22391</v>
      </c>
      <c r="R27" s="33">
        <f t="shared" si="2"/>
        <v>-1.0278492473693123E-3</v>
      </c>
      <c r="S27" s="28"/>
      <c r="T27" s="33">
        <f t="shared" si="9"/>
        <v>0</v>
      </c>
      <c r="U27" s="28"/>
      <c r="V27" s="25">
        <f>+[3]Allocation!$F$966</f>
        <v>-22391</v>
      </c>
      <c r="W27" s="33">
        <f>+V27/J27</f>
        <v>-1.0278492473693123E-3</v>
      </c>
      <c r="X27" s="28"/>
      <c r="Y27" s="33">
        <f t="shared" si="6"/>
        <v>0</v>
      </c>
      <c r="Z27" s="28"/>
      <c r="AA27" s="25">
        <f t="shared" si="7"/>
        <v>-22391</v>
      </c>
      <c r="AB27" s="33">
        <f t="shared" si="8"/>
        <v>-1.0278492473693123E-3</v>
      </c>
      <c r="AC27" s="28"/>
      <c r="AD27" s="33">
        <f t="shared" si="10"/>
        <v>0</v>
      </c>
    </row>
    <row r="28" spans="3:34" ht="15.75" thickBot="1">
      <c r="C28" s="11" t="s">
        <v>23</v>
      </c>
      <c r="D28" s="12">
        <f t="shared" ref="D28:I28" si="13">+D26+D27</f>
        <v>982653867.29999995</v>
      </c>
      <c r="E28" s="12">
        <f t="shared" si="13"/>
        <v>-43944431</v>
      </c>
      <c r="F28" s="12">
        <f t="shared" si="13"/>
        <v>19242685</v>
      </c>
      <c r="G28" s="12">
        <f t="shared" si="13"/>
        <v>89426579</v>
      </c>
      <c r="H28" s="12">
        <f t="shared" si="13"/>
        <v>-1059271</v>
      </c>
      <c r="I28" s="12">
        <f t="shared" si="13"/>
        <v>74459864.700000003</v>
      </c>
      <c r="J28" s="12">
        <f>+J26+J27</f>
        <v>1120779294</v>
      </c>
      <c r="K28" s="17"/>
      <c r="L28" s="12">
        <f>+L26+L27</f>
        <v>1214397021</v>
      </c>
      <c r="M28" s="17"/>
      <c r="N28" s="12">
        <f>+N26+N27</f>
        <v>93617727.00000006</v>
      </c>
      <c r="O28" s="13">
        <f t="shared" si="11"/>
        <v>8.352913682575587E-2</v>
      </c>
      <c r="Q28" s="12">
        <f>+Q26+Q27</f>
        <v>93617727.028566971</v>
      </c>
      <c r="R28" s="32">
        <f t="shared" si="2"/>
        <v>8.3529136851244301E-2</v>
      </c>
      <c r="S28" s="12">
        <f>+S26+S27</f>
        <v>-2.8566897846758366E-2</v>
      </c>
      <c r="T28" s="32">
        <f t="shared" si="9"/>
        <v>-2.3523524311048492E-11</v>
      </c>
      <c r="V28" s="12">
        <f>+V26+V27</f>
        <v>93617727.028566986</v>
      </c>
      <c r="W28" s="32">
        <f>+V28/J28</f>
        <v>8.3529136851244315E-2</v>
      </c>
      <c r="X28" s="12">
        <f>+X26+X27</f>
        <v>-2.8566936496645212E-2</v>
      </c>
      <c r="Y28" s="79">
        <f t="shared" si="6"/>
        <v>-2.3523556137449724E-11</v>
      </c>
      <c r="AA28" s="12">
        <f>+AA26+AA27</f>
        <v>93617727.028566971</v>
      </c>
      <c r="AB28" s="32">
        <f t="shared" si="8"/>
        <v>8.3529136851244301E-2</v>
      </c>
      <c r="AC28" s="12">
        <f>+AC26+AC27</f>
        <v>-2.8566916240379214E-2</v>
      </c>
      <c r="AD28" s="32">
        <f t="shared" si="10"/>
        <v>-2.3523539457347874E-11</v>
      </c>
    </row>
    <row r="29" spans="3:34" ht="15.75" thickTop="1">
      <c r="M29" s="18"/>
    </row>
    <row r="30" spans="3:34">
      <c r="L30" s="42" t="s">
        <v>79</v>
      </c>
    </row>
    <row r="31" spans="3:34">
      <c r="D31" s="1"/>
      <c r="L31" s="36" t="s">
        <v>6</v>
      </c>
      <c r="N31" s="1">
        <f>+N12-'LG&amp;E'!N12</f>
        <v>0</v>
      </c>
    </row>
    <row r="32" spans="3:34">
      <c r="D32" s="1"/>
      <c r="H32" s="1"/>
      <c r="L32" s="36" t="s">
        <v>7</v>
      </c>
      <c r="N32" s="1">
        <f>+N13-'LG&amp;E'!N13</f>
        <v>0</v>
      </c>
    </row>
    <row r="33" spans="8:17">
      <c r="H33" s="1"/>
      <c r="L33" s="36" t="s">
        <v>8</v>
      </c>
      <c r="N33" s="1">
        <f>+N14-'LG&amp;E'!N14</f>
        <v>6124113.9280139506</v>
      </c>
    </row>
    <row r="34" spans="8:17">
      <c r="L34" s="36" t="s">
        <v>9</v>
      </c>
      <c r="N34" s="1">
        <f>+N15-'LG&amp;E'!N15</f>
        <v>-747062.50297901034</v>
      </c>
    </row>
    <row r="35" spans="8:17">
      <c r="H35" s="1"/>
      <c r="L35" s="36" t="s">
        <v>10</v>
      </c>
      <c r="N35" s="1">
        <f>+N16-'LG&amp;E'!N16</f>
        <v>321036.57496512122</v>
      </c>
    </row>
    <row r="36" spans="8:17">
      <c r="H36" s="1"/>
      <c r="L36" s="36" t="s">
        <v>11</v>
      </c>
      <c r="N36" s="1">
        <f>+N17-'LG&amp;E'!N17</f>
        <v>-5698088</v>
      </c>
      <c r="Q36" s="1"/>
    </row>
    <row r="37" spans="8:17">
      <c r="L37" s="36" t="s">
        <v>12</v>
      </c>
      <c r="N37" s="1">
        <f>+N18-'LG&amp;E'!N18</f>
        <v>0</v>
      </c>
    </row>
    <row r="38" spans="8:17">
      <c r="L38" s="36" t="s">
        <v>13</v>
      </c>
      <c r="N38" s="1">
        <f>+N19-'LG&amp;E'!N19</f>
        <v>0</v>
      </c>
    </row>
    <row r="39" spans="8:17">
      <c r="L39" s="36" t="s">
        <v>14</v>
      </c>
      <c r="N39" s="1">
        <f>+N20-'LG&amp;E'!N20</f>
        <v>0</v>
      </c>
    </row>
    <row r="40" spans="8:17">
      <c r="L40" s="36" t="s">
        <v>15</v>
      </c>
      <c r="N40" s="1">
        <f>+N21-'LG&amp;E'!N21</f>
        <v>0</v>
      </c>
    </row>
    <row r="41" spans="8:17">
      <c r="L41" s="36" t="s">
        <v>16</v>
      </c>
      <c r="N41" s="1">
        <f>+N22-'LG&amp;E'!N22</f>
        <v>0</v>
      </c>
    </row>
    <row r="42" spans="8:17">
      <c r="L42" s="36" t="s">
        <v>17</v>
      </c>
      <c r="N42" s="1">
        <f>+N23-'LG&amp;E'!N23</f>
        <v>0</v>
      </c>
    </row>
    <row r="43" spans="8:17">
      <c r="L43" s="36" t="s">
        <v>18</v>
      </c>
      <c r="N43" s="1">
        <f>+N24-'LG&amp;E'!N24</f>
        <v>0</v>
      </c>
    </row>
    <row r="44" spans="8:17">
      <c r="L44" s="36" t="s">
        <v>19</v>
      </c>
      <c r="N44" s="2">
        <f>+N25-'LG&amp;E'!N25</f>
        <v>0</v>
      </c>
    </row>
    <row r="45" spans="8:17">
      <c r="L45" s="36" t="s">
        <v>20</v>
      </c>
      <c r="N45" s="1">
        <f>SUM(N31:N44)</f>
        <v>6.1467289924621582E-8</v>
      </c>
    </row>
  </sheetData>
  <mergeCells count="17">
    <mergeCell ref="AA4:AD4"/>
    <mergeCell ref="AA12:AA13"/>
    <mergeCell ref="AB12:AB13"/>
    <mergeCell ref="AC12:AC13"/>
    <mergeCell ref="AD12:AD13"/>
    <mergeCell ref="A1:O1"/>
    <mergeCell ref="A2:O2"/>
    <mergeCell ref="Q4:T4"/>
    <mergeCell ref="V4:Y4"/>
    <mergeCell ref="Q12:Q13"/>
    <mergeCell ref="R12:R13"/>
    <mergeCell ref="S12:S13"/>
    <mergeCell ref="T12:T13"/>
    <mergeCell ref="V12:V13"/>
    <mergeCell ref="W12:W13"/>
    <mergeCell ref="X12:X13"/>
    <mergeCell ref="Y12:Y13"/>
  </mergeCells>
  <pageMargins left="0.7" right="0.7" top="0.75" bottom="0.75" header="0.3" footer="0.3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7"/>
  <sheetViews>
    <sheetView zoomScaleNormal="100" workbookViewId="0">
      <selection activeCell="N14" sqref="N14:N17"/>
    </sheetView>
  </sheetViews>
  <sheetFormatPr defaultRowHeight="15"/>
  <cols>
    <col min="1" max="1" width="6.7109375" customWidth="1"/>
    <col min="2" max="2" width="1.7109375" customWidth="1"/>
    <col min="3" max="3" width="41.140625" bestFit="1" customWidth="1"/>
    <col min="4" max="4" width="17.5703125" customWidth="1"/>
    <col min="5" max="5" width="16.7109375" bestFit="1" customWidth="1"/>
    <col min="6" max="6" width="14.7109375" bestFit="1" customWidth="1"/>
    <col min="7" max="7" width="12" bestFit="1" customWidth="1"/>
    <col min="8" max="8" width="16.7109375" bestFit="1" customWidth="1"/>
    <col min="9" max="9" width="15.85546875" bestFit="1" customWidth="1"/>
    <col min="10" max="10" width="14.7109375" customWidth="1"/>
    <col min="11" max="11" width="2.7109375" customWidth="1"/>
    <col min="12" max="12" width="14.7109375" customWidth="1"/>
    <col min="13" max="13" width="2.7109375" customWidth="1"/>
    <col min="14" max="14" width="14.7109375" customWidth="1"/>
    <col min="15" max="15" width="17.5703125" bestFit="1" customWidth="1"/>
    <col min="16" max="16" width="2.7109375" customWidth="1"/>
    <col min="17" max="17" width="15.42578125" bestFit="1" customWidth="1"/>
    <col min="18" max="18" width="9.28515625" bestFit="1" customWidth="1"/>
    <col min="19" max="19" width="13.42578125" bestFit="1" customWidth="1"/>
    <col min="20" max="20" width="11.42578125" bestFit="1" customWidth="1"/>
    <col min="21" max="21" width="2.7109375" customWidth="1"/>
    <col min="22" max="22" width="15.42578125" bestFit="1" customWidth="1"/>
    <col min="23" max="23" width="9.85546875" bestFit="1" customWidth="1"/>
    <col min="24" max="24" width="12.7109375" bestFit="1" customWidth="1"/>
    <col min="25" max="25" width="11.42578125" bestFit="1" customWidth="1"/>
    <col min="26" max="26" width="2.7109375" customWidth="1"/>
    <col min="27" max="27" width="15.42578125" bestFit="1" customWidth="1"/>
    <col min="28" max="28" width="9.28515625" bestFit="1" customWidth="1"/>
    <col min="29" max="29" width="13.42578125" bestFit="1" customWidth="1"/>
    <col min="30" max="30" width="11.42578125" bestFit="1" customWidth="1"/>
    <col min="32" max="32" width="15.85546875" customWidth="1"/>
    <col min="33" max="33" width="9.28515625" bestFit="1" customWidth="1"/>
    <col min="34" max="34" width="15.85546875" customWidth="1"/>
    <col min="35" max="35" width="13" bestFit="1" customWidth="1"/>
    <col min="36" max="37" width="13.42578125" customWidth="1"/>
    <col min="38" max="38" width="20.5703125" customWidth="1"/>
    <col min="39" max="40" width="13.42578125" customWidth="1"/>
    <col min="41" max="41" width="15" customWidth="1"/>
    <col min="42" max="42" width="13" bestFit="1" customWidth="1"/>
  </cols>
  <sheetData>
    <row r="1" spans="1:4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42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42" ht="15.75" thickBot="1"/>
    <row r="4" spans="1:42" ht="15.75" thickBot="1">
      <c r="Q4" s="98" t="s">
        <v>65</v>
      </c>
      <c r="R4" s="99"/>
      <c r="S4" s="99"/>
      <c r="T4" s="100"/>
      <c r="V4" s="98" t="s">
        <v>70</v>
      </c>
      <c r="W4" s="99"/>
      <c r="X4" s="99"/>
      <c r="Y4" s="100"/>
      <c r="AA4" s="98" t="s">
        <v>77</v>
      </c>
      <c r="AB4" s="99"/>
      <c r="AC4" s="99"/>
      <c r="AD4" s="100"/>
      <c r="AF4" s="112" t="s">
        <v>80</v>
      </c>
      <c r="AG4" s="113"/>
      <c r="AH4" s="113"/>
      <c r="AI4" s="113"/>
      <c r="AJ4" s="113"/>
      <c r="AK4" s="113"/>
      <c r="AL4" s="113"/>
      <c r="AM4" s="113"/>
      <c r="AN4" s="113"/>
      <c r="AO4" s="114"/>
      <c r="AP4" s="80"/>
    </row>
    <row r="5" spans="1:42">
      <c r="C5" s="6" t="s">
        <v>26</v>
      </c>
      <c r="D5" s="6"/>
      <c r="E5" s="6"/>
      <c r="F5" s="6"/>
      <c r="G5" s="6"/>
      <c r="H5" s="6"/>
      <c r="I5" s="6"/>
      <c r="AP5" s="18"/>
    </row>
    <row r="6" spans="1:42">
      <c r="C6" s="6"/>
      <c r="D6" s="6"/>
      <c r="E6" s="6"/>
      <c r="F6" s="6"/>
      <c r="G6" s="6"/>
      <c r="H6" s="6"/>
      <c r="I6" s="6"/>
      <c r="S6" s="14"/>
      <c r="X6" s="14"/>
      <c r="AC6" s="14"/>
    </row>
    <row r="7" spans="1:42">
      <c r="C7" s="6"/>
      <c r="D7" s="6"/>
      <c r="E7" s="6"/>
      <c r="F7" s="6"/>
      <c r="G7" s="6"/>
      <c r="H7" s="6"/>
      <c r="I7" s="6"/>
      <c r="L7" s="14" t="s">
        <v>61</v>
      </c>
      <c r="N7" s="14" t="s">
        <v>61</v>
      </c>
      <c r="S7" s="14" t="s">
        <v>61</v>
      </c>
      <c r="T7" s="14" t="s">
        <v>61</v>
      </c>
      <c r="X7" s="14" t="s">
        <v>61</v>
      </c>
      <c r="Y7" s="14" t="s">
        <v>61</v>
      </c>
      <c r="AC7" s="14" t="s">
        <v>61</v>
      </c>
      <c r="AD7" s="14" t="s">
        <v>61</v>
      </c>
    </row>
    <row r="8" spans="1:42">
      <c r="L8" s="14" t="s">
        <v>60</v>
      </c>
      <c r="N8" s="14" t="s">
        <v>60</v>
      </c>
      <c r="Q8" s="14" t="s">
        <v>62</v>
      </c>
      <c r="R8" s="14" t="s">
        <v>62</v>
      </c>
      <c r="S8" s="14" t="s">
        <v>60</v>
      </c>
      <c r="T8" s="14" t="s">
        <v>66</v>
      </c>
      <c r="V8" s="14" t="s">
        <v>62</v>
      </c>
      <c r="W8" s="14" t="s">
        <v>62</v>
      </c>
      <c r="X8" s="14" t="s">
        <v>60</v>
      </c>
      <c r="Y8" s="14" t="s">
        <v>66</v>
      </c>
      <c r="AA8" s="14" t="s">
        <v>62</v>
      </c>
      <c r="AB8" s="14" t="s">
        <v>62</v>
      </c>
      <c r="AC8" s="14" t="s">
        <v>60</v>
      </c>
      <c r="AD8" s="14" t="s">
        <v>66</v>
      </c>
    </row>
    <row r="9" spans="1:42">
      <c r="D9" s="7" t="s">
        <v>29</v>
      </c>
      <c r="E9" s="7" t="s">
        <v>31</v>
      </c>
      <c r="H9" s="7" t="s">
        <v>36</v>
      </c>
      <c r="I9" s="7" t="s">
        <v>37</v>
      </c>
      <c r="J9" s="14" t="s">
        <v>4</v>
      </c>
      <c r="L9" s="14" t="s">
        <v>4</v>
      </c>
      <c r="N9" s="14" t="s">
        <v>21</v>
      </c>
      <c r="Q9" s="14" t="s">
        <v>28</v>
      </c>
      <c r="R9" s="14" t="s">
        <v>66</v>
      </c>
      <c r="S9" s="23" t="s">
        <v>67</v>
      </c>
      <c r="T9" s="23" t="s">
        <v>67</v>
      </c>
      <c r="V9" s="14" t="s">
        <v>28</v>
      </c>
      <c r="W9" s="14" t="s">
        <v>66</v>
      </c>
      <c r="X9" s="23" t="s">
        <v>67</v>
      </c>
      <c r="Y9" s="23" t="s">
        <v>67</v>
      </c>
      <c r="AA9" s="14" t="s">
        <v>28</v>
      </c>
      <c r="AB9" s="14" t="s">
        <v>66</v>
      </c>
      <c r="AC9" s="23" t="s">
        <v>67</v>
      </c>
      <c r="AD9" s="23" t="s">
        <v>67</v>
      </c>
      <c r="AG9" s="43" t="s">
        <v>78</v>
      </c>
      <c r="AH9" s="43"/>
      <c r="AI9" s="43"/>
      <c r="AJ9" s="43"/>
      <c r="AK9" s="43"/>
      <c r="AL9" s="43"/>
      <c r="AM9" s="43"/>
      <c r="AN9" s="43"/>
      <c r="AO9" s="22" t="s">
        <v>73</v>
      </c>
    </row>
    <row r="10" spans="1:42" ht="15" customHeight="1">
      <c r="A10" s="7" t="s">
        <v>2</v>
      </c>
      <c r="B10" s="6"/>
      <c r="C10" s="6"/>
      <c r="D10" s="7" t="s">
        <v>30</v>
      </c>
      <c r="E10" s="7" t="s">
        <v>32</v>
      </c>
      <c r="F10" s="7" t="s">
        <v>34</v>
      </c>
      <c r="G10" s="7" t="s">
        <v>35</v>
      </c>
      <c r="H10" s="7" t="s">
        <v>32</v>
      </c>
      <c r="I10" s="7" t="s">
        <v>38</v>
      </c>
      <c r="J10" s="14" t="s">
        <v>76</v>
      </c>
      <c r="K10" s="15"/>
      <c r="L10" s="14" t="s">
        <v>75</v>
      </c>
      <c r="M10" s="7"/>
      <c r="N10" s="14" t="s">
        <v>23</v>
      </c>
      <c r="O10" s="7" t="s">
        <v>24</v>
      </c>
      <c r="Q10" s="23" t="s">
        <v>63</v>
      </c>
      <c r="R10" s="23" t="s">
        <v>63</v>
      </c>
      <c r="S10" s="23" t="s">
        <v>68</v>
      </c>
      <c r="T10" s="23" t="s">
        <v>68</v>
      </c>
      <c r="V10" s="23" t="s">
        <v>63</v>
      </c>
      <c r="W10" s="23" t="s">
        <v>63</v>
      </c>
      <c r="X10" s="23" t="s">
        <v>68</v>
      </c>
      <c r="Y10" s="23" t="s">
        <v>68</v>
      </c>
      <c r="AA10" s="23" t="s">
        <v>63</v>
      </c>
      <c r="AB10" s="23" t="s">
        <v>63</v>
      </c>
      <c r="AC10" s="23" t="s">
        <v>68</v>
      </c>
      <c r="AD10" s="23" t="s">
        <v>68</v>
      </c>
      <c r="AG10" s="44" t="s">
        <v>67</v>
      </c>
      <c r="AH10" s="44" t="s">
        <v>105</v>
      </c>
      <c r="AI10" s="44"/>
      <c r="AJ10" s="75" t="s">
        <v>108</v>
      </c>
      <c r="AK10" s="75"/>
      <c r="AL10" s="110" t="s">
        <v>118</v>
      </c>
      <c r="AM10" s="108" t="s">
        <v>117</v>
      </c>
      <c r="AN10" s="88"/>
      <c r="AO10" s="22" t="s">
        <v>28</v>
      </c>
    </row>
    <row r="11" spans="1:42">
      <c r="A11" s="7" t="s">
        <v>3</v>
      </c>
      <c r="B11" s="6"/>
      <c r="C11" s="8" t="s">
        <v>27</v>
      </c>
      <c r="D11" s="9" t="s">
        <v>5</v>
      </c>
      <c r="E11" s="9" t="s">
        <v>33</v>
      </c>
      <c r="F11" s="9" t="s">
        <v>33</v>
      </c>
      <c r="G11" s="9" t="s">
        <v>33</v>
      </c>
      <c r="H11" s="9" t="s">
        <v>33</v>
      </c>
      <c r="I11" s="9" t="s">
        <v>39</v>
      </c>
      <c r="J11" s="9" t="s">
        <v>74</v>
      </c>
      <c r="K11" s="15"/>
      <c r="L11" s="9" t="s">
        <v>74</v>
      </c>
      <c r="M11" s="15"/>
      <c r="N11" s="10" t="s">
        <v>28</v>
      </c>
      <c r="O11" s="10" t="s">
        <v>25</v>
      </c>
      <c r="Q11" s="29" t="s">
        <v>64</v>
      </c>
      <c r="R11" s="29" t="s">
        <v>64</v>
      </c>
      <c r="S11" s="10" t="s">
        <v>69</v>
      </c>
      <c r="T11" s="10" t="s">
        <v>69</v>
      </c>
      <c r="V11" s="29" t="s">
        <v>64</v>
      </c>
      <c r="W11" s="29" t="s">
        <v>64</v>
      </c>
      <c r="X11" s="10" t="s">
        <v>69</v>
      </c>
      <c r="Y11" s="10" t="s">
        <v>69</v>
      </c>
      <c r="AA11" s="29" t="s">
        <v>64</v>
      </c>
      <c r="AB11" s="29" t="s">
        <v>64</v>
      </c>
      <c r="AC11" s="10" t="s">
        <v>69</v>
      </c>
      <c r="AD11" s="10" t="s">
        <v>69</v>
      </c>
      <c r="AF11" s="22" t="s">
        <v>113</v>
      </c>
      <c r="AG11" s="44" t="s">
        <v>66</v>
      </c>
      <c r="AH11" s="44" t="s">
        <v>106</v>
      </c>
      <c r="AI11" s="44" t="s">
        <v>108</v>
      </c>
      <c r="AJ11" s="76" t="s">
        <v>110</v>
      </c>
      <c r="AK11" s="76"/>
      <c r="AL11" s="110"/>
      <c r="AM11" s="108"/>
      <c r="AN11" s="88"/>
      <c r="AO11" s="22" t="s">
        <v>63</v>
      </c>
    </row>
    <row r="12" spans="1:42">
      <c r="C12" s="3" t="s">
        <v>6</v>
      </c>
      <c r="D12" s="1">
        <f>+'[1]Sch M-2.3 (1)'!$O$13</f>
        <v>379152166</v>
      </c>
      <c r="E12" s="1">
        <f>+'[1]Sch M-2.3 (1)'!$P$13</f>
        <v>-15239054</v>
      </c>
      <c r="F12" s="1">
        <f>+'[1]Sch M-2.3 (1)'!$Q$13</f>
        <v>13769784</v>
      </c>
      <c r="G12" s="1">
        <f>+'[1]Sch M-2.3 (1)'!$R$13</f>
        <v>35275380</v>
      </c>
      <c r="H12" s="1">
        <f>+'[1]Sch M-2.3 (1)'!$S$13</f>
        <v>-376364</v>
      </c>
      <c r="I12" s="1">
        <f>+'[1]Sch M-2.3 (1)'!$T$13</f>
        <v>28880504</v>
      </c>
      <c r="J12" s="1">
        <f>+'[1]Sch M-2.1'!B7</f>
        <v>441462416</v>
      </c>
      <c r="K12" s="16"/>
      <c r="L12" s="1">
        <f>+'[1]Sch M-2.1'!C7</f>
        <v>483588845</v>
      </c>
      <c r="M12" s="16"/>
      <c r="N12" s="1">
        <f>+L12-J12</f>
        <v>42126429</v>
      </c>
      <c r="O12" s="4">
        <f t="shared" ref="O12:O19" si="0">+N12/J12</f>
        <v>9.542472353977241E-2</v>
      </c>
      <c r="Q12" s="101">
        <f>+[2]Allocation!$G$964</f>
        <v>87174229.077447191</v>
      </c>
      <c r="R12" s="103">
        <f>+Q12/(J12+J13)</f>
        <v>0.19744204234343404</v>
      </c>
      <c r="S12" s="101">
        <f>+N12+N13-Q12</f>
        <v>-45042494.077447191</v>
      </c>
      <c r="T12" s="103">
        <f>+S12/(L12+L13)</f>
        <v>-9.3130388553982701E-2</v>
      </c>
      <c r="V12" s="101">
        <f>+[3]Allocation!$G$964</f>
        <v>104962913.64278305</v>
      </c>
      <c r="W12" s="103">
        <f>+V12/(J12+J13)</f>
        <v>0.23773186478697639</v>
      </c>
      <c r="X12" s="101">
        <f>+N12+N13-V12</f>
        <v>-62831178.642783046</v>
      </c>
      <c r="Y12" s="103">
        <f>+X12/(L12+L13)</f>
        <v>-0.12991048120572282</v>
      </c>
      <c r="AA12" s="101">
        <f>+AVERAGE(Q12,V12)</f>
        <v>96068571.360115111</v>
      </c>
      <c r="AB12" s="103">
        <f>+AA12/(J12+J13)</f>
        <v>0.21758695356520519</v>
      </c>
      <c r="AC12" s="101">
        <f>+AVERAGE(S12,X12)</f>
        <v>-53936836.360115118</v>
      </c>
      <c r="AD12" s="103">
        <f>+AC12/(L12+L13)</f>
        <v>-0.11152043487985276</v>
      </c>
      <c r="AF12" s="72" t="s">
        <v>114</v>
      </c>
      <c r="AG12" s="77" t="s">
        <v>104</v>
      </c>
      <c r="AH12" s="77" t="s">
        <v>107</v>
      </c>
      <c r="AI12" s="71" t="s">
        <v>109</v>
      </c>
      <c r="AJ12" s="72" t="s">
        <v>111</v>
      </c>
      <c r="AK12" s="72" t="s">
        <v>103</v>
      </c>
      <c r="AL12" s="111"/>
      <c r="AM12" s="109"/>
      <c r="AN12" s="72" t="s">
        <v>103</v>
      </c>
      <c r="AO12" s="71"/>
    </row>
    <row r="13" spans="1:42" ht="16.5" customHeight="1">
      <c r="C13" s="3" t="s">
        <v>7</v>
      </c>
      <c r="D13" s="1">
        <f>+'[1]Sch M-2.3 (1)'!$O$15</f>
        <v>47907</v>
      </c>
      <c r="E13" s="1">
        <f>+'[1]Sch M-2.3 (1)'!$P$15</f>
        <v>-2074</v>
      </c>
      <c r="F13" s="1">
        <f>+'[1]Sch M-2.3 (1)'!$Q$15</f>
        <v>1674</v>
      </c>
      <c r="G13" s="1">
        <f>+'[1]Sch M-2.3 (1)'!$R$15</f>
        <v>4288</v>
      </c>
      <c r="H13" s="1">
        <f>+'[1]Sch M-2.3 (1)'!$S$15</f>
        <v>-52</v>
      </c>
      <c r="I13" s="1">
        <f>+'[1]Sch M-2.3 (1)'!$T$15</f>
        <v>3909</v>
      </c>
      <c r="J13" s="1">
        <f>+'[1]Sch M-2.1'!B8</f>
        <v>55652</v>
      </c>
      <c r="K13" s="16"/>
      <c r="L13" s="1">
        <f>+'[1]Sch M-2.1'!C8</f>
        <v>60958</v>
      </c>
      <c r="M13" s="16"/>
      <c r="N13" s="1">
        <f t="shared" ref="N13:N27" si="1">+L13-J13</f>
        <v>5306</v>
      </c>
      <c r="O13" s="4">
        <f t="shared" si="0"/>
        <v>9.5342485445267022E-2</v>
      </c>
      <c r="Q13" s="102"/>
      <c r="R13" s="104"/>
      <c r="S13" s="105"/>
      <c r="T13" s="104"/>
      <c r="V13" s="102"/>
      <c r="W13" s="104"/>
      <c r="X13" s="105"/>
      <c r="Y13" s="104"/>
      <c r="AA13" s="102"/>
      <c r="AB13" s="104"/>
      <c r="AC13" s="105"/>
      <c r="AD13" s="104"/>
    </row>
    <row r="14" spans="1:42" s="89" customFormat="1">
      <c r="A14" s="40"/>
      <c r="B14" s="40"/>
      <c r="C14" s="37" t="s">
        <v>8</v>
      </c>
      <c r="D14" s="35">
        <f>+'[1]Sch M-2.3 (1)'!$O$17</f>
        <v>135825835</v>
      </c>
      <c r="E14" s="35">
        <f>+'[1]Sch M-2.3 (1)'!$P$17</f>
        <v>-4998752</v>
      </c>
      <c r="F14" s="35">
        <f>+'[1]Sch M-2.3 (1)'!$Q$17</f>
        <v>3788000</v>
      </c>
      <c r="G14" s="35">
        <f>+'[1]Sch M-2.3 (1)'!$R$17</f>
        <v>24161686</v>
      </c>
      <c r="H14" s="35">
        <f>+'[1]Sch M-2.3 (1)'!$S$17</f>
        <v>-119564</v>
      </c>
      <c r="I14" s="35">
        <f>+'[1]Sch M-2.3 (1)'!$T$17</f>
        <v>11804315</v>
      </c>
      <c r="J14" s="35">
        <f>+'[1]Sch M-2.1'!B9</f>
        <v>170461520</v>
      </c>
      <c r="K14" s="38"/>
      <c r="L14" s="35">
        <f>+'[1]Sch M-2.1'!C9</f>
        <v>182642225</v>
      </c>
      <c r="M14" s="38"/>
      <c r="N14" s="35">
        <f t="shared" si="1"/>
        <v>12180705</v>
      </c>
      <c r="O14" s="39">
        <f t="shared" si="0"/>
        <v>7.1457212161430916E-2</v>
      </c>
      <c r="P14" s="40"/>
      <c r="Q14" s="35">
        <f>+[2]Allocation!$H$964</f>
        <v>-325767.54843283398</v>
      </c>
      <c r="R14" s="41">
        <f t="shared" ref="R14:R19" si="2">+Q14/J14</f>
        <v>-1.9110914207079344E-3</v>
      </c>
      <c r="S14" s="35">
        <f t="shared" ref="S14:S25" si="3">+N14-Q14</f>
        <v>12506472.548432834</v>
      </c>
      <c r="T14" s="41">
        <f>+S14/L14</f>
        <v>6.8475252907332002E-2</v>
      </c>
      <c r="U14" s="40"/>
      <c r="V14" s="35">
        <f>+[3]Allocation!$H$964</f>
        <v>-6168569.5971917985</v>
      </c>
      <c r="W14" s="41">
        <f t="shared" ref="W14:W19" si="4">+V14/J14</f>
        <v>-3.618746094245668E-2</v>
      </c>
      <c r="X14" s="35">
        <f t="shared" ref="X14:X25" si="5">+N14-V14</f>
        <v>18349274.597191799</v>
      </c>
      <c r="Y14" s="41">
        <f>+X14/L14</f>
        <v>0.10046567598041362</v>
      </c>
      <c r="Z14" s="40"/>
      <c r="AA14" s="35">
        <f>+AVERAGE(Q14,V14)</f>
        <v>-3247168.572812316</v>
      </c>
      <c r="AB14" s="41">
        <f>+AA14/J14</f>
        <v>-1.9049276181582305E-2</v>
      </c>
      <c r="AC14" s="35">
        <f>+AVERAGE(S14,X14)</f>
        <v>15427873.572812317</v>
      </c>
      <c r="AD14" s="41">
        <f>+AC14/L14</f>
        <v>8.4470464443872809E-2</v>
      </c>
      <c r="AE14" s="40"/>
      <c r="AF14" s="35">
        <f>SUM(J14,AA14)</f>
        <v>167214351.42718768</v>
      </c>
      <c r="AG14" s="39">
        <f>(SUM(L14:L17)-SUM(AF14:AF17))/SUM(L14:L17)</f>
        <v>0.11596665644630644</v>
      </c>
      <c r="AH14" s="81">
        <f>(SUM(L14:L17)-SUM(AF14:AF17))/SUM(AF14:AF17)</f>
        <v>0.13117905256846568</v>
      </c>
      <c r="AI14" s="35">
        <f>AF14*(1+AH14)</f>
        <v>189149371.62325662</v>
      </c>
      <c r="AJ14" s="35">
        <f>AF14*(1+AK14)</f>
        <v>188533381.40188059</v>
      </c>
      <c r="AK14" s="41">
        <f>AK15</f>
        <v>0.12749521672472075</v>
      </c>
      <c r="AL14" s="87">
        <f>AF14*(1+AN14)</f>
        <v>188766338.92801395</v>
      </c>
      <c r="AM14" s="41">
        <f>Kroger!O14</f>
        <v>0.10738387718245121</v>
      </c>
      <c r="AN14" s="41">
        <f>AN15</f>
        <v>0.12888838378331974</v>
      </c>
      <c r="AO14" s="35">
        <f>AL14-J14</f>
        <v>18304818.928013951</v>
      </c>
    </row>
    <row r="15" spans="1:42" s="89" customFormat="1">
      <c r="A15" s="40"/>
      <c r="B15" s="40"/>
      <c r="C15" s="37" t="s">
        <v>9</v>
      </c>
      <c r="D15" s="35">
        <f>+'[1]Sch M-2.3 (1)'!$O$20</f>
        <v>151571213</v>
      </c>
      <c r="E15" s="35">
        <f>+'[1]Sch M-2.3 (1)'!$P$20</f>
        <v>-6930881</v>
      </c>
      <c r="F15" s="35">
        <f>+'[1]Sch M-2.3 (1)'!$Q$20</f>
        <v>907454</v>
      </c>
      <c r="G15" s="35">
        <f>+'[1]Sch M-2.3 (1)'!$R$20</f>
        <v>7160930</v>
      </c>
      <c r="H15" s="35">
        <f>+'[1]Sch M-2.3 (1)'!$S$20</f>
        <v>-164831</v>
      </c>
      <c r="I15" s="35">
        <f>+'[1]Sch M-2.3 (1)'!$T$20</f>
        <v>12351713</v>
      </c>
      <c r="J15" s="35">
        <f>+'[1]Sch M-2.1'!B10</f>
        <v>164895598</v>
      </c>
      <c r="K15" s="38"/>
      <c r="L15" s="35">
        <f>+'[1]Sch M-2.1'!C10</f>
        <v>176526765</v>
      </c>
      <c r="M15" s="38"/>
      <c r="N15" s="35">
        <f t="shared" si="1"/>
        <v>11631167</v>
      </c>
      <c r="O15" s="39">
        <f t="shared" si="0"/>
        <v>7.053655246758013E-2</v>
      </c>
      <c r="P15" s="40"/>
      <c r="Q15" s="35">
        <f>+[2]Allocation!$K$964</f>
        <v>-7442955.341189744</v>
      </c>
      <c r="R15" s="41">
        <f t="shared" si="2"/>
        <v>-4.5137380448383731E-2</v>
      </c>
      <c r="S15" s="35">
        <f t="shared" si="3"/>
        <v>19074122.341189742</v>
      </c>
      <c r="T15" s="41">
        <f t="shared" ref="T15:T27" si="6">+S15/L15</f>
        <v>0.10805229643895498</v>
      </c>
      <c r="U15" s="40"/>
      <c r="V15" s="35">
        <f>+[3]Allocation!$K$964</f>
        <v>-10927368.547577027</v>
      </c>
      <c r="W15" s="41">
        <f t="shared" si="4"/>
        <v>-6.6268406677399763E-2</v>
      </c>
      <c r="X15" s="35">
        <f t="shared" si="5"/>
        <v>22558535.547577027</v>
      </c>
      <c r="Y15" s="41">
        <f t="shared" ref="Y15:Y27" si="7">+X15/L15</f>
        <v>0.12779102108157381</v>
      </c>
      <c r="Z15" s="40"/>
      <c r="AA15" s="35">
        <f t="shared" ref="AA15:AC27" si="8">+AVERAGE(Q15,V15)</f>
        <v>-9185161.9443833865</v>
      </c>
      <c r="AB15" s="41">
        <f t="shared" ref="AB15:AB28" si="9">+AA15/J15</f>
        <v>-5.5702893562891757E-2</v>
      </c>
      <c r="AC15" s="35">
        <f t="shared" si="8"/>
        <v>20816328.944383383</v>
      </c>
      <c r="AD15" s="41">
        <f t="shared" ref="AD15:AD27" si="10">+AC15/L15</f>
        <v>0.11792165876026439</v>
      </c>
      <c r="AE15" s="40"/>
      <c r="AF15" s="35">
        <f t="shared" ref="AF15:AF17" si="11">SUM(J15,AA15)</f>
        <v>155710436.05561662</v>
      </c>
      <c r="AG15" s="39">
        <f>AG14</f>
        <v>0.11596665644630644</v>
      </c>
      <c r="AH15" s="81">
        <f>AH14</f>
        <v>0.13117905256846568</v>
      </c>
      <c r="AI15" s="35">
        <f>AF15*(1+AH15)</f>
        <v>176136383.53241506</v>
      </c>
      <c r="AJ15" s="35">
        <f>AF15*(1+AK15)</f>
        <v>175562771.84682822</v>
      </c>
      <c r="AK15" s="41">
        <f>((AJ18-AJ17)-(AF14+AF15+AF16))/(AF14+AF15+AF16)</f>
        <v>0.12749521672472075</v>
      </c>
      <c r="AL15" s="87">
        <f>AF15*(1+AN15)</f>
        <v>175779702.49702099</v>
      </c>
      <c r="AM15" s="41">
        <f>Kroger!O15</f>
        <v>6.6006034297052554E-2</v>
      </c>
      <c r="AN15" s="41">
        <f>((AL18-AL17-AL16)-(AF15+AF14))/(AF15+AF14)</f>
        <v>0.12888838378331974</v>
      </c>
      <c r="AO15" s="35">
        <f>AL15-J15</f>
        <v>10884104.49702099</v>
      </c>
    </row>
    <row r="16" spans="1:42" s="89" customFormat="1">
      <c r="A16" s="40"/>
      <c r="B16" s="40"/>
      <c r="C16" s="37" t="s">
        <v>10</v>
      </c>
      <c r="D16" s="35">
        <f>+'[1]Sch M-2.3 (1)'!$O$21</f>
        <v>11517853</v>
      </c>
      <c r="E16" s="35">
        <f>+'[1]Sch M-2.3 (1)'!$P$21</f>
        <v>-612937</v>
      </c>
      <c r="F16" s="35">
        <f>+'[1]Sch M-2.3 (1)'!$Q$21</f>
        <v>77465</v>
      </c>
      <c r="G16" s="35">
        <f>+'[1]Sch M-2.3 (1)'!$R$21</f>
        <v>574599</v>
      </c>
      <c r="H16" s="35">
        <f>+'[1]Sch M-2.3 (1)'!$S$21</f>
        <v>-14604</v>
      </c>
      <c r="I16" s="35">
        <f>+'[1]Sch M-2.3 (1)'!$T$21</f>
        <v>993949</v>
      </c>
      <c r="J16" s="35">
        <f>+'[1]Sch M-2.1'!B11</f>
        <v>12536325</v>
      </c>
      <c r="K16" s="38"/>
      <c r="L16" s="35">
        <f>+'[1]Sch M-2.1'!C11</f>
        <v>13570842</v>
      </c>
      <c r="M16" s="38"/>
      <c r="N16" s="35">
        <f t="shared" si="1"/>
        <v>1034517</v>
      </c>
      <c r="O16" s="39">
        <f t="shared" si="0"/>
        <v>8.2521552368816226E-2</v>
      </c>
      <c r="P16" s="40"/>
      <c r="Q16" s="35">
        <f>+[2]Allocation!$J$964</f>
        <v>284178.53549553693</v>
      </c>
      <c r="R16" s="41">
        <f t="shared" si="2"/>
        <v>2.2668408444702647E-2</v>
      </c>
      <c r="S16" s="35">
        <f t="shared" si="3"/>
        <v>750338.46450446313</v>
      </c>
      <c r="T16" s="41">
        <f t="shared" si="6"/>
        <v>5.529048709759226E-2</v>
      </c>
      <c r="U16" s="40"/>
      <c r="V16" s="35">
        <f>+[3]Allocation!$J$964</f>
        <v>83220.412921078416</v>
      </c>
      <c r="W16" s="41">
        <f t="shared" si="4"/>
        <v>6.6383420117999822E-3</v>
      </c>
      <c r="X16" s="35">
        <f t="shared" si="5"/>
        <v>951296.58707892161</v>
      </c>
      <c r="Y16" s="41">
        <f t="shared" si="7"/>
        <v>7.009856772917418E-2</v>
      </c>
      <c r="Z16" s="40"/>
      <c r="AA16" s="35">
        <f t="shared" si="8"/>
        <v>183699.47420830769</v>
      </c>
      <c r="AB16" s="41">
        <f t="shared" si="9"/>
        <v>1.4653375228251317E-2</v>
      </c>
      <c r="AC16" s="35">
        <f t="shared" si="8"/>
        <v>850817.52579169231</v>
      </c>
      <c r="AD16" s="41">
        <f t="shared" si="10"/>
        <v>6.2694527413383216E-2</v>
      </c>
      <c r="AE16" s="40"/>
      <c r="AF16" s="35">
        <f t="shared" si="11"/>
        <v>12720024.474208308</v>
      </c>
      <c r="AG16" s="39">
        <f t="shared" ref="AG16:AG17" si="12">AG15</f>
        <v>0.11596665644630644</v>
      </c>
      <c r="AH16" s="81">
        <f t="shared" ref="AH16:AH17" si="13">AH15</f>
        <v>0.13117905256846568</v>
      </c>
      <c r="AI16" s="35">
        <f>AF16*(1+AH16)</f>
        <v>14388625.233382652</v>
      </c>
      <c r="AJ16" s="35">
        <f>AF16*(1+AK16)</f>
        <v>14341766.751291249</v>
      </c>
      <c r="AK16" s="41">
        <f>AK15</f>
        <v>0.12749521672472075</v>
      </c>
      <c r="AL16" s="87">
        <f>J16*(1+('Kroger Exhibit'!H27+0.025))</f>
        <v>13891878.574965121</v>
      </c>
      <c r="AM16" s="41">
        <f>Kroger!O16</f>
        <v>0.10813006004272553</v>
      </c>
      <c r="AN16" s="41">
        <f>AL16/AF16-1</f>
        <v>9.2126717455058182E-2</v>
      </c>
      <c r="AO16" s="35">
        <f>AL16-J16</f>
        <v>1355553.5749651212</v>
      </c>
    </row>
    <row r="17" spans="1:42" s="89" customFormat="1">
      <c r="A17" s="40"/>
      <c r="B17" s="40"/>
      <c r="C17" s="37" t="s">
        <v>11</v>
      </c>
      <c r="D17" s="35">
        <f>+'[1]Sch M-2.3 (1)'!$O$24</f>
        <v>77629237</v>
      </c>
      <c r="E17" s="35">
        <f>+'[1]Sch M-2.3 (1)'!$P$24</f>
        <v>-3996175</v>
      </c>
      <c r="F17" s="35">
        <f>+'[1]Sch M-2.3 (1)'!$Q$24</f>
        <v>439027</v>
      </c>
      <c r="G17" s="35">
        <f>+'[1]Sch M-2.3 (1)'!$R$24</f>
        <v>4320114</v>
      </c>
      <c r="H17" s="35">
        <f>+'[1]Sch M-2.3 (1)'!$S$24</f>
        <v>-95641</v>
      </c>
      <c r="I17" s="35">
        <f>+'[1]Sch M-2.3 (1)'!$T$24</f>
        <v>6142643</v>
      </c>
      <c r="J17" s="35">
        <f>+'[1]Sch M-2.1'!B12</f>
        <v>84439205</v>
      </c>
      <c r="K17" s="38"/>
      <c r="L17" s="35">
        <f>+'[1]Sch M-2.1'!C12</f>
        <v>90137293</v>
      </c>
      <c r="M17" s="38"/>
      <c r="N17" s="35">
        <f t="shared" si="1"/>
        <v>5698088</v>
      </c>
      <c r="O17" s="39">
        <f t="shared" si="0"/>
        <v>6.7481544858220777E-2</v>
      </c>
      <c r="P17" s="40"/>
      <c r="Q17" s="35">
        <f>+[2]Allocation!$O$964</f>
        <v>-10903597.552298291</v>
      </c>
      <c r="R17" s="41">
        <f t="shared" si="2"/>
        <v>-0.12912956194102362</v>
      </c>
      <c r="S17" s="35">
        <f t="shared" si="3"/>
        <v>16601685.552298291</v>
      </c>
      <c r="T17" s="41">
        <f t="shared" si="6"/>
        <v>0.18418220693956597</v>
      </c>
      <c r="U17" s="40"/>
      <c r="V17" s="35">
        <f>+[3]Allocation!$O$964</f>
        <v>-10866811.425184982</v>
      </c>
      <c r="W17" s="41">
        <f t="shared" si="4"/>
        <v>-0.12869390972102332</v>
      </c>
      <c r="X17" s="35">
        <f t="shared" si="5"/>
        <v>16564899.425184982</v>
      </c>
      <c r="Y17" s="41">
        <f t="shared" si="7"/>
        <v>0.18377409475992343</v>
      </c>
      <c r="Z17" s="40"/>
      <c r="AA17" s="35">
        <f t="shared" si="8"/>
        <v>-10885204.488741636</v>
      </c>
      <c r="AB17" s="41">
        <f t="shared" si="9"/>
        <v>-0.12891173583102347</v>
      </c>
      <c r="AC17" s="35">
        <f t="shared" si="8"/>
        <v>16583292.488741636</v>
      </c>
      <c r="AD17" s="41">
        <f t="shared" si="10"/>
        <v>0.1839781508497447</v>
      </c>
      <c r="AE17" s="40"/>
      <c r="AF17" s="84">
        <f t="shared" si="11"/>
        <v>73554000.511258364</v>
      </c>
      <c r="AG17" s="82">
        <f t="shared" si="12"/>
        <v>0.11596665644630644</v>
      </c>
      <c r="AH17" s="83">
        <f t="shared" si="13"/>
        <v>0.13117905256846568</v>
      </c>
      <c r="AI17" s="84">
        <f>AF17*(1+AH17)</f>
        <v>83202744.610945687</v>
      </c>
      <c r="AJ17" s="84">
        <f>J17</f>
        <v>84439205</v>
      </c>
      <c r="AK17" s="85">
        <f>(AJ17-(J17+AA17))/(J17+AA17)</f>
        <v>0.14798929239852179</v>
      </c>
      <c r="AL17" s="86">
        <f>AJ17</f>
        <v>84439205</v>
      </c>
      <c r="AM17" s="85">
        <f>Kroger!O17</f>
        <v>0</v>
      </c>
      <c r="AN17" s="85">
        <f>AL17/AF17-1</f>
        <v>0.14798929239852177</v>
      </c>
      <c r="AO17" s="84">
        <f>AL17-J17</f>
        <v>0</v>
      </c>
    </row>
    <row r="18" spans="1:42">
      <c r="C18" s="3" t="s">
        <v>12</v>
      </c>
      <c r="D18" s="1">
        <f>+'[1]Sch M-2.3 (1)'!$O$26</f>
        <v>116918595</v>
      </c>
      <c r="E18" s="1">
        <f>+'[1]Sch M-2.3 (1)'!$P$26</f>
        <v>-6855082</v>
      </c>
      <c r="F18" s="1">
        <f>+'[1]Sch M-2.3 (1)'!$Q$26</f>
        <v>259281</v>
      </c>
      <c r="G18" s="1">
        <f>+'[1]Sch M-2.3 (1)'!$R$26</f>
        <v>8034362</v>
      </c>
      <c r="H18" s="1">
        <f>+'[1]Sch M-2.3 (1)'!$S$26</f>
        <v>-163331</v>
      </c>
      <c r="I18" s="1">
        <f>+'[1]Sch M-2.3 (1)'!$T$26</f>
        <v>8176599</v>
      </c>
      <c r="J18" s="1">
        <f>+'[1]Sch M-2.1'!B13</f>
        <v>126370424</v>
      </c>
      <c r="K18" s="16"/>
      <c r="L18" s="1">
        <f>+'[1]Sch M-2.1'!C13</f>
        <v>136755655</v>
      </c>
      <c r="M18" s="16"/>
      <c r="N18" s="1">
        <f t="shared" si="1"/>
        <v>10385231</v>
      </c>
      <c r="O18" s="4">
        <f t="shared" si="0"/>
        <v>8.2180866940827865E-2</v>
      </c>
      <c r="Q18" s="1">
        <f>+[2]Allocation!$N$964</f>
        <v>10654568.356106328</v>
      </c>
      <c r="R18" s="30">
        <f t="shared" si="2"/>
        <v>8.431219915908747E-2</v>
      </c>
      <c r="S18" s="1">
        <f t="shared" si="3"/>
        <v>-269337.35610632785</v>
      </c>
      <c r="T18" s="30">
        <f t="shared" si="6"/>
        <v>-1.9694787473785113E-3</v>
      </c>
      <c r="V18" s="1">
        <f>+[3]Allocation!$N$964</f>
        <v>6922593.8652986661</v>
      </c>
      <c r="W18" s="30">
        <f t="shared" si="4"/>
        <v>5.4780174396650484E-2</v>
      </c>
      <c r="X18" s="1">
        <f t="shared" si="5"/>
        <v>3462637.1347013339</v>
      </c>
      <c r="Y18" s="30">
        <f t="shared" si="7"/>
        <v>2.5319882638135394E-2</v>
      </c>
      <c r="AA18" s="1">
        <f t="shared" si="8"/>
        <v>8788581.110702496</v>
      </c>
      <c r="AB18" s="30">
        <f t="shared" si="9"/>
        <v>6.9546186777868974E-2</v>
      </c>
      <c r="AC18" s="1">
        <f t="shared" si="8"/>
        <v>1596649.889297503</v>
      </c>
      <c r="AD18" s="30">
        <f t="shared" si="10"/>
        <v>1.1675201945378442E-2</v>
      </c>
      <c r="AF18" t="s">
        <v>112</v>
      </c>
      <c r="AI18" s="34">
        <f>SUM(AI14:AI17)</f>
        <v>462877125.00000006</v>
      </c>
      <c r="AJ18" s="34">
        <f>AI18</f>
        <v>462877125.00000006</v>
      </c>
      <c r="AK18" s="34"/>
      <c r="AL18" s="34">
        <f>AI18</f>
        <v>462877125.00000006</v>
      </c>
      <c r="AM18" s="34"/>
      <c r="AN18" s="34"/>
      <c r="AO18" s="1">
        <f>SUM(AO14:AO17)</f>
        <v>30544477.00000006</v>
      </c>
      <c r="AP18" s="34"/>
    </row>
    <row r="19" spans="1:42">
      <c r="C19" s="3" t="s">
        <v>13</v>
      </c>
      <c r="D19" s="1">
        <f>+'[1]Sch M-2.3 (1)'!$O$28</f>
        <v>64284636</v>
      </c>
      <c r="E19" s="1">
        <f>+'[1]Sch M-2.3 (1)'!$P$28</f>
        <v>-4273319</v>
      </c>
      <c r="F19" s="1">
        <f>+'[1]Sch M-2.3 (1)'!$Q$28</f>
        <v>0</v>
      </c>
      <c r="G19" s="1">
        <f>+'[1]Sch M-2.3 (1)'!$R$28</f>
        <v>4904122</v>
      </c>
      <c r="H19" s="1">
        <f>+'[1]Sch M-2.3 (1)'!$S$28</f>
        <v>-98827</v>
      </c>
      <c r="I19" s="1">
        <f>+'[1]Sch M-2.3 (1)'!$T$28</f>
        <v>4078891</v>
      </c>
      <c r="J19" s="1">
        <f>+'[1]Sch M-2.1'!B14</f>
        <v>68895503</v>
      </c>
      <c r="K19" s="16"/>
      <c r="L19" s="1">
        <f>+'[1]Sch M-2.1'!C14</f>
        <v>74719968</v>
      </c>
      <c r="M19" s="16"/>
      <c r="N19" s="1">
        <f t="shared" si="1"/>
        <v>5824465</v>
      </c>
      <c r="O19" s="4">
        <f t="shared" si="0"/>
        <v>8.4540568634791743E-2</v>
      </c>
      <c r="Q19" s="1">
        <f>+[2]Allocation!$P$964</f>
        <v>7838139.9950658679</v>
      </c>
      <c r="R19" s="30">
        <f t="shared" si="2"/>
        <v>0.11376852847806145</v>
      </c>
      <c r="S19" s="1">
        <f t="shared" si="3"/>
        <v>-2013674.9950658679</v>
      </c>
      <c r="T19" s="30">
        <f t="shared" si="6"/>
        <v>-2.6949623359927937E-2</v>
      </c>
      <c r="V19" s="1">
        <f>+[3]Allocation!$P$964</f>
        <v>4472160.5473788055</v>
      </c>
      <c r="W19" s="30">
        <f t="shared" si="4"/>
        <v>6.4912227252028415E-2</v>
      </c>
      <c r="X19" s="1">
        <f t="shared" si="5"/>
        <v>1352304.4526211945</v>
      </c>
      <c r="Y19" s="30">
        <f t="shared" si="7"/>
        <v>1.8098300746343929E-2</v>
      </c>
      <c r="AA19" s="1">
        <f t="shared" si="8"/>
        <v>6155150.2712223362</v>
      </c>
      <c r="AB19" s="30">
        <f t="shared" si="9"/>
        <v>8.9340377865044923E-2</v>
      </c>
      <c r="AC19" s="1">
        <f t="shared" si="8"/>
        <v>-330685.27122233668</v>
      </c>
      <c r="AD19" s="30">
        <f t="shared" si="10"/>
        <v>-4.4256613067920033E-3</v>
      </c>
    </row>
    <row r="20" spans="1:42">
      <c r="C20" s="3" t="s">
        <v>14</v>
      </c>
      <c r="D20" s="1">
        <f>+'[1]Sch M-2.3 (1)'!$O$30</f>
        <v>0</v>
      </c>
      <c r="E20" s="1">
        <f>+'[1]Sch M-2.3 (1)'!$P$30</f>
        <v>0</v>
      </c>
      <c r="F20" s="1">
        <f>+'[1]Sch M-2.3 (1)'!$Q$30</f>
        <v>0</v>
      </c>
      <c r="G20" s="1">
        <f>+'[1]Sch M-2.3 (1)'!$R$30</f>
        <v>0</v>
      </c>
      <c r="H20" s="1">
        <f>+'[1]Sch M-2.3 (1)'!$S$30</f>
        <v>0</v>
      </c>
      <c r="I20" s="1">
        <f>+'[1]Sch M-2.3 (1)'!$T$30</f>
        <v>0</v>
      </c>
      <c r="J20" s="1">
        <f>+'[1]Sch M-2.1'!B15</f>
        <v>0</v>
      </c>
      <c r="K20" s="16"/>
      <c r="L20" s="1">
        <f>+'[1]Sch M-2.1'!C15</f>
        <v>0</v>
      </c>
      <c r="M20" s="16"/>
      <c r="N20" s="1">
        <f t="shared" si="1"/>
        <v>0</v>
      </c>
      <c r="O20" s="4">
        <v>0</v>
      </c>
      <c r="Q20" s="1"/>
      <c r="R20" s="30">
        <v>0</v>
      </c>
      <c r="S20" s="1">
        <f t="shared" si="3"/>
        <v>0</v>
      </c>
      <c r="T20" s="30">
        <v>0</v>
      </c>
      <c r="V20" s="1"/>
      <c r="W20" s="30">
        <v>0</v>
      </c>
      <c r="X20" s="1">
        <f t="shared" si="5"/>
        <v>0</v>
      </c>
      <c r="Y20" s="30">
        <v>0</v>
      </c>
      <c r="AA20" s="1"/>
      <c r="AB20" s="30">
        <v>0</v>
      </c>
      <c r="AC20" s="1"/>
      <c r="AD20" s="30">
        <v>0</v>
      </c>
    </row>
    <row r="21" spans="1:42">
      <c r="C21" s="3" t="s">
        <v>15</v>
      </c>
      <c r="D21" s="1">
        <f>+'[1]Sch M-2.3 (1)'!$O$43</f>
        <v>210819</v>
      </c>
      <c r="E21" s="1">
        <f>+'[1]Sch M-2.3 (1)'!$P$43</f>
        <v>-12636</v>
      </c>
      <c r="F21" s="1">
        <f>+'[1]Sch M-2.3 (1)'!$Q$43</f>
        <v>0</v>
      </c>
      <c r="G21" s="1">
        <f>+'[1]Sch M-2.3 (1)'!$R$43</f>
        <v>27467</v>
      </c>
      <c r="H21" s="1">
        <f>+'[1]Sch M-2.3 (1)'!$S$43</f>
        <v>-321</v>
      </c>
      <c r="I21" s="1">
        <f>+'[1]Sch M-2.3 (1)'!$T$43</f>
        <v>19208</v>
      </c>
      <c r="J21" s="1">
        <f>+'[1]Sch M-2.1'!B16</f>
        <v>244537</v>
      </c>
      <c r="K21" s="16"/>
      <c r="L21" s="1">
        <f>+'[1]Sch M-2.1'!C16</f>
        <v>244537</v>
      </c>
      <c r="M21" s="16"/>
      <c r="N21" s="1">
        <f t="shared" si="1"/>
        <v>0</v>
      </c>
      <c r="O21" s="4">
        <f t="shared" ref="O21:O28" si="14">+N21/J21</f>
        <v>0</v>
      </c>
      <c r="Q21" s="1">
        <f>+[2]Allocation!$T$964</f>
        <v>-3324.477977715334</v>
      </c>
      <c r="R21" s="30">
        <f t="shared" ref="R21:R28" si="15">+Q21/J21</f>
        <v>-1.3594989624127776E-2</v>
      </c>
      <c r="S21" s="1">
        <f t="shared" si="3"/>
        <v>3324.477977715334</v>
      </c>
      <c r="T21" s="30">
        <f t="shared" si="6"/>
        <v>1.3594989624127776E-2</v>
      </c>
      <c r="V21" s="1">
        <f>+[3]Allocation!$T$964</f>
        <v>-31519.652783508973</v>
      </c>
      <c r="W21" s="30">
        <f t="shared" ref="W21:W28" si="16">+V21/J21</f>
        <v>-0.12889522969329376</v>
      </c>
      <c r="X21" s="1">
        <f t="shared" si="5"/>
        <v>31519.652783508973</v>
      </c>
      <c r="Y21" s="30">
        <f t="shared" si="7"/>
        <v>0.12889522969329376</v>
      </c>
      <c r="AA21" s="1">
        <f t="shared" si="8"/>
        <v>-17422.065380612152</v>
      </c>
      <c r="AB21" s="30">
        <f t="shared" si="9"/>
        <v>-7.1245109658710754E-2</v>
      </c>
      <c r="AC21" s="1">
        <f t="shared" si="8"/>
        <v>17422.065380612152</v>
      </c>
      <c r="AD21" s="30">
        <f t="shared" si="10"/>
        <v>7.1245109658710754E-2</v>
      </c>
      <c r="AI21" s="1"/>
    </row>
    <row r="22" spans="1:42">
      <c r="C22" s="3" t="s">
        <v>16</v>
      </c>
      <c r="D22" s="1">
        <f>+'[1]Sch M-2.3 (1)'!$O$44</f>
        <v>270128</v>
      </c>
      <c r="E22" s="1">
        <f>+'[1]Sch M-2.3 (1)'!$P$44</f>
        <v>-11637</v>
      </c>
      <c r="F22" s="1">
        <f>+'[1]Sch M-2.3 (1)'!$Q$44</f>
        <v>0</v>
      </c>
      <c r="G22" s="1">
        <f>+'[1]Sch M-2.3 (1)'!$R$44</f>
        <v>28013</v>
      </c>
      <c r="H22" s="1">
        <f>+'[1]Sch M-2.3 (1)'!$S$44</f>
        <v>-283</v>
      </c>
      <c r="I22" s="1">
        <f>+'[1]Sch M-2.3 (1)'!$T$44</f>
        <v>17999</v>
      </c>
      <c r="J22" s="1">
        <f>+'[1]Sch M-2.1'!B17</f>
        <v>304220</v>
      </c>
      <c r="K22" s="16"/>
      <c r="L22" s="1">
        <f>+'[1]Sch M-2.1'!C17</f>
        <v>324800</v>
      </c>
      <c r="M22" s="16"/>
      <c r="N22" s="1">
        <f t="shared" si="1"/>
        <v>20580</v>
      </c>
      <c r="O22" s="4">
        <f t="shared" si="14"/>
        <v>6.7648412333179933E-2</v>
      </c>
      <c r="Q22" s="1">
        <f>+[2]Allocation!$U$964</f>
        <v>-2013.3182989951047</v>
      </c>
      <c r="R22" s="30">
        <f t="shared" si="15"/>
        <v>-6.6179682433604127E-3</v>
      </c>
      <c r="S22" s="1">
        <f t="shared" si="3"/>
        <v>22593.318298995106</v>
      </c>
      <c r="T22" s="30">
        <f t="shared" si="6"/>
        <v>6.9560709048630251E-2</v>
      </c>
      <c r="V22" s="1">
        <f>+[3]Allocation!$U$964</f>
        <v>-19639.200203292807</v>
      </c>
      <c r="W22" s="30">
        <f t="shared" si="16"/>
        <v>-6.4555914151905883E-2</v>
      </c>
      <c r="X22" s="1">
        <f t="shared" si="5"/>
        <v>40219.200203292807</v>
      </c>
      <c r="Y22" s="30">
        <f t="shared" si="7"/>
        <v>0.12382758683279806</v>
      </c>
      <c r="AA22" s="1">
        <f t="shared" si="8"/>
        <v>-10826.259251143956</v>
      </c>
      <c r="AB22" s="30">
        <f t="shared" si="9"/>
        <v>-3.558694119763315E-2</v>
      </c>
      <c r="AC22" s="1">
        <f t="shared" si="8"/>
        <v>31406.259251143958</v>
      </c>
      <c r="AD22" s="30">
        <f t="shared" si="10"/>
        <v>9.6694147940714154E-2</v>
      </c>
      <c r="AI22" s="1"/>
    </row>
    <row r="23" spans="1:42">
      <c r="C23" s="3" t="s">
        <v>17</v>
      </c>
      <c r="D23" s="1">
        <f>+'[1]Sch M-2.3 (1)'!$O$48</f>
        <v>18141167.299999997</v>
      </c>
      <c r="E23" s="1">
        <f>+'[1]Sch M-2.3 (1)'!$P$48</f>
        <v>-387056</v>
      </c>
      <c r="F23" s="1">
        <f>+'[1]Sch M-2.3 (1)'!$Q$48</f>
        <v>0</v>
      </c>
      <c r="G23" s="1">
        <f>+'[1]Sch M-2.3 (1)'!$R$48</f>
        <v>4280816</v>
      </c>
      <c r="H23" s="1">
        <f>+'[1]Sch M-2.3 (1)'!$S$48</f>
        <v>-9736</v>
      </c>
      <c r="I23" s="1">
        <f>+'[1]Sch M-2.3 (1)'!$T$48</f>
        <v>1364133.6999999997</v>
      </c>
      <c r="J23" s="1">
        <f>+'[1]Sch M-2.1'!B18</f>
        <v>23389325</v>
      </c>
      <c r="K23" s="16"/>
      <c r="L23" s="1">
        <f>+'[1]Sch M-2.1'!C18</f>
        <v>25309553</v>
      </c>
      <c r="M23" s="16"/>
      <c r="N23" s="1">
        <f t="shared" si="1"/>
        <v>1920228</v>
      </c>
      <c r="O23" s="4">
        <f t="shared" si="14"/>
        <v>8.2098478686323778E-2</v>
      </c>
      <c r="Q23" s="1">
        <f>+[2]Allocation!$S$964</f>
        <v>2512696.5639958186</v>
      </c>
      <c r="R23" s="30">
        <f t="shared" si="15"/>
        <v>0.1074292038780862</v>
      </c>
      <c r="S23" s="1">
        <f t="shared" si="3"/>
        <v>-592468.56399581861</v>
      </c>
      <c r="T23" s="30">
        <f t="shared" si="6"/>
        <v>-2.340889086408672E-2</v>
      </c>
      <c r="V23" s="1">
        <f>+[3]Allocation!$S$964</f>
        <v>1648278.204136742</v>
      </c>
      <c r="W23" s="30">
        <f t="shared" si="16"/>
        <v>7.047138829943754E-2</v>
      </c>
      <c r="X23" s="1">
        <f t="shared" si="5"/>
        <v>271949.79586325795</v>
      </c>
      <c r="Y23" s="30">
        <f t="shared" si="7"/>
        <v>1.0744946616135731E-2</v>
      </c>
      <c r="AA23" s="1">
        <f t="shared" si="8"/>
        <v>2080487.3840662804</v>
      </c>
      <c r="AB23" s="30">
        <f t="shared" si="9"/>
        <v>8.8950296088761885E-2</v>
      </c>
      <c r="AC23" s="1">
        <f t="shared" si="8"/>
        <v>-160259.38406628033</v>
      </c>
      <c r="AD23" s="30">
        <f t="shared" si="10"/>
        <v>-6.3319721239754939E-3</v>
      </c>
      <c r="AI23" s="1"/>
    </row>
    <row r="24" spans="1:42">
      <c r="C24" s="24" t="s">
        <v>18</v>
      </c>
      <c r="D24" s="25">
        <f>+'[1]Sch M-2.3 (1)'!$O$38</f>
        <v>-4334522</v>
      </c>
      <c r="E24" s="25">
        <f>+'[1]Sch M-2.3 (1)'!$P$38</f>
        <v>0</v>
      </c>
      <c r="F24" s="25">
        <f>+'[1]Sch M-2.3 (1)'!$Q$38</f>
        <v>0</v>
      </c>
      <c r="G24" s="25">
        <f>+'[1]Sch M-2.3 (1)'!$R$38</f>
        <v>0</v>
      </c>
      <c r="H24" s="25">
        <f>+'[1]Sch M-2.3 (1)'!$S$38</f>
        <v>0</v>
      </c>
      <c r="I24" s="25">
        <f>+'[1]Sch M-2.3 (1)'!$T$38</f>
        <v>0</v>
      </c>
      <c r="J24" s="25">
        <f>+'[1]Sch M-2.1'!B19</f>
        <v>-4334522</v>
      </c>
      <c r="K24" s="26"/>
      <c r="L24" s="25">
        <f>+'[1]Sch M-2.1'!C19</f>
        <v>-2414251</v>
      </c>
      <c r="M24" s="26"/>
      <c r="N24" s="25">
        <f t="shared" si="1"/>
        <v>1920271</v>
      </c>
      <c r="O24" s="27">
        <f t="shared" si="14"/>
        <v>-0.44301793831015279</v>
      </c>
      <c r="P24" s="28"/>
      <c r="Q24" s="25">
        <f>+[2]Allocation!$F$965</f>
        <v>1920271</v>
      </c>
      <c r="R24" s="33">
        <f t="shared" si="15"/>
        <v>-0.44301793831015279</v>
      </c>
      <c r="S24" s="25">
        <f t="shared" si="3"/>
        <v>0</v>
      </c>
      <c r="T24" s="33">
        <f t="shared" si="6"/>
        <v>0</v>
      </c>
      <c r="U24" s="28"/>
      <c r="V24" s="25">
        <f>+[3]Allocation!$F$965</f>
        <v>1920271</v>
      </c>
      <c r="W24" s="33">
        <f t="shared" si="16"/>
        <v>-0.44301793831015279</v>
      </c>
      <c r="X24" s="25">
        <f t="shared" si="5"/>
        <v>0</v>
      </c>
      <c r="Y24" s="33">
        <f t="shared" si="7"/>
        <v>0</v>
      </c>
      <c r="Z24" s="28"/>
      <c r="AA24" s="25">
        <f t="shared" si="8"/>
        <v>1920271</v>
      </c>
      <c r="AB24" s="33">
        <f t="shared" si="9"/>
        <v>-0.44301793831015279</v>
      </c>
      <c r="AC24" s="25">
        <f t="shared" si="8"/>
        <v>0</v>
      </c>
      <c r="AD24" s="33">
        <f t="shared" si="10"/>
        <v>0</v>
      </c>
      <c r="AI24" s="1"/>
    </row>
    <row r="25" spans="1:42">
      <c r="C25" s="3" t="s">
        <v>19</v>
      </c>
      <c r="D25" s="2">
        <f>+'[1]Sch M-2.3 (1)'!$O$40+'[1]Sch M-2.3 (1)'!$O$41</f>
        <v>9634510</v>
      </c>
      <c r="E25" s="2">
        <f>+'[1]Sch M-2.3 (1)'!$P$40+'[1]Sch M-2.3 (1)'!$P$41</f>
        <v>-624828</v>
      </c>
      <c r="F25" s="2">
        <f>+'[1]Sch M-2.3 (1)'!$Q$40+'[1]Sch M-2.3 (1)'!$Q$41</f>
        <v>0</v>
      </c>
      <c r="G25" s="2">
        <f>+'[1]Sch M-2.3 (1)'!$R$40+'[1]Sch M-2.3 (1)'!$R$41</f>
        <v>654802</v>
      </c>
      <c r="H25" s="2">
        <f>+'[1]Sch M-2.3 (1)'!$S$40+'[1]Sch M-2.3 (1)'!$S$41</f>
        <v>-15717</v>
      </c>
      <c r="I25" s="2">
        <f>+'[1]Sch M-2.3 (1)'!$T$40+'[1]Sch M-2.3 (1)'!$T$41</f>
        <v>626001</v>
      </c>
      <c r="J25" s="2">
        <f>+'[1]Sch M-2.1'!B20</f>
        <v>10274768</v>
      </c>
      <c r="K25" s="16"/>
      <c r="L25" s="2">
        <f>+'[1]Sch M-2.1'!C20</f>
        <v>11167899</v>
      </c>
      <c r="M25" s="16"/>
      <c r="N25" s="2">
        <f t="shared" si="1"/>
        <v>893131</v>
      </c>
      <c r="O25" s="5">
        <f t="shared" si="14"/>
        <v>8.6924687739908094E-2</v>
      </c>
      <c r="Q25" s="2">
        <f>+[2]Allocation!$Q$964+[2]Allocation!$R$964</f>
        <v>1933692.7386537953</v>
      </c>
      <c r="R25" s="31">
        <f t="shared" si="15"/>
        <v>0.18819818984270936</v>
      </c>
      <c r="S25" s="2">
        <f t="shared" si="3"/>
        <v>-1040561.7386537953</v>
      </c>
      <c r="T25" s="31">
        <f t="shared" si="6"/>
        <v>-9.3174350757809984E-2</v>
      </c>
      <c r="V25" s="2">
        <f>+[3]Allocation!$Q$964+[3]Allocation!$R$964</f>
        <v>1644588.7789892668</v>
      </c>
      <c r="W25" s="31">
        <f t="shared" si="16"/>
        <v>0.1600609161189106</v>
      </c>
      <c r="X25" s="2">
        <f t="shared" si="5"/>
        <v>-751457.77898926684</v>
      </c>
      <c r="Y25" s="31">
        <f t="shared" si="7"/>
        <v>-6.7287300770652286E-2</v>
      </c>
      <c r="AA25" s="2">
        <f t="shared" si="8"/>
        <v>1789140.7588215312</v>
      </c>
      <c r="AB25" s="31">
        <f t="shared" si="9"/>
        <v>0.17412955298081001</v>
      </c>
      <c r="AC25" s="2">
        <f t="shared" si="8"/>
        <v>-896009.75882153108</v>
      </c>
      <c r="AD25" s="31">
        <f t="shared" si="10"/>
        <v>-8.0230825764231128E-2</v>
      </c>
      <c r="AI25" s="1"/>
    </row>
    <row r="26" spans="1:42">
      <c r="C26" t="s">
        <v>20</v>
      </c>
      <c r="D26" s="1">
        <f t="shared" ref="D26:I26" si="17">SUM(D12:D25)</f>
        <v>960869544.29999995</v>
      </c>
      <c r="E26" s="1">
        <f t="shared" si="17"/>
        <v>-43944431</v>
      </c>
      <c r="F26" s="1">
        <f t="shared" si="17"/>
        <v>19242685</v>
      </c>
      <c r="G26" s="1">
        <f t="shared" si="17"/>
        <v>89426579</v>
      </c>
      <c r="H26" s="1">
        <f t="shared" si="17"/>
        <v>-1059271</v>
      </c>
      <c r="I26" s="1">
        <f t="shared" si="17"/>
        <v>74459864.700000003</v>
      </c>
      <c r="J26" s="1">
        <f>SUM(J12:J25)</f>
        <v>1098994971</v>
      </c>
      <c r="K26" s="16"/>
      <c r="L26" s="1">
        <f>SUM(L12:L25)</f>
        <v>1192635089</v>
      </c>
      <c r="M26" s="16"/>
      <c r="N26" s="1">
        <f>SUM(N12:N25)</f>
        <v>93640118</v>
      </c>
      <c r="O26" s="4">
        <f t="shared" si="14"/>
        <v>8.520522884176146E-2</v>
      </c>
      <c r="Q26" s="1">
        <f>SUM(Q12:Q25)</f>
        <v>93640118.028566971</v>
      </c>
      <c r="R26" s="30">
        <f t="shared" si="15"/>
        <v>8.5205228867755181E-2</v>
      </c>
      <c r="S26" s="1">
        <f>SUM(S12:S25)</f>
        <v>-2.856695931404829E-2</v>
      </c>
      <c r="T26" s="73">
        <f t="shared" si="6"/>
        <v>-2.3952808011041414E-11</v>
      </c>
      <c r="V26" s="1">
        <f>SUM(V12:V25)</f>
        <v>93640118.028566986</v>
      </c>
      <c r="W26" s="30">
        <f t="shared" si="16"/>
        <v>8.5205228867755195E-2</v>
      </c>
      <c r="X26" s="1">
        <f>SUM(X12:X25)</f>
        <v>-2.8566997963935137E-2</v>
      </c>
      <c r="Y26" s="30">
        <f t="shared" si="7"/>
        <v>-2.3952840418176842E-11</v>
      </c>
      <c r="AA26" s="1">
        <f>SUM(AA12:AA25)</f>
        <v>93640118.028566971</v>
      </c>
      <c r="AB26" s="30">
        <f t="shared" si="9"/>
        <v>8.5205228867755181E-2</v>
      </c>
      <c r="AC26" s="1">
        <f>SUM(AC12:AC25)</f>
        <v>-2.856697584502399E-2</v>
      </c>
      <c r="AD26" s="30">
        <f t="shared" si="10"/>
        <v>-2.3952821871924639E-11</v>
      </c>
    </row>
    <row r="27" spans="1:42">
      <c r="C27" s="24" t="s">
        <v>22</v>
      </c>
      <c r="D27" s="25">
        <f>+SUM('[1]Sch M-2.3 (1)'!$O$53:$O$56)</f>
        <v>21784323</v>
      </c>
      <c r="E27" s="24"/>
      <c r="F27" s="24"/>
      <c r="G27" s="24"/>
      <c r="H27" s="24"/>
      <c r="I27" s="24"/>
      <c r="J27" s="25">
        <f>+SUM('[1]Sch M-2.1'!B23:B26)</f>
        <v>21784323</v>
      </c>
      <c r="K27" s="26"/>
      <c r="L27" s="25">
        <f>+SUM('[1]Sch M-2.1'!C23:C26)</f>
        <v>21761932</v>
      </c>
      <c r="M27" s="26"/>
      <c r="N27" s="25">
        <f t="shared" si="1"/>
        <v>-22391</v>
      </c>
      <c r="O27" s="27">
        <f t="shared" si="14"/>
        <v>-1.0278492473693123E-3</v>
      </c>
      <c r="P27" s="28"/>
      <c r="Q27" s="25">
        <f>+[2]Allocation!$F$966</f>
        <v>-22391</v>
      </c>
      <c r="R27" s="33">
        <f t="shared" si="15"/>
        <v>-1.0278492473693123E-3</v>
      </c>
      <c r="S27" s="28"/>
      <c r="T27" s="74">
        <f t="shared" si="6"/>
        <v>0</v>
      </c>
      <c r="U27" s="28"/>
      <c r="V27" s="25">
        <f>+[3]Allocation!$F$966</f>
        <v>-22391</v>
      </c>
      <c r="W27" s="33">
        <f t="shared" si="16"/>
        <v>-1.0278492473693123E-3</v>
      </c>
      <c r="X27" s="28"/>
      <c r="Y27" s="33">
        <f t="shared" si="7"/>
        <v>0</v>
      </c>
      <c r="Z27" s="28"/>
      <c r="AA27" s="25">
        <f t="shared" si="8"/>
        <v>-22391</v>
      </c>
      <c r="AB27" s="33">
        <f t="shared" si="9"/>
        <v>-1.0278492473693123E-3</v>
      </c>
      <c r="AC27" s="28"/>
      <c r="AD27" s="33">
        <f t="shared" si="10"/>
        <v>0</v>
      </c>
    </row>
    <row r="28" spans="1:42" ht="15.75" thickBot="1">
      <c r="C28" s="11" t="s">
        <v>23</v>
      </c>
      <c r="D28" s="12">
        <f t="shared" ref="D28:I28" si="18">+D26+D27</f>
        <v>982653867.29999995</v>
      </c>
      <c r="E28" s="12">
        <f t="shared" si="18"/>
        <v>-43944431</v>
      </c>
      <c r="F28" s="12">
        <f t="shared" si="18"/>
        <v>19242685</v>
      </c>
      <c r="G28" s="12">
        <f t="shared" si="18"/>
        <v>89426579</v>
      </c>
      <c r="H28" s="12">
        <f t="shared" si="18"/>
        <v>-1059271</v>
      </c>
      <c r="I28" s="12">
        <f t="shared" si="18"/>
        <v>74459864.700000003</v>
      </c>
      <c r="J28" s="12">
        <f>+J26+J27</f>
        <v>1120779294</v>
      </c>
      <c r="K28" s="17"/>
      <c r="L28" s="12">
        <f>+L26+L27</f>
        <v>1214397021</v>
      </c>
      <c r="M28" s="17"/>
      <c r="N28" s="12">
        <f>+N26+N27</f>
        <v>93617727</v>
      </c>
      <c r="O28" s="13">
        <f t="shared" si="14"/>
        <v>8.3529136825755815E-2</v>
      </c>
      <c r="Q28" s="12">
        <f>+Q26+Q27</f>
        <v>93617727.028566971</v>
      </c>
      <c r="R28" s="32">
        <f t="shared" si="15"/>
        <v>8.3529136851244301E-2</v>
      </c>
      <c r="S28" s="12">
        <f>+S26+S27</f>
        <v>-2.856695931404829E-2</v>
      </c>
      <c r="T28" s="32">
        <f>+S28/L28</f>
        <v>-2.3523574926529972E-11</v>
      </c>
      <c r="V28" s="12">
        <f>+V26+V27</f>
        <v>93617727.028566986</v>
      </c>
      <c r="W28" s="32">
        <f t="shared" si="16"/>
        <v>8.3529136851244315E-2</v>
      </c>
      <c r="X28" s="12">
        <f>+X26+X27</f>
        <v>-2.8566997963935137E-2</v>
      </c>
      <c r="Y28" s="32">
        <f>+X28/L28</f>
        <v>-2.3523606752931204E-11</v>
      </c>
      <c r="AA28" s="12">
        <f>+AA26+AA27</f>
        <v>93617727.028566971</v>
      </c>
      <c r="AB28" s="32">
        <f t="shared" si="9"/>
        <v>8.3529136851244301E-2</v>
      </c>
      <c r="AC28" s="12">
        <f>+AC26+AC27</f>
        <v>-2.856697584502399E-2</v>
      </c>
      <c r="AD28" s="32">
        <f>+AC28/L28</f>
        <v>-2.3523588539026882E-11</v>
      </c>
    </row>
    <row r="29" spans="1:42" ht="15.75" thickTop="1">
      <c r="M29" s="18"/>
    </row>
    <row r="30" spans="1:42">
      <c r="C30" s="6" t="s">
        <v>48</v>
      </c>
      <c r="F30" s="7" t="s">
        <v>57</v>
      </c>
      <c r="J30" s="7" t="s">
        <v>45</v>
      </c>
      <c r="L30" s="7" t="s">
        <v>45</v>
      </c>
    </row>
    <row r="31" spans="1:42">
      <c r="D31" s="7" t="s">
        <v>29</v>
      </c>
      <c r="E31" s="7" t="s">
        <v>43</v>
      </c>
      <c r="F31" s="7" t="s">
        <v>58</v>
      </c>
      <c r="J31" s="7" t="s">
        <v>59</v>
      </c>
      <c r="L31" s="7" t="s">
        <v>60</v>
      </c>
    </row>
    <row r="32" spans="1:42">
      <c r="D32" s="7" t="s">
        <v>30</v>
      </c>
      <c r="E32" s="7" t="s">
        <v>42</v>
      </c>
      <c r="F32" s="7" t="s">
        <v>56</v>
      </c>
      <c r="J32" s="7" t="s">
        <v>42</v>
      </c>
      <c r="L32" s="7" t="s">
        <v>42</v>
      </c>
      <c r="N32" s="7" t="s">
        <v>21</v>
      </c>
    </row>
    <row r="33" spans="3:14">
      <c r="D33" s="9" t="s">
        <v>5</v>
      </c>
      <c r="E33" s="9" t="s">
        <v>28</v>
      </c>
      <c r="F33" s="9" t="s">
        <v>44</v>
      </c>
      <c r="J33" s="9" t="s">
        <v>28</v>
      </c>
      <c r="L33" s="9" t="s">
        <v>28</v>
      </c>
      <c r="N33" s="10" t="s">
        <v>4</v>
      </c>
    </row>
    <row r="34" spans="3:14">
      <c r="C34" t="s">
        <v>40</v>
      </c>
      <c r="D34" s="1">
        <f>+[4]Allocation!$G$697</f>
        <v>379200073</v>
      </c>
      <c r="E34" s="1">
        <f>+SUM([4]Allocation!$G$699:$G$708)</f>
        <v>26788921.162382804</v>
      </c>
      <c r="F34" s="1">
        <f>+[4]Allocation!$G$767</f>
        <v>-3297836.5637638657</v>
      </c>
      <c r="J34" s="1">
        <f>+[4]Allocation!$G$770</f>
        <v>402691157.59861892</v>
      </c>
      <c r="L34" s="1">
        <f>+J34+N34</f>
        <v>444822892.59861892</v>
      </c>
      <c r="N34" s="1">
        <f>+[4]Allocation!$G$964</f>
        <v>42131735</v>
      </c>
    </row>
    <row r="35" spans="3:14">
      <c r="C35" s="19" t="s">
        <v>41</v>
      </c>
      <c r="D35" s="20">
        <f>+D34-D12-D13</f>
        <v>0</v>
      </c>
      <c r="N35" s="20">
        <f>+N34-N12-N13</f>
        <v>0</v>
      </c>
    </row>
    <row r="36" spans="3:14">
      <c r="C36" t="s">
        <v>8</v>
      </c>
      <c r="D36" s="1">
        <f>+[4]Allocation!$H$697</f>
        <v>135825835</v>
      </c>
      <c r="E36" s="1">
        <f>+SUM([4]Allocation!$H$699:$H$708)</f>
        <v>6997724.1865412584</v>
      </c>
      <c r="F36" s="1">
        <f>+[4]Allocation!$H$767</f>
        <v>-1848541.9147539535</v>
      </c>
      <c r="J36" s="1">
        <f>+[4]Allocation!$H$770</f>
        <v>140975017.27178732</v>
      </c>
      <c r="L36" s="1">
        <f>+J36+N36</f>
        <v>153155722.27178732</v>
      </c>
      <c r="N36" s="1">
        <f>+[4]Allocation!$H$964</f>
        <v>12180705</v>
      </c>
    </row>
    <row r="37" spans="3:14">
      <c r="C37" s="19" t="s">
        <v>41</v>
      </c>
      <c r="D37" s="20">
        <f>+D36-D14</f>
        <v>0</v>
      </c>
      <c r="N37" s="20">
        <f>+N36-N14</f>
        <v>0</v>
      </c>
    </row>
    <row r="38" spans="3:14">
      <c r="C38" t="s">
        <v>47</v>
      </c>
      <c r="D38" s="1">
        <f>+[4]Allocation!$K$697</f>
        <v>151571212</v>
      </c>
      <c r="E38" s="1">
        <f>+SUM([4]Allocation!$K$699:$K$708)</f>
        <v>8294669.5432491712</v>
      </c>
      <c r="F38" s="1">
        <f>+[4]Allocation!$K$767</f>
        <v>-1002889.880727366</v>
      </c>
      <c r="J38" s="1">
        <f>+[4]Allocation!$K$770</f>
        <v>158862991.66252178</v>
      </c>
      <c r="L38" s="1">
        <f>+J38+N38</f>
        <v>170494158.66252178</v>
      </c>
      <c r="N38" s="1">
        <f>+[4]Allocation!$K$964</f>
        <v>11631167</v>
      </c>
    </row>
    <row r="39" spans="3:14">
      <c r="C39" s="19" t="s">
        <v>41</v>
      </c>
      <c r="D39" s="20">
        <f>+D38-D15</f>
        <v>-1</v>
      </c>
      <c r="N39" s="20">
        <f>+N38-N15</f>
        <v>0</v>
      </c>
    </row>
    <row r="40" spans="3:14">
      <c r="C40" t="s">
        <v>46</v>
      </c>
      <c r="D40" s="1">
        <f>+[4]Allocation!$J$697</f>
        <v>11517853</v>
      </c>
      <c r="E40" s="1">
        <f>+SUM([4]Allocation!$J$699:$J$708)</f>
        <v>704769.64093604637</v>
      </c>
      <c r="F40" s="1">
        <f>+[4]Allocation!$J$767</f>
        <v>-80618.546479590106</v>
      </c>
      <c r="J40" s="1">
        <f>+[4]Allocation!$J$770</f>
        <v>12142004.094456457</v>
      </c>
      <c r="L40" s="1">
        <f>+J40+N40</f>
        <v>13176521.094456457</v>
      </c>
      <c r="N40" s="1">
        <f>+[4]Allocation!$J$964</f>
        <v>1034517</v>
      </c>
    </row>
    <row r="41" spans="3:14">
      <c r="C41" s="19" t="s">
        <v>41</v>
      </c>
      <c r="D41" s="20">
        <f>+D40-D16</f>
        <v>0</v>
      </c>
      <c r="N41" s="20">
        <f>+N40-N16</f>
        <v>0</v>
      </c>
    </row>
    <row r="42" spans="3:14">
      <c r="C42" t="s">
        <v>49</v>
      </c>
      <c r="D42" s="1">
        <f>+[4]Allocation!$O$697</f>
        <v>77629237</v>
      </c>
      <c r="E42" s="1">
        <f>+SUM([4]Allocation!$O$699:$O$708)</f>
        <v>3587610.2791310493</v>
      </c>
      <c r="F42" s="1">
        <f>+[4]Allocation!$O$767</f>
        <v>-537753.55392959388</v>
      </c>
      <c r="J42" s="1">
        <f>+[4]Allocation!$O$770</f>
        <v>80679093.725201458</v>
      </c>
      <c r="L42" s="1">
        <f>+J42+N42</f>
        <v>86377181.725201458</v>
      </c>
      <c r="N42" s="1">
        <f>+[4]Allocation!$O$964</f>
        <v>5698088</v>
      </c>
    </row>
    <row r="43" spans="3:14">
      <c r="C43" s="19" t="s">
        <v>41</v>
      </c>
      <c r="D43" s="20">
        <f>+D42-D17</f>
        <v>0</v>
      </c>
      <c r="N43" s="20">
        <f>+N42-N17</f>
        <v>0</v>
      </c>
    </row>
    <row r="44" spans="3:14">
      <c r="C44" t="s">
        <v>50</v>
      </c>
      <c r="D44" s="1">
        <f>+[4]Allocation!$N$697</f>
        <v>116918595</v>
      </c>
      <c r="E44" s="1">
        <f>+SUM([4]Allocation!$N$699:$N$708)</f>
        <v>7803101.0352789732</v>
      </c>
      <c r="F44" s="1">
        <f>+[4]Allocation!$N$767</f>
        <v>-833193.57320102572</v>
      </c>
      <c r="J44" s="1">
        <f>+[4]Allocation!$N$770</f>
        <v>123888502.46207795</v>
      </c>
      <c r="L44" s="1">
        <f>+J44+N44</f>
        <v>134273733.46207795</v>
      </c>
      <c r="N44" s="1">
        <f>+[4]Allocation!$N$964</f>
        <v>10385231</v>
      </c>
    </row>
    <row r="45" spans="3:14">
      <c r="C45" s="19" t="s">
        <v>41</v>
      </c>
      <c r="D45" s="20">
        <f>+D44-D18</f>
        <v>0</v>
      </c>
      <c r="N45" s="20">
        <f>+N44-N18</f>
        <v>0</v>
      </c>
    </row>
    <row r="46" spans="3:14">
      <c r="C46" t="s">
        <v>51</v>
      </c>
      <c r="D46" s="1">
        <f>+[4]Allocation!$P$697</f>
        <v>64284636.000000007</v>
      </c>
      <c r="E46" s="1">
        <f>+SUM([4]Allocation!$P$699:$P$708)</f>
        <v>4623668.4705443531</v>
      </c>
      <c r="F46" s="1">
        <f>+[4]Allocation!$P$767</f>
        <v>-461699.26012290485</v>
      </c>
      <c r="J46" s="1">
        <f>+[4]Allocation!$P$770</f>
        <v>68446605.210421458</v>
      </c>
      <c r="L46" s="1">
        <f>+J46+N46</f>
        <v>74271070.210421458</v>
      </c>
      <c r="N46" s="1">
        <f>+[4]Allocation!$P$964</f>
        <v>5824465</v>
      </c>
    </row>
    <row r="47" spans="3:14">
      <c r="C47" s="19" t="s">
        <v>41</v>
      </c>
      <c r="D47" s="20">
        <f>+D46-D19</f>
        <v>0</v>
      </c>
      <c r="N47" s="20">
        <f>+N46-N19</f>
        <v>0</v>
      </c>
    </row>
    <row r="48" spans="3:14">
      <c r="C48" t="s">
        <v>55</v>
      </c>
      <c r="D48" s="1">
        <f>+[4]Allocation!$T$697</f>
        <v>210819</v>
      </c>
      <c r="E48" s="1">
        <f>+SUM([4]Allocation!$T$699:$T$708)</f>
        <v>14332.424827321294</v>
      </c>
      <c r="F48" s="1">
        <f>+[4]Allocation!$T$767</f>
        <v>-2398.9515506920206</v>
      </c>
      <c r="J48" s="1">
        <f>+[4]Allocation!$T$770</f>
        <v>222752.47327662929</v>
      </c>
      <c r="L48" s="1">
        <f>+J48+N48</f>
        <v>222752.47327662929</v>
      </c>
      <c r="N48" s="1">
        <f>+[4]Allocation!$T$964</f>
        <v>0</v>
      </c>
    </row>
    <row r="49" spans="3:14">
      <c r="C49" s="19" t="s">
        <v>41</v>
      </c>
      <c r="D49" s="20">
        <f>+D48-D21</f>
        <v>0</v>
      </c>
      <c r="N49" s="20">
        <f>+N48-N21</f>
        <v>0</v>
      </c>
    </row>
    <row r="50" spans="3:14">
      <c r="C50" t="s">
        <v>54</v>
      </c>
      <c r="D50" s="1">
        <f>+[4]Allocation!$U$697</f>
        <v>270128</v>
      </c>
      <c r="E50" s="1">
        <f>+SUM([4]Allocation!$U$699:$U$708)</f>
        <v>13858.155634385294</v>
      </c>
      <c r="F50" s="1">
        <f>+[4]Allocation!$U$767</f>
        <v>-2364.8753883329678</v>
      </c>
      <c r="J50" s="1">
        <f>+[4]Allocation!$U$770</f>
        <v>281621.28024605225</v>
      </c>
      <c r="L50" s="1">
        <f>+J50+N50</f>
        <v>302201.28024605225</v>
      </c>
      <c r="N50" s="1">
        <f>+[4]Allocation!$U$964</f>
        <v>20580</v>
      </c>
    </row>
    <row r="51" spans="3:14">
      <c r="C51" s="19" t="s">
        <v>41</v>
      </c>
      <c r="D51" s="20">
        <f>+D50-D22</f>
        <v>0</v>
      </c>
      <c r="N51" s="20">
        <f>+N50-N22</f>
        <v>0</v>
      </c>
    </row>
    <row r="52" spans="3:14">
      <c r="C52" t="s">
        <v>53</v>
      </c>
      <c r="D52" s="1">
        <f>+[4]Allocation!$S$697</f>
        <v>18141167.300000001</v>
      </c>
      <c r="E52" s="1">
        <f>+SUM([4]Allocation!$S$699:$S$708)</f>
        <v>884711.81428098213</v>
      </c>
      <c r="F52" s="1">
        <f>+[4]Allocation!$S$767</f>
        <v>-290133.08100865397</v>
      </c>
      <c r="J52" s="1">
        <f>+[4]Allocation!$S$770</f>
        <v>18735746.033272326</v>
      </c>
      <c r="L52" s="1">
        <f>+J52+N52</f>
        <v>20655974.033272326</v>
      </c>
      <c r="N52" s="1">
        <f>+[4]Allocation!$S$964</f>
        <v>1920228</v>
      </c>
    </row>
    <row r="53" spans="3:14">
      <c r="C53" s="19" t="s">
        <v>41</v>
      </c>
      <c r="D53" s="20">
        <f>+D52-D23</f>
        <v>0</v>
      </c>
      <c r="N53" s="20">
        <f>+N52-N23</f>
        <v>0</v>
      </c>
    </row>
    <row r="54" spans="3:14">
      <c r="C54" t="s">
        <v>52</v>
      </c>
      <c r="D54" s="1">
        <f>+[4]Allocation!$Q$697+[4]Allocation!$R$697</f>
        <v>9634510</v>
      </c>
      <c r="E54" s="1">
        <f>+SUM([4]Allocation!$Q$699:$R$708)</f>
        <v>707479.98719361715</v>
      </c>
      <c r="F54" s="1">
        <f>+[4]Allocation!$Q$767+[4]Allocation!$R$767</f>
        <v>-65829.337824981092</v>
      </c>
      <c r="J54" s="1">
        <f>+[4]Allocation!$Q$770+[4]Allocation!$R$770</f>
        <v>10276160.649368636</v>
      </c>
      <c r="L54" s="1">
        <f>+J54+N54</f>
        <v>11169291.649368636</v>
      </c>
      <c r="N54" s="1">
        <f>+[4]Allocation!$Q$964+[4]Allocation!$R$964</f>
        <v>893131</v>
      </c>
    </row>
    <row r="55" spans="3:14">
      <c r="C55" s="19" t="s">
        <v>41</v>
      </c>
      <c r="D55" s="20">
        <f>+D54-D25</f>
        <v>0</v>
      </c>
      <c r="N55" s="20">
        <f>+N54-N25</f>
        <v>0</v>
      </c>
    </row>
    <row r="56" spans="3:14">
      <c r="C56" t="s">
        <v>23</v>
      </c>
      <c r="D56" s="1">
        <f>+D34+D36+D38+D40+D42+D44+D46+D48+D50+D52+D54</f>
        <v>965204065.29999995</v>
      </c>
      <c r="E56" s="1">
        <f>+E34+E36+E38+E40+E42+E44+E46+E48+E50+E52+E54</f>
        <v>60420846.699999958</v>
      </c>
      <c r="F56" s="1">
        <f>+F34+F36+F38+F40+F42+F44+F46+F48+F50+F52+F54</f>
        <v>-8423259.5387509596</v>
      </c>
      <c r="J56" s="1">
        <f>+J34+J36+J38+J40+J42+J44+J46+J48+J50+J52+J54</f>
        <v>1017201652.461249</v>
      </c>
      <c r="L56" s="1">
        <f>+L34+L36+L38+L40+L42+L44+L46+L48+L50+L52+L54</f>
        <v>1108921499.4612489</v>
      </c>
      <c r="N56" s="1">
        <f>+N34+N36+N38+N40+N42+N44+N46+N48+N50+N52+N54</f>
        <v>91719847</v>
      </c>
    </row>
    <row r="57" spans="3:14">
      <c r="C57" s="19" t="s">
        <v>41</v>
      </c>
      <c r="D57" s="20">
        <f>+D56-(D26-D24)</f>
        <v>-1</v>
      </c>
      <c r="N57" s="20">
        <f>+N56-(N26-N24)</f>
        <v>0</v>
      </c>
    </row>
  </sheetData>
  <mergeCells count="20">
    <mergeCell ref="AM10:AM12"/>
    <mergeCell ref="AL10:AL12"/>
    <mergeCell ref="AF4:AO4"/>
    <mergeCell ref="AA4:AD4"/>
    <mergeCell ref="AA12:AA13"/>
    <mergeCell ref="AB12:AB13"/>
    <mergeCell ref="AC12:AC13"/>
    <mergeCell ref="AD12:AD13"/>
    <mergeCell ref="T12:T13"/>
    <mergeCell ref="Q4:T4"/>
    <mergeCell ref="V4:Y4"/>
    <mergeCell ref="V12:V13"/>
    <mergeCell ref="W12:W13"/>
    <mergeCell ref="X12:X13"/>
    <mergeCell ref="Y12:Y13"/>
    <mergeCell ref="A1:O1"/>
    <mergeCell ref="A2:O2"/>
    <mergeCell ref="Q12:Q13"/>
    <mergeCell ref="R12:R13"/>
    <mergeCell ref="S12:S13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Kroger Exhibit</vt:lpstr>
      <vt:lpstr>Kroger</vt:lpstr>
      <vt:lpstr>LG&amp;E</vt:lpstr>
      <vt:lpstr>'LG&amp;E'!Print_Area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Townsend</dc:creator>
  <cp:lastModifiedBy>Coutney Higgins</cp:lastModifiedBy>
  <cp:lastPrinted>2017-02-28T23:20:30Z</cp:lastPrinted>
  <dcterms:created xsi:type="dcterms:W3CDTF">2017-02-27T23:04:45Z</dcterms:created>
  <dcterms:modified xsi:type="dcterms:W3CDTF">2017-03-02T21:49:37Z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{7143B865-EDBB-42D5-B8CD-2AEC973E6654}</vt:lpwstr>
  </property>
</Properties>
</file>