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15360" windowHeight="7455" tabRatio="822" activeTab="2"/>
  </bookViews>
  <sheets>
    <sheet name="Functional Assignment" sheetId="1" r:id="rId1"/>
    <sheet name="Allocation" sheetId="4" r:id="rId2"/>
    <sheet name="Summary of Returns" sheetId="28" r:id="rId3"/>
    <sheet name="Meters" sheetId="32" r:id="rId4"/>
    <sheet name="RGS" sheetId="27" r:id="rId5"/>
    <sheet name="CGS" sheetId="29" r:id="rId6"/>
    <sheet name="IGS" sheetId="30" r:id="rId7"/>
    <sheet name="AAGS" sheetId="31" r:id="rId8"/>
    <sheet name="FT" sheetId="34" r:id="rId9"/>
    <sheet name="Daily Utilization Charge" sheetId="2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" localSheetId="4">[1]EGSplit!#REF!</definedName>
    <definedName name="\">[1]EGSplit!#REF!</definedName>
    <definedName name="\\" hidden="1">#REF!</definedName>
    <definedName name="\\\" hidden="1">#REF!</definedName>
    <definedName name="\\\\" localSheetId="4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 localSheetId="4">[2]dbase!#REF!</definedName>
    <definedName name="\P">[2]dbase!#REF!</definedName>
    <definedName name="\R" localSheetId="4">#REF!</definedName>
    <definedName name="\R">#REF!</definedName>
    <definedName name="\S" localSheetId="4">[2]dbase!#REF!</definedName>
    <definedName name="\S">[2]dbase!#REF!</definedName>
    <definedName name="\T">#REF!</definedName>
    <definedName name="__123Graph_A" hidden="1">#REF!</definedName>
    <definedName name="__123Graph_B" hidden="1">#REF!</definedName>
    <definedName name="__123Graph_C" localSheetId="4" hidden="1">#REF!</definedName>
    <definedName name="__123Graph_C" hidden="1">#REF!</definedName>
    <definedName name="__123Graph_D" hidden="1">#REF!</definedName>
    <definedName name="__123Graph_E" localSheetId="4" hidden="1">#REF!</definedName>
    <definedName name="__123Graph_E" hidden="1">#REF!</definedName>
    <definedName name="__123Graph_F" hidden="1">#REF!</definedName>
    <definedName name="__123Graph_X" hidden="1">#REF!</definedName>
    <definedName name="_1GAS_FINANCING">#REF!</definedName>
    <definedName name="_2NON_UTILITY" localSheetId="4">#REF!</definedName>
    <definedName name="_3NON_UTILITY">#REF!</definedName>
    <definedName name="_xlnm._FilterDatabase" localSheetId="1" hidden="1">Allocation!$D$2:$E$753</definedName>
    <definedName name="_xlnm._FilterDatabase" localSheetId="0" hidden="1">'Functional Assignment'!$C$1:$D$643</definedName>
    <definedName name="_Order1" hidden="1">0</definedName>
    <definedName name="_Order2" hidden="1">0</definedName>
    <definedName name="_P" localSheetId="4">#REF!</definedName>
    <definedName name="_P">#REF!</definedName>
    <definedName name="_PG1">#REF!</definedName>
    <definedName name="_PG2">#REF!</definedName>
    <definedName name="A">#REF!</definedName>
    <definedName name="ACTUAL">"'Vol_Revs'!R5C3:R5C14"</definedName>
    <definedName name="ADJSUTW3">#REF!</definedName>
    <definedName name="ADJUSRN">#REF!</definedName>
    <definedName name="Adjust2" localSheetId="4">#REF!</definedName>
    <definedName name="Adjust2">#REF!</definedName>
    <definedName name="ADJUSTA">#REF!</definedName>
    <definedName name="ADJUSTAA">#REF!</definedName>
    <definedName name="ADJUSTB" localSheetId="4">#REF!</definedName>
    <definedName name="ADJUSTB">#REF!</definedName>
    <definedName name="ADJUSTC">#REF!</definedName>
    <definedName name="ADJUSTD1">#REF!</definedName>
    <definedName name="ADJUSTD2">#REF!</definedName>
    <definedName name="ADJUSTD3">#REF!</definedName>
    <definedName name="ADJUSTD4">#REF!</definedName>
    <definedName name="ADJUSTG1">#REF!</definedName>
    <definedName name="ADJUSTG2">#REF!</definedName>
    <definedName name="ADJUSTG3">#REF!</definedName>
    <definedName name="ADJUSTG4">#REF!</definedName>
    <definedName name="ADJUSTH">#REF!</definedName>
    <definedName name="ADJUSTI">#REF!</definedName>
    <definedName name="ADJUSTK">#REF!</definedName>
    <definedName name="ADJUSTM">#REF!</definedName>
    <definedName name="ADJUSTN">#REF!</definedName>
    <definedName name="ADJUSTO">#REF!</definedName>
    <definedName name="ADJUSTP">#REF!</definedName>
    <definedName name="ADJUSTQ">#REF!</definedName>
    <definedName name="ADJUSTR">#REF!</definedName>
    <definedName name="ADJUSTS" localSheetId="4">#REF!</definedName>
    <definedName name="ADJUSTS">#REF!</definedName>
    <definedName name="ADJUSTT">#REF!</definedName>
    <definedName name="ADJUSTW1">#REF!</definedName>
    <definedName name="ADJUSTW2">#REF!</definedName>
    <definedName name="ADJUSTX">#REF!</definedName>
    <definedName name="ADJUSTY">#REF!</definedName>
    <definedName name="ALERT2">#REF!</definedName>
    <definedName name="Annual_Sales_KU" localSheetId="4">'[3]LGE Sales'!#REF!</definedName>
    <definedName name="Annual_Sales_KU">'[3]LGE Sales'!#REF!</definedName>
    <definedName name="assets">#REF!</definedName>
    <definedName name="Billed_Revenues_Dollars">#REF!</definedName>
    <definedName name="Billed_Sales__KWh">#REF!</definedName>
    <definedName name="BudCol01">[4]BudgetDatabase!$J$5:$J$443</definedName>
    <definedName name="BudCol02">[4]BudgetDatabase!$K$5:$K$443</definedName>
    <definedName name="BudCol03">[4]BudgetDatabase!$L$5:$L$443</definedName>
    <definedName name="BudCol04">[4]BudgetDatabase!$M$5:$M$443</definedName>
    <definedName name="BudCol05">[4]BudgetDatabase!$N$5:$N$443</definedName>
    <definedName name="BudCol06">[4]BudgetDatabase!$O$5:$O$443</definedName>
    <definedName name="BudCol07">[4]BudgetDatabase!$P$5:$P$443</definedName>
    <definedName name="BudCol08">[4]BudgetDatabase!$Q$5:$Q$443</definedName>
    <definedName name="BudCol09">[4]BudgetDatabase!$R$5:$R$443</definedName>
    <definedName name="BudCol10">[4]BudgetDatabase!$S$5:$S$443</definedName>
    <definedName name="BudCol11">[4]BudgetDatabase!$T$5:$T$443</definedName>
    <definedName name="BudCol12">[4]BudgetDatabase!$U$5:$U$443</definedName>
    <definedName name="BudCol13">[4]BudgetDatabase!$V$5:$V$443</definedName>
    <definedName name="BudCol14">[4]BudgetDatabase!$W$5:$W$443</definedName>
    <definedName name="BudCol15">[4]BudgetDatabase!$X$5:$X$443</definedName>
    <definedName name="BudCol16">[4]BudgetDatabase!$Y$5:$Y$443</definedName>
    <definedName name="BudCol17">[4]BudgetDatabase!$Z$5:$Z$443</definedName>
    <definedName name="BudCol18">[4]BudgetDatabase!$AA$5:$AA$443</definedName>
    <definedName name="BudCol19">[4]BudgetDatabase!$AB$5:$AB$443</definedName>
    <definedName name="BudCol20">[4]BudgetDatabase!$AC$5:$AC$443</definedName>
    <definedName name="BudCol21">[4]BudgetDatabase!$AD$5:$AD$443</definedName>
    <definedName name="BudCol22">[4]BudgetDatabase!$AE$5:$AE$443</definedName>
    <definedName name="BudCol23">[4]BudgetDatabase!$AF$5:$AF$443</definedName>
    <definedName name="BudCol24">[4]BudgetDatabase!$AG$5:$AG$443</definedName>
    <definedName name="BudCol25">[4]BudgetDatabase!$AH$5:$AH$443</definedName>
    <definedName name="BudColTmp">[4]BudgetDatabase!$AJ$5:$AJ$443</definedName>
    <definedName name="Choices_Wrapper" localSheetId="4">RGS!Choices_Wrapper</definedName>
    <definedName name="Choices_Wrapper">RGS!Choices_Wrapper</definedName>
    <definedName name="CM">#REF!</definedName>
    <definedName name="Coal_Annual_KU" localSheetId="4">'[3]LGE Coal'!#REF!</definedName>
    <definedName name="Coal_Annual_KU">'[3]LGE Coal'!#REF!</definedName>
    <definedName name="coal_hide_ku_01" localSheetId="4">'[3]LGE Coal'!#REF!</definedName>
    <definedName name="coal_hide_ku_01">'[3]LGE Coal'!#REF!</definedName>
    <definedName name="coal_hide_lge_01" localSheetId="4">'[3]LGE Coal'!#REF!</definedName>
    <definedName name="coal_hide_lge_01">'[3]LGE Coal'!#REF!</definedName>
    <definedName name="coal_ku_01" localSheetId="4">'[3]LGE Coal'!#REF!</definedName>
    <definedName name="coal_ku_01">'[3]LGE Coal'!#REF!</definedName>
    <definedName name="Comp" localSheetId="4">RGS!Comp</definedName>
    <definedName name="Comp">RGS!Comp</definedName>
    <definedName name="ConsEarnings">#REF!</definedName>
    <definedName name="CONSOLIDATED">#REF!</definedName>
    <definedName name="CORPORATE">#REF!</definedName>
    <definedName name="counter">#REF!</definedName>
    <definedName name="CREDIT">#REF!</definedName>
    <definedName name="CurReptgMo">[4]Input!$K$19</definedName>
    <definedName name="CurReptgYr">[4]Input!$K$21</definedName>
    <definedName name="data">#REF!</definedName>
    <definedName name="DateTimeNow">[4]Input!$AE$12</definedName>
    <definedName name="DEBIT">#REF!</definedName>
    <definedName name="Detail">#REF!</definedName>
    <definedName name="ELEC_NET_OP_INC" localSheetId="4">#REF!</definedName>
    <definedName name="ELEC_NET_OP_INC">#REF!</definedName>
    <definedName name="ELIMS">#REF!</definedName>
    <definedName name="EXHIB1A" localSheetId="4">'[5]#REF'!#REF!</definedName>
    <definedName name="EXHIB1A">'[5]#REF'!#REF!</definedName>
    <definedName name="EXHIB1B">#REF!</definedName>
    <definedName name="EXHIB1C" localSheetId="4">#REF!</definedName>
    <definedName name="EXHIB1C">#REF!</definedName>
    <definedName name="EXHIB2B" localSheetId="4">'[6]Ex 2'!#REF!</definedName>
    <definedName name="EXHIB2B">'[6]Ex 2'!#REF!</definedName>
    <definedName name="EXHIB3">#REF!</definedName>
    <definedName name="EXHIB6" localSheetId="4">'[6]not used Ex 4'!#REF!</definedName>
    <definedName name="EXHIB6">'[6]not used Ex 4'!#REF!</definedName>
    <definedName name="Fac_2000" localSheetId="4">'[3]LGE Base Fuel &amp; FAC'!#REF!</definedName>
    <definedName name="Fac_2000">'[3]LGE Base Fuel &amp; FAC'!#REF!</definedName>
    <definedName name="fac_annual_ku" localSheetId="4">'[3]LGE Base Fuel &amp; FAC'!#REF!</definedName>
    <definedName name="fac_annual_ku">'[3]LGE Base Fuel &amp; FAC'!#REF!</definedName>
    <definedName name="fac_hide_ku_01" localSheetId="4">'[3]LGE Base Fuel &amp; FAC'!#REF!</definedName>
    <definedName name="fac_hide_ku_01">'[3]LGE Base Fuel &amp; FAC'!#REF!</definedName>
    <definedName name="fac_hide_lge_01" localSheetId="4">'[3]LGE Base Fuel &amp; FAC'!#REF!</definedName>
    <definedName name="fac_hide_lge_01">'[3]LGE Base Fuel &amp; FAC'!#REF!</definedName>
    <definedName name="fac_ku_01" localSheetId="4">'[3]LGE Base Fuel &amp; FAC'!#REF!</definedName>
    <definedName name="fac_ku_01">'[3]LGE Base Fuel &amp; FAC'!#REF!</definedName>
    <definedName name="FOOTER" localSheetId="4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4">#REF!</definedName>
    <definedName name="gas_data">#REF!</definedName>
    <definedName name="Gas_Monthly_NetRevenue">#REF!</definedName>
    <definedName name="GAS_NET_OP_INC" localSheetId="4">#REF!</definedName>
    <definedName name="GAS_NET_OP_INC">#REF!</definedName>
    <definedName name="Gas_Sales_Revenues">#REF!</definedName>
    <definedName name="Gccccc" hidden="1">#REF!</definedName>
    <definedName name="GenEx_Annual_KU" localSheetId="4">'[3]LGE Cost of Sales'!#REF!</definedName>
    <definedName name="GenEx_Annual_KU">'[3]LGE Cost of Sales'!#REF!</definedName>
    <definedName name="genex_hide_ku_01" localSheetId="4">'[3]LGE Cost of Sales'!#REF!</definedName>
    <definedName name="genex_hide_ku_01">'[3]LGE Cost of Sales'!#REF!</definedName>
    <definedName name="genex_hide_lge_01" localSheetId="4">'[3]LGE Cost of Sales'!#REF!</definedName>
    <definedName name="genex_hide_lge_01">'[3]LGE Cost of Sales'!#REF!</definedName>
    <definedName name="genex_ku_01" localSheetId="4">'[3]LGE Cost of Sales'!#REF!</definedName>
    <definedName name="genex_ku_01">'[3]LGE Cost of Sales'!#REF!</definedName>
    <definedName name="GGFFS" hidden="1">#REF!</definedName>
    <definedName name="Home_KU">#REF!</definedName>
    <definedName name="IGS" hidden="1">#REF!</definedName>
    <definedName name="INPUT1">#REF!</definedName>
    <definedName name="INPUT2">#REF!</definedName>
    <definedName name="INPUTCOL">#REF!</definedName>
    <definedName name="INPUTROW">#REF!</definedName>
    <definedName name="InputSec01">[4]Input!$M$30</definedName>
    <definedName name="InputSec02">[4]Input!$M$40:$M$75</definedName>
    <definedName name="InputSec03">[4]Input!$K$87:$Q$89</definedName>
    <definedName name="InputSec04">[4]Input!$O$100:$Q$100</definedName>
    <definedName name="InputSec05A">[4]Input!$O$110:$Q$110</definedName>
    <definedName name="InputSec05B">[4]Input!$O$116:$Q$122</definedName>
    <definedName name="InputSec06">[4]Input!$M$133:$O$142</definedName>
    <definedName name="InputSec07">[4]Input!$O$151:$O$181</definedName>
    <definedName name="InputSec08A">[4]Input!$O$259:$O$283</definedName>
    <definedName name="InputSec08B">[4]Input!$G$296:$Q$296</definedName>
    <definedName name="InputSec08C">[4]Input!$I$306:$K$306</definedName>
    <definedName name="InputSec09A">[4]Input!$K$316:$Q$318</definedName>
    <definedName name="InputSec09B">[4]Input!$K$328:$M$330</definedName>
    <definedName name="InputSec10A">[4]Input!$K$345:$O$349</definedName>
    <definedName name="InputSec10B">[4]Input!$K$355:$O$355</definedName>
    <definedName name="InputSec10C">[4]Input!$K$362:$O$364</definedName>
    <definedName name="InputSec10D">[4]Input!$K$370:$O$370</definedName>
    <definedName name="InputSec11">[4]Input!$M$383:$O$391</definedName>
    <definedName name="InputSec12A">[4]Input!$M$406:$M$418</definedName>
    <definedName name="InputSec12B">[4]Input!$M$424</definedName>
    <definedName name="InputSec13">[4]Input!$M$433:$O$433</definedName>
    <definedName name="KUELIMBAL" localSheetId="4">#REF!</definedName>
    <definedName name="KUELIMBAL">#REF!</definedName>
    <definedName name="KUELIMCASH" localSheetId="4">#REF!</definedName>
    <definedName name="KUELIMCASH">#REF!</definedName>
    <definedName name="KUPWRGENIS">#REF!</definedName>
    <definedName name="KWHCol01">[4]KWHDistDatabase!$I$5:$I$425</definedName>
    <definedName name="KWHCol02">[4]KWHDistDatabase!$J$5:$J$425</definedName>
    <definedName name="KWHCol03">[4]KWHDistDatabase!$K$5:$K$425</definedName>
    <definedName name="KWHCol04">[4]KWHDistDatabase!$L$5:$L$425</definedName>
    <definedName name="KWHCol05">[4]KWHDistDatabase!$M$5:$M$425</definedName>
    <definedName name="KWHCol06">[4]KWHDistDatabase!$N$5:$N$425</definedName>
    <definedName name="KWHCol07">[4]KWHDistDatabase!$O$5:$O$425</definedName>
    <definedName name="KWHCol08">[4]KWHDistDatabase!$P$5:$P$425</definedName>
    <definedName name="KWHCol09">[4]KWHDistDatabase!$Q$5:$Q$425</definedName>
    <definedName name="KWHCol10">[4]KWHDistDatabase!$R$5:$R$425</definedName>
    <definedName name="KWHCol11">[4]KWHDistDatabase!$S$5:$S$425</definedName>
    <definedName name="KWHCol12">[4]KWHDistDatabase!$T$5:$T$425</definedName>
    <definedName name="KWHCol13">[4]KWHDistDatabase!$U$5:$U$425</definedName>
    <definedName name="KWHCol14">[4]KWHDistDatabase!$V$5:$V$425</definedName>
    <definedName name="KWHCol15">[4]KWHDistDatabase!$W$5:$W$425</definedName>
    <definedName name="KWHCol16">[4]KWHDistDatabase!$X$5:$X$425</definedName>
    <definedName name="KWHCol17">[4]KWHDistDatabase!$Y$5:$Y$425</definedName>
    <definedName name="KWHCol18">[4]KWHDistDatabase!$Z$5:$Z$425</definedName>
    <definedName name="KWHCol19">[4]KWHDistDatabase!$AA$5:$AA$425</definedName>
    <definedName name="KWHCol20">[4]KWHDistDatabase!$AB$5:$AB$425</definedName>
    <definedName name="KWHCol21">[4]KWHDistDatabase!$AC$5:$AC$425</definedName>
    <definedName name="KWHCol22">[4]KWHDistDatabase!$AD$5:$AD$425</definedName>
    <definedName name="KWHCol23">[4]KWHDistDatabase!$AE$5:$AE$425</definedName>
    <definedName name="KWHCol24">[4]KWHDistDatabase!$AF$5:$AF$425</definedName>
    <definedName name="KWHCol25">[4]KWHDistDatabase!$AG$5:$AG$425</definedName>
    <definedName name="KWHColTmp">[4]KWHDistDatabase!$AI$5:$AI$425</definedName>
    <definedName name="LEC">#REF!</definedName>
    <definedName name="LECBAL">#REF!</definedName>
    <definedName name="LECCASH">#REF!</definedName>
    <definedName name="LES">#REF!</definedName>
    <definedName name="LGE">#REF!</definedName>
    <definedName name="LNGCL" localSheetId="4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ONTH_NAME">#REF!</definedName>
    <definedName name="MONTHCOUNT">#REF!</definedName>
    <definedName name="NATURAL">#REF!</definedName>
    <definedName name="NET_OP_INC" localSheetId="4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4">'[3]LGE Gross Margin-Inc.Stmt'!#REF!</definedName>
    <definedName name="netrev_hide_ku_01">'[3]LGE Gross Margin-Inc.Stmt'!#REF!</definedName>
    <definedName name="netrev_hide_lge_01" localSheetId="4">'[3]LGE Gross Margin-Inc.Stmt'!#REF!</definedName>
    <definedName name="netrev_hide_lge_01">'[3]LGE Gross Margin-Inc.Stmt'!#REF!</definedName>
    <definedName name="netrev_ku_01" localSheetId="4">'[3]LGE Gross Margin-Inc.Stmt'!#REF!</definedName>
    <definedName name="netrev_ku_01">'[3]LGE Gross Margin-Inc.Stmt'!#REF!</definedName>
    <definedName name="NetRevenue_Annual_KU" localSheetId="4">'[3]LGE Gross Margin-Inc.Stmt'!#REF!</definedName>
    <definedName name="NetRevenue_Annual_KU">'[3]LGE Gross Margin-Inc.Stmt'!#REF!</definedName>
    <definedName name="NetRevenues">#REF!</definedName>
    <definedName name="NextReptgMo">[4]Input!$AE$19</definedName>
    <definedName name="NextReptgYr">[4]Input!$AE$21</definedName>
    <definedName name="Operating_Revenue_Dollars">#REF!</definedName>
    <definedName name="Operating_Sales__KWh">#REF!</definedName>
    <definedName name="PAGE">#REF!</definedName>
    <definedName name="PAGE10">#REF!</definedName>
    <definedName name="PAGE7">#REF!</definedName>
    <definedName name="page8">#REF!</definedName>
    <definedName name="PAGE9">#REF!</definedName>
    <definedName name="PgFERC_449">#REF!</definedName>
    <definedName name="Plan">#REF!</definedName>
    <definedName name="_xlnm.Print_Area" localSheetId="7">AAGS!$B$1:$N$41</definedName>
    <definedName name="_xlnm.Print_Area" localSheetId="1">Allocation!$A$1:$L$631</definedName>
    <definedName name="_xlnm.Print_Area" localSheetId="5">CGS!$B$1:$N$44</definedName>
    <definedName name="_xlnm.Print_Area" localSheetId="9">'Daily Utilization Charge'!$A$1:$E$27</definedName>
    <definedName name="_xlnm.Print_Area" localSheetId="8">FT!$B$1:$N$45</definedName>
    <definedName name="_xlnm.Print_Area" localSheetId="0">'Functional Assignment'!$A$1:$V$643</definedName>
    <definedName name="_xlnm.Print_Area" localSheetId="6">IGS!$B$1:$N$45</definedName>
    <definedName name="_xlnm.Print_Area" localSheetId="4">RGS!$B$1:$N$43</definedName>
    <definedName name="_xlnm.Print_Area" localSheetId="2">'Summary of Returns'!$A$1:$G$14</definedName>
    <definedName name="_xlnm.Print_Titles" localSheetId="1">Allocation!$A:$E,Allocation!$2:$4</definedName>
    <definedName name="_xlnm.Print_Titles" localSheetId="0">'Functional Assignment'!$A:$D,'Functional Assignment'!$1:$3</definedName>
    <definedName name="PRINT1">#REF!</definedName>
    <definedName name="PWRGENBAL">#REF!</definedName>
    <definedName name="PWRGENCASH">#REF!</definedName>
    <definedName name="QtrbyMonth">#REF!</definedName>
    <definedName name="RangeRptgMo">[7]Main!$K$11</definedName>
    <definedName name="RangeRptgYr">[8]Main!$G$5</definedName>
    <definedName name="REPORT">#REF!</definedName>
    <definedName name="require_hide_ku_01" localSheetId="4">'[3]LGE Require &amp; Source'!#REF!</definedName>
    <definedName name="require_hide_ku_01">'[3]LGE Require &amp; Source'!#REF!</definedName>
    <definedName name="require_hide_lge_01" localSheetId="4">'[3]LGE Require &amp; Source'!#REF!</definedName>
    <definedName name="require_hide_lge_01">'[3]LGE Require &amp; Source'!#REF!</definedName>
    <definedName name="require_ku_01" localSheetId="4">'[3]LGE Require &amp; Source'!#REF!</definedName>
    <definedName name="require_ku_01">'[3]LGE Require &amp; Source'!#REF!</definedName>
    <definedName name="Requirements_Annual_KU" localSheetId="4">'[3]LGE Require &amp; Source'!#REF!</definedName>
    <definedName name="Requirements_Annual_KU">'[3]LGE Require &amp; Source'!#REF!</definedName>
    <definedName name="Requirements_Data" localSheetId="4">'[3]LGE Require &amp; Source'!#REF!</definedName>
    <definedName name="Requirements_Data">'[3]LGE Require &amp; Source'!#REF!</definedName>
    <definedName name="Requirements_KU" localSheetId="4">'[3]LGE Require &amp; Source'!#REF!</definedName>
    <definedName name="Requirements_KU">'[3]LGE Require &amp; Source'!#REF!</definedName>
    <definedName name="RevCol01">#REF!</definedName>
    <definedName name="RevCol01A">#REF!</definedName>
    <definedName name="RevCol01B" localSheetId="4">[9]RevDatabase!#REF!</definedName>
    <definedName name="RevCol01B">[9]RevDatabase!#REF!</definedName>
    <definedName name="RevCol02">#REF!</definedName>
    <definedName name="RevCol02A">#REF!</definedName>
    <definedName name="RevCol02B" localSheetId="4">[9]RevDatabase!#REF!</definedName>
    <definedName name="RevCol02B">[9]RevDatabase!#REF!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4">[9]RevDatabase!#REF!</definedName>
    <definedName name="RevColTmp">[9]RevDatabase!#REF!</definedName>
    <definedName name="RevColTmpA" localSheetId="4">[9]RevDatabase!#REF!</definedName>
    <definedName name="RevColTmpA">[9]RevDatabase!#REF!</definedName>
    <definedName name="RevColTmpB" localSheetId="4">[9]RevDatabase!#REF!</definedName>
    <definedName name="RevColTmpB">[9]RevDatabase!#REF!</definedName>
    <definedName name="revenues_hide_ku_01" localSheetId="4">'[3]KU Other Electric Revenues'!#REF!</definedName>
    <definedName name="revenues_hide_ku_01">'[3]KU Other Electric Revenues'!#REF!</definedName>
    <definedName name="revenues_ku_01" localSheetId="4">'[3]KU Other Electric Revenues'!#REF!</definedName>
    <definedName name="revenues_ku_01">'[3]KU Other Electric Revenues'!#REF!</definedName>
    <definedName name="RPTCOL">#REF!</definedName>
    <definedName name="RPTROW">#REF!</definedName>
    <definedName name="Sales" localSheetId="4">'[3]LGE Sales'!#REF!</definedName>
    <definedName name="Sales">'[3]LGE Sales'!#REF!</definedName>
    <definedName name="sales_hide_ku_01" localSheetId="4">'[3]LGE Sales'!#REF!</definedName>
    <definedName name="sales_hide_ku_01">'[3]LGE Sales'!#REF!</definedName>
    <definedName name="sales_ku_01" localSheetId="4">'[3]LGE Sales'!#REF!</definedName>
    <definedName name="sales_ku_01">'[3]LGE Sales'!#REF!</definedName>
    <definedName name="sales_title_ku" localSheetId="4">'[3]LGE Sales'!#REF!</definedName>
    <definedName name="sales_title_ku">'[3]LGE Sales'!#REF!</definedName>
    <definedName name="SCHEDZ">#REF!</definedName>
    <definedName name="shoot" localSheetId="4">#REF!</definedName>
    <definedName name="shoot">#REF!</definedName>
    <definedName name="START">#REF!</definedName>
    <definedName name="START2">#REF!</definedName>
    <definedName name="START3">#REF!</definedName>
    <definedName name="Support">#REF!</definedName>
    <definedName name="SUPPORT5">#REF!</definedName>
    <definedName name="SUPPORT6" localSheetId="4">#REF!</definedName>
    <definedName name="SUPPORT6">#REF!</definedName>
    <definedName name="TAX_RATE" localSheetId="4">'[5]#REF'!#REF!</definedName>
    <definedName name="TAX_RATE">'[5]#REF'!#REF!</definedName>
    <definedName name="TempReptgMo">[4]Input!$AG$19</definedName>
    <definedName name="TempReptgYr">[4]Input!$AG$21</definedName>
    <definedName name="TenyrNIAC">#REF!</definedName>
    <definedName name="TenyrRev">#REF!</definedName>
    <definedName name="test" localSheetId="4">RGS!test</definedName>
    <definedName name="test">RGS!test</definedName>
    <definedName name="Title">#REF!</definedName>
    <definedName name="Title_Choice">#REF!</definedName>
    <definedName name="Titles">#REF!</definedName>
    <definedName name="Titles_KU">#REF!</definedName>
    <definedName name="ttt" localSheetId="4">#REF!</definedName>
    <definedName name="ttt">#REF!</definedName>
    <definedName name="UpdateDate">[4]Input!$M$12</definedName>
    <definedName name="UpdateTime">[4]Input!$O$12</definedName>
    <definedName name="Variance">#REF!</definedName>
    <definedName name="VIEW1">#REF!</definedName>
    <definedName name="vol_rev_annual_ku" localSheetId="4">'[3]LGE Retail Margin'!#REF!</definedName>
    <definedName name="vol_rev_annual_ku">'[3]LGE Retail Margin'!#REF!</definedName>
    <definedName name="vol_rev_hide_ku_monthly" localSheetId="4">'[3]LGE Retail Margin'!#REF!</definedName>
    <definedName name="vol_rev_hide_ku_monthly">'[3]LGE Retail Margin'!#REF!</definedName>
    <definedName name="vol_rev_hide_lge_01" localSheetId="4">'[3]LGE Retail Margin'!#REF!</definedName>
    <definedName name="vol_rev_hide_lge_01">'[3]LGE Retail Margin'!#REF!</definedName>
    <definedName name="vol_rev_ku_monthly" localSheetId="4">'[3]LGE Retail Margin'!#REF!</definedName>
    <definedName name="vol_rev_ku_monthly">'[3]LGE Retail Margin'!#REF!</definedName>
    <definedName name="volrev_data" localSheetId="4">'[3]LGE Retail Margin'!#REF!</definedName>
    <definedName name="volrev_data">'[3]LGE Retail Margin'!#REF!</definedName>
    <definedName name="YTD">#REF!</definedName>
  </definedNames>
  <calcPr calcId="152511"/>
</workbook>
</file>

<file path=xl/calcChain.xml><?xml version="1.0" encoding="utf-8"?>
<calcChain xmlns="http://schemas.openxmlformats.org/spreadsheetml/2006/main">
  <c r="V34" i="4" l="1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K644" i="4"/>
  <c r="J644" i="4"/>
  <c r="I644" i="4"/>
  <c r="H644" i="4"/>
  <c r="K643" i="4"/>
  <c r="K645" i="4" s="1"/>
  <c r="J643" i="4"/>
  <c r="J645" i="4" s="1"/>
  <c r="I643" i="4"/>
  <c r="I645" i="4" s="1"/>
  <c r="H643" i="4"/>
  <c r="H645" i="4" s="1"/>
  <c r="G644" i="4"/>
  <c r="K639" i="4"/>
  <c r="J639" i="4"/>
  <c r="I639" i="4"/>
  <c r="H639" i="4"/>
  <c r="K636" i="4"/>
  <c r="K648" i="4" s="1"/>
  <c r="J636" i="4"/>
  <c r="J648" i="4" s="1"/>
  <c r="I636" i="4"/>
  <c r="I648" i="4" s="1"/>
  <c r="H636" i="4"/>
  <c r="H648" i="4" s="1"/>
  <c r="K635" i="4"/>
  <c r="J635" i="4"/>
  <c r="I635" i="4"/>
  <c r="H635" i="4"/>
  <c r="F635" i="4" s="1"/>
  <c r="G643" i="4" s="1"/>
  <c r="F636" i="4"/>
  <c r="G648" i="4" s="1"/>
  <c r="G640" i="4"/>
  <c r="G639" i="4"/>
  <c r="G637" i="4"/>
  <c r="G636" i="4"/>
  <c r="G635" i="4"/>
  <c r="H637" i="4" l="1"/>
  <c r="H640" i="4"/>
  <c r="F637" i="4"/>
  <c r="I637" i="4"/>
  <c r="I640" i="4"/>
  <c r="F639" i="4"/>
  <c r="G645" i="4" s="1"/>
  <c r="F645" i="4" s="1"/>
  <c r="J637" i="4"/>
  <c r="J640" i="4"/>
  <c r="K637" i="4"/>
  <c r="K640" i="4"/>
  <c r="Q587" i="1"/>
  <c r="O587" i="1"/>
  <c r="F640" i="4" l="1"/>
  <c r="G649" i="4" s="1"/>
  <c r="G650" i="4" s="1"/>
  <c r="H649" i="4"/>
  <c r="H650" i="4" s="1"/>
  <c r="F64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V650" i="1"/>
  <c r="U650" i="1"/>
  <c r="T650" i="1"/>
  <c r="T665" i="1" s="1"/>
  <c r="T643" i="1" s="1"/>
  <c r="S650" i="1"/>
  <c r="R650" i="1"/>
  <c r="R665" i="1" s="1"/>
  <c r="R643" i="1" s="1"/>
  <c r="Q650" i="1"/>
  <c r="P650" i="1"/>
  <c r="P665" i="1" s="1"/>
  <c r="P643" i="1" s="1"/>
  <c r="O650" i="1"/>
  <c r="O665" i="1" s="1"/>
  <c r="O643" i="1" s="1"/>
  <c r="N650" i="1"/>
  <c r="N665" i="1" s="1"/>
  <c r="N643" i="1" s="1"/>
  <c r="M650" i="1"/>
  <c r="M665" i="1" s="1"/>
  <c r="M643" i="1" s="1"/>
  <c r="L650" i="1"/>
  <c r="L665" i="1" s="1"/>
  <c r="L643" i="1" s="1"/>
  <c r="K650" i="1"/>
  <c r="K665" i="1" s="1"/>
  <c r="K643" i="1" s="1"/>
  <c r="J650" i="1"/>
  <c r="J665" i="1" s="1"/>
  <c r="J643" i="1" s="1"/>
  <c r="I650" i="1"/>
  <c r="I665" i="1" s="1"/>
  <c r="I643" i="1" s="1"/>
  <c r="H650" i="1"/>
  <c r="H665" i="1" s="1"/>
  <c r="H643" i="1" s="1"/>
  <c r="G650" i="1"/>
  <c r="G665" i="1" s="1"/>
  <c r="G643" i="1" s="1"/>
  <c r="F665" i="1"/>
  <c r="D663" i="1"/>
  <c r="D662" i="1"/>
  <c r="I649" i="4" l="1"/>
  <c r="I650" i="4" s="1"/>
  <c r="F650" i="4" s="1"/>
  <c r="J649" i="4"/>
  <c r="J650" i="4" s="1"/>
  <c r="K649" i="4"/>
  <c r="K650" i="4" s="1"/>
  <c r="U665" i="1"/>
  <c r="U643" i="1" s="1"/>
  <c r="Q665" i="1"/>
  <c r="Q643" i="1" s="1"/>
  <c r="S665" i="1"/>
  <c r="S643" i="1" s="1"/>
  <c r="V665" i="1"/>
  <c r="V643" i="1" s="1"/>
  <c r="W650" i="1"/>
  <c r="X650" i="1" s="1"/>
  <c r="W651" i="1"/>
  <c r="X651" i="1" s="1"/>
  <c r="W652" i="1"/>
  <c r="X652" i="1" s="1"/>
  <c r="W653" i="1"/>
  <c r="X653" i="1" s="1"/>
  <c r="W655" i="1"/>
  <c r="X655" i="1" s="1"/>
  <c r="W656" i="1"/>
  <c r="X656" i="1" s="1"/>
  <c r="W663" i="1"/>
  <c r="X663" i="1" s="1"/>
  <c r="W654" i="1"/>
  <c r="X654" i="1" s="1"/>
  <c r="W657" i="1"/>
  <c r="X657" i="1" s="1"/>
  <c r="W658" i="1"/>
  <c r="X658" i="1" s="1"/>
  <c r="W659" i="1"/>
  <c r="X659" i="1" s="1"/>
  <c r="W660" i="1"/>
  <c r="X660" i="1" s="1"/>
  <c r="W661" i="1"/>
  <c r="X661" i="1" s="1"/>
  <c r="W662" i="1"/>
  <c r="X662" i="1" s="1"/>
  <c r="H561" i="4"/>
  <c r="W665" i="1" l="1"/>
  <c r="X665" i="1" s="1"/>
  <c r="K41" i="34"/>
  <c r="F588" i="4"/>
  <c r="I41" i="27"/>
  <c r="L41" i="27"/>
  <c r="I40" i="29"/>
  <c r="L40" i="29"/>
  <c r="L39" i="31"/>
  <c r="K599" i="4" l="1"/>
  <c r="J599" i="4"/>
  <c r="I599" i="4"/>
  <c r="H599" i="4"/>
  <c r="G599" i="4"/>
  <c r="K14" i="32"/>
  <c r="F599" i="4"/>
  <c r="K13" i="32"/>
  <c r="J13" i="32"/>
  <c r="K12" i="32"/>
  <c r="J12" i="32"/>
  <c r="J11" i="32"/>
  <c r="J10" i="32"/>
  <c r="K10" i="32" s="1"/>
  <c r="J9" i="32"/>
  <c r="J8" i="32"/>
  <c r="J7" i="32"/>
  <c r="K8" i="32" s="1"/>
  <c r="J6" i="32"/>
  <c r="K6" i="32" s="1"/>
  <c r="L41" i="34"/>
  <c r="L41" i="30"/>
  <c r="I47" i="30" l="1"/>
  <c r="I600" i="4" l="1"/>
  <c r="E41" i="30" s="1"/>
  <c r="G41" i="30" s="1"/>
  <c r="H41" i="30" s="1"/>
  <c r="F598" i="4"/>
  <c r="J41" i="34"/>
  <c r="I41" i="34"/>
  <c r="K39" i="31"/>
  <c r="J39" i="31"/>
  <c r="I39" i="31"/>
  <c r="I41" i="30"/>
  <c r="F41" i="30" l="1"/>
  <c r="F504" i="1"/>
  <c r="K474" i="4" l="1"/>
  <c r="N474" i="4"/>
  <c r="K600" i="4" l="1"/>
  <c r="E41" i="34" s="1"/>
  <c r="J600" i="4"/>
  <c r="E39" i="31" s="1"/>
  <c r="H600" i="4"/>
  <c r="E40" i="29" s="1"/>
  <c r="G600" i="4"/>
  <c r="E41" i="27" s="1"/>
  <c r="I597" i="4"/>
  <c r="K597" i="4"/>
  <c r="J597" i="4"/>
  <c r="G39" i="31" l="1"/>
  <c r="H39" i="31" s="1"/>
  <c r="F39" i="31"/>
  <c r="G41" i="34"/>
  <c r="H41" i="34" s="1"/>
  <c r="F41" i="34"/>
  <c r="I580" i="4"/>
  <c r="K41" i="30" l="1"/>
  <c r="J41" i="30"/>
  <c r="J581" i="4"/>
  <c r="K581" i="4"/>
  <c r="L581" i="4"/>
  <c r="F385" i="1" l="1"/>
  <c r="F414" i="1"/>
  <c r="F413" i="1"/>
  <c r="F411" i="1"/>
  <c r="F410" i="1"/>
  <c r="F409" i="1"/>
  <c r="F381" i="1" l="1"/>
  <c r="F380" i="1"/>
  <c r="F379" i="1"/>
  <c r="F366" i="1"/>
  <c r="F361" i="1"/>
  <c r="F330" i="1"/>
  <c r="F346" i="1"/>
  <c r="F345" i="1"/>
  <c r="F344" i="1"/>
  <c r="F343" i="1"/>
  <c r="F342" i="1"/>
  <c r="F341" i="1"/>
  <c r="F339" i="1"/>
  <c r="F327" i="1"/>
  <c r="F325" i="1"/>
  <c r="F324" i="1"/>
  <c r="F323" i="1"/>
  <c r="F322" i="1"/>
  <c r="F320" i="1"/>
  <c r="E21" i="26" l="1"/>
  <c r="K40" i="29" l="1"/>
  <c r="J40" i="29"/>
  <c r="K476" i="4"/>
  <c r="N476" i="4"/>
  <c r="T566" i="4" l="1"/>
  <c r="S566" i="4"/>
  <c r="R566" i="4"/>
  <c r="N566" i="4"/>
  <c r="K566" i="4"/>
  <c r="F514" i="1"/>
  <c r="F522" i="1" s="1"/>
  <c r="F41" i="27"/>
  <c r="I583" i="4"/>
  <c r="U561" i="4"/>
  <c r="V561" i="4" s="1"/>
  <c r="F515" i="4"/>
  <c r="M602" i="4"/>
  <c r="M601" i="4" s="1"/>
  <c r="L602" i="4"/>
  <c r="L601" i="4" s="1"/>
  <c r="J602" i="4"/>
  <c r="H602" i="4"/>
  <c r="I602" i="4"/>
  <c r="U627" i="4"/>
  <c r="K602" i="4"/>
  <c r="U602" i="4" s="1"/>
  <c r="F602" i="4" s="1"/>
  <c r="G602" i="4"/>
  <c r="G621" i="4" s="1"/>
  <c r="F594" i="4"/>
  <c r="F531" i="4"/>
  <c r="F589" i="4"/>
  <c r="K590" i="4" s="1"/>
  <c r="V189" i="1"/>
  <c r="Q189" i="1"/>
  <c r="K189" i="1"/>
  <c r="F462" i="1"/>
  <c r="F215" i="1"/>
  <c r="U189" i="1"/>
  <c r="T189" i="1"/>
  <c r="F61" i="1"/>
  <c r="I8" i="1"/>
  <c r="G7" i="1"/>
  <c r="G591" i="4"/>
  <c r="H591" i="4"/>
  <c r="I591" i="4"/>
  <c r="J591" i="4"/>
  <c r="K591" i="4"/>
  <c r="L591" i="4"/>
  <c r="M591" i="4"/>
  <c r="G592" i="4"/>
  <c r="G593" i="4" s="1"/>
  <c r="M41" i="27" s="1"/>
  <c r="H592" i="4"/>
  <c r="H593" i="4" s="1"/>
  <c r="M40" i="29" s="1"/>
  <c r="I592" i="4"/>
  <c r="I593" i="4" s="1"/>
  <c r="M41" i="30" s="1"/>
  <c r="J592" i="4"/>
  <c r="J593" i="4" s="1"/>
  <c r="M39" i="31" s="1"/>
  <c r="K593" i="4"/>
  <c r="M41" i="34" s="1"/>
  <c r="L592" i="4"/>
  <c r="L593" i="4" s="1"/>
  <c r="M592" i="4"/>
  <c r="M593" i="4" s="1"/>
  <c r="G597" i="4"/>
  <c r="K585" i="4"/>
  <c r="M584" i="4"/>
  <c r="M585" i="4"/>
  <c r="U628" i="4"/>
  <c r="F544" i="1"/>
  <c r="E2" i="4"/>
  <c r="F2" i="4" s="1"/>
  <c r="G2" i="4" s="1"/>
  <c r="I13" i="1"/>
  <c r="I625" i="1" s="1"/>
  <c r="I16" i="1"/>
  <c r="I17" i="1"/>
  <c r="I18" i="1"/>
  <c r="I637" i="1" s="1"/>
  <c r="I110" i="1" s="1"/>
  <c r="I19" i="1"/>
  <c r="I20" i="1"/>
  <c r="I21" i="1"/>
  <c r="I22" i="1"/>
  <c r="I23" i="1"/>
  <c r="I24" i="1"/>
  <c r="I25" i="1"/>
  <c r="I26" i="1"/>
  <c r="I27" i="1"/>
  <c r="D28" i="1"/>
  <c r="H28" i="1" s="1"/>
  <c r="D29" i="1"/>
  <c r="I29" i="1" s="1"/>
  <c r="I36" i="1"/>
  <c r="I55" i="1"/>
  <c r="I56" i="1"/>
  <c r="I57" i="1"/>
  <c r="I103" i="1"/>
  <c r="F637" i="1"/>
  <c r="I123" i="1"/>
  <c r="I316" i="1"/>
  <c r="I149" i="1"/>
  <c r="I150" i="1"/>
  <c r="I151" i="1"/>
  <c r="I152" i="1"/>
  <c r="I153" i="1"/>
  <c r="I154" i="1"/>
  <c r="I155" i="1"/>
  <c r="I156" i="1"/>
  <c r="I157" i="1"/>
  <c r="I158" i="1"/>
  <c r="I159" i="1"/>
  <c r="F635" i="1"/>
  <c r="I321" i="1"/>
  <c r="I322" i="1"/>
  <c r="I323" i="1"/>
  <c r="I324" i="1"/>
  <c r="I325" i="1"/>
  <c r="I326" i="1"/>
  <c r="I327" i="1"/>
  <c r="I328" i="1"/>
  <c r="I329" i="1"/>
  <c r="I330" i="1"/>
  <c r="I331" i="1"/>
  <c r="I168" i="1"/>
  <c r="I169" i="1"/>
  <c r="I170" i="1"/>
  <c r="I171" i="1"/>
  <c r="I172" i="1"/>
  <c r="I173" i="1"/>
  <c r="I174" i="1"/>
  <c r="F636" i="1"/>
  <c r="I340" i="1"/>
  <c r="I341" i="1"/>
  <c r="I342" i="1"/>
  <c r="I343" i="1"/>
  <c r="I344" i="1"/>
  <c r="I345" i="1"/>
  <c r="I346" i="1"/>
  <c r="I361" i="1"/>
  <c r="I194" i="1"/>
  <c r="I195" i="1"/>
  <c r="I196" i="1"/>
  <c r="I198" i="1"/>
  <c r="I199" i="1"/>
  <c r="I201" i="1"/>
  <c r="I202" i="1"/>
  <c r="I203" i="1"/>
  <c r="I204" i="1"/>
  <c r="I205" i="1"/>
  <c r="I206" i="1"/>
  <c r="I207" i="1"/>
  <c r="I208" i="1"/>
  <c r="I209" i="1"/>
  <c r="I210" i="1"/>
  <c r="I211" i="1"/>
  <c r="F639" i="1"/>
  <c r="I366" i="1"/>
  <c r="I367" i="1"/>
  <c r="I368" i="1"/>
  <c r="I370" i="1"/>
  <c r="I371" i="1"/>
  <c r="I373" i="1"/>
  <c r="I374" i="1"/>
  <c r="I375" i="1"/>
  <c r="I376" i="1"/>
  <c r="I377" i="1"/>
  <c r="I378" i="1"/>
  <c r="I379" i="1"/>
  <c r="I380" i="1"/>
  <c r="I381" i="1"/>
  <c r="I382" i="1"/>
  <c r="I383" i="1"/>
  <c r="I234" i="1"/>
  <c r="I235" i="1"/>
  <c r="I236" i="1"/>
  <c r="I237" i="1"/>
  <c r="I238" i="1"/>
  <c r="I239" i="1"/>
  <c r="I240" i="1"/>
  <c r="I241" i="1"/>
  <c r="F640" i="1"/>
  <c r="I406" i="1"/>
  <c r="I407" i="1"/>
  <c r="I408" i="1"/>
  <c r="I409" i="1"/>
  <c r="I410" i="1"/>
  <c r="I411" i="1"/>
  <c r="I412" i="1"/>
  <c r="I413" i="1"/>
  <c r="I422" i="1"/>
  <c r="I423" i="1"/>
  <c r="I424" i="1"/>
  <c r="I425" i="1"/>
  <c r="I426" i="1"/>
  <c r="I431" i="1"/>
  <c r="I434" i="1"/>
  <c r="I144" i="1"/>
  <c r="I250" i="1"/>
  <c r="I251" i="1"/>
  <c r="I252" i="1"/>
  <c r="I253" i="1"/>
  <c r="I254" i="1"/>
  <c r="I259" i="1"/>
  <c r="I262" i="1"/>
  <c r="F161" i="1"/>
  <c r="F176" i="1"/>
  <c r="F244" i="1"/>
  <c r="F246" i="1" s="1"/>
  <c r="F256" i="1"/>
  <c r="F333" i="1"/>
  <c r="F348" i="1"/>
  <c r="F387" i="1"/>
  <c r="F416" i="1"/>
  <c r="F428" i="1"/>
  <c r="Q8" i="1"/>
  <c r="Q13" i="1"/>
  <c r="Q625" i="1" s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6" i="1"/>
  <c r="Q55" i="1"/>
  <c r="Q56" i="1"/>
  <c r="Q57" i="1"/>
  <c r="Q103" i="1"/>
  <c r="Q123" i="1"/>
  <c r="Q316" i="1"/>
  <c r="Q149" i="1"/>
  <c r="Q150" i="1"/>
  <c r="Q151" i="1"/>
  <c r="Q152" i="1"/>
  <c r="Q153" i="1"/>
  <c r="Q154" i="1"/>
  <c r="Q155" i="1"/>
  <c r="Q156" i="1"/>
  <c r="Q157" i="1"/>
  <c r="Q158" i="1"/>
  <c r="Q159" i="1"/>
  <c r="Q321" i="1"/>
  <c r="Q322" i="1"/>
  <c r="Q323" i="1"/>
  <c r="Q324" i="1"/>
  <c r="Q325" i="1"/>
  <c r="Q326" i="1"/>
  <c r="Q327" i="1"/>
  <c r="Q328" i="1"/>
  <c r="Q329" i="1"/>
  <c r="Q330" i="1"/>
  <c r="Q331" i="1"/>
  <c r="Q168" i="1"/>
  <c r="Q169" i="1"/>
  <c r="Q170" i="1"/>
  <c r="Q171" i="1"/>
  <c r="Q172" i="1"/>
  <c r="Q173" i="1"/>
  <c r="Q174" i="1"/>
  <c r="Q340" i="1"/>
  <c r="Q341" i="1"/>
  <c r="Q342" i="1"/>
  <c r="Q343" i="1"/>
  <c r="Q344" i="1"/>
  <c r="Q345" i="1"/>
  <c r="Q346" i="1"/>
  <c r="Q361" i="1"/>
  <c r="Q194" i="1"/>
  <c r="Q195" i="1"/>
  <c r="Q196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1" i="1"/>
  <c r="Q366" i="1"/>
  <c r="Q367" i="1"/>
  <c r="Q368" i="1"/>
  <c r="Q370" i="1"/>
  <c r="Q371" i="1"/>
  <c r="Q373" i="1"/>
  <c r="Q374" i="1"/>
  <c r="Q375" i="1"/>
  <c r="Q376" i="1"/>
  <c r="Q377" i="1"/>
  <c r="Q378" i="1"/>
  <c r="Q379" i="1"/>
  <c r="Q380" i="1"/>
  <c r="Q381" i="1"/>
  <c r="Q382" i="1"/>
  <c r="Q383" i="1"/>
  <c r="Q234" i="1"/>
  <c r="Q235" i="1"/>
  <c r="Q236" i="1"/>
  <c r="Q237" i="1"/>
  <c r="Q238" i="1"/>
  <c r="Q239" i="1"/>
  <c r="Q240" i="1"/>
  <c r="Q241" i="1"/>
  <c r="Q406" i="1"/>
  <c r="Q407" i="1"/>
  <c r="Q408" i="1"/>
  <c r="Q409" i="1"/>
  <c r="Q410" i="1"/>
  <c r="Q411" i="1"/>
  <c r="Q412" i="1"/>
  <c r="Q413" i="1"/>
  <c r="Q422" i="1"/>
  <c r="Q423" i="1"/>
  <c r="Q424" i="1"/>
  <c r="Q425" i="1"/>
  <c r="Q426" i="1"/>
  <c r="Q431" i="1"/>
  <c r="Q434" i="1"/>
  <c r="Q144" i="1"/>
  <c r="Q250" i="1"/>
  <c r="Q251" i="1"/>
  <c r="Q252" i="1"/>
  <c r="Q253" i="1"/>
  <c r="Q254" i="1"/>
  <c r="Q259" i="1"/>
  <c r="Q262" i="1"/>
  <c r="R8" i="1"/>
  <c r="R13" i="1"/>
  <c r="R625" i="1" s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6" i="1"/>
  <c r="R55" i="1"/>
  <c r="R56" i="1"/>
  <c r="R57" i="1"/>
  <c r="R103" i="1"/>
  <c r="R123" i="1"/>
  <c r="R316" i="1"/>
  <c r="R149" i="1"/>
  <c r="R150" i="1"/>
  <c r="R151" i="1"/>
  <c r="R152" i="1"/>
  <c r="R153" i="1"/>
  <c r="R154" i="1"/>
  <c r="R155" i="1"/>
  <c r="R156" i="1"/>
  <c r="R157" i="1"/>
  <c r="R158" i="1"/>
  <c r="R159" i="1"/>
  <c r="R321" i="1"/>
  <c r="R322" i="1"/>
  <c r="R323" i="1"/>
  <c r="R324" i="1"/>
  <c r="R325" i="1"/>
  <c r="R326" i="1"/>
  <c r="R327" i="1"/>
  <c r="R328" i="1"/>
  <c r="R329" i="1"/>
  <c r="R330" i="1"/>
  <c r="R331" i="1"/>
  <c r="R168" i="1"/>
  <c r="R169" i="1"/>
  <c r="R170" i="1"/>
  <c r="R171" i="1"/>
  <c r="R172" i="1"/>
  <c r="R173" i="1"/>
  <c r="R174" i="1"/>
  <c r="R340" i="1"/>
  <c r="R341" i="1"/>
  <c r="R342" i="1"/>
  <c r="R343" i="1"/>
  <c r="R344" i="1"/>
  <c r="R345" i="1"/>
  <c r="R346" i="1"/>
  <c r="R361" i="1"/>
  <c r="R194" i="1"/>
  <c r="R195" i="1"/>
  <c r="R196" i="1"/>
  <c r="R198" i="1"/>
  <c r="R199" i="1"/>
  <c r="R201" i="1"/>
  <c r="R202" i="1"/>
  <c r="R203" i="1"/>
  <c r="R204" i="1"/>
  <c r="R205" i="1"/>
  <c r="R206" i="1"/>
  <c r="R207" i="1"/>
  <c r="R208" i="1"/>
  <c r="R209" i="1"/>
  <c r="R210" i="1"/>
  <c r="R211" i="1"/>
  <c r="R366" i="1"/>
  <c r="R367" i="1"/>
  <c r="R368" i="1"/>
  <c r="R370" i="1"/>
  <c r="R371" i="1"/>
  <c r="R373" i="1"/>
  <c r="R374" i="1"/>
  <c r="R375" i="1"/>
  <c r="R376" i="1"/>
  <c r="R377" i="1"/>
  <c r="R378" i="1"/>
  <c r="R379" i="1"/>
  <c r="R380" i="1"/>
  <c r="R381" i="1"/>
  <c r="R382" i="1"/>
  <c r="R383" i="1"/>
  <c r="R234" i="1"/>
  <c r="R235" i="1"/>
  <c r="R236" i="1"/>
  <c r="R237" i="1"/>
  <c r="R238" i="1"/>
  <c r="R239" i="1"/>
  <c r="R240" i="1"/>
  <c r="R241" i="1"/>
  <c r="R406" i="1"/>
  <c r="R407" i="1"/>
  <c r="R408" i="1"/>
  <c r="R409" i="1"/>
  <c r="R410" i="1"/>
  <c r="R411" i="1"/>
  <c r="R412" i="1"/>
  <c r="R413" i="1"/>
  <c r="R422" i="1"/>
  <c r="R423" i="1"/>
  <c r="R424" i="1"/>
  <c r="R425" i="1"/>
  <c r="R426" i="1"/>
  <c r="R431" i="1"/>
  <c r="R434" i="1"/>
  <c r="R144" i="1"/>
  <c r="R250" i="1"/>
  <c r="R251" i="1"/>
  <c r="R252" i="1"/>
  <c r="R253" i="1"/>
  <c r="R254" i="1"/>
  <c r="R259" i="1"/>
  <c r="R262" i="1"/>
  <c r="G149" i="1"/>
  <c r="G150" i="1"/>
  <c r="G151" i="1"/>
  <c r="G152" i="1"/>
  <c r="G153" i="1"/>
  <c r="G154" i="1"/>
  <c r="G155" i="1"/>
  <c r="G156" i="1"/>
  <c r="G157" i="1"/>
  <c r="G158" i="1"/>
  <c r="G159" i="1"/>
  <c r="G321" i="1"/>
  <c r="G322" i="1"/>
  <c r="G323" i="1"/>
  <c r="G324" i="1"/>
  <c r="G325" i="1"/>
  <c r="G326" i="1"/>
  <c r="G327" i="1"/>
  <c r="G328" i="1"/>
  <c r="G329" i="1"/>
  <c r="G330" i="1"/>
  <c r="G331" i="1"/>
  <c r="G168" i="1"/>
  <c r="G169" i="1"/>
  <c r="G170" i="1"/>
  <c r="G171" i="1"/>
  <c r="G172" i="1"/>
  <c r="G173" i="1"/>
  <c r="G174" i="1"/>
  <c r="G340" i="1"/>
  <c r="G341" i="1"/>
  <c r="G342" i="1"/>
  <c r="G343" i="1"/>
  <c r="G344" i="1"/>
  <c r="G345" i="1"/>
  <c r="G346" i="1"/>
  <c r="G361" i="1"/>
  <c r="G194" i="1"/>
  <c r="G195" i="1"/>
  <c r="G196" i="1"/>
  <c r="G18" i="1"/>
  <c r="G21" i="1"/>
  <c r="G198" i="1"/>
  <c r="G199" i="1"/>
  <c r="G201" i="1"/>
  <c r="G202" i="1"/>
  <c r="G203" i="1"/>
  <c r="G204" i="1"/>
  <c r="G205" i="1"/>
  <c r="G206" i="1"/>
  <c r="G207" i="1"/>
  <c r="G208" i="1"/>
  <c r="G209" i="1"/>
  <c r="G210" i="1"/>
  <c r="G211" i="1"/>
  <c r="G16" i="1"/>
  <c r="G17" i="1"/>
  <c r="G19" i="1"/>
  <c r="G20" i="1"/>
  <c r="G22" i="1"/>
  <c r="G23" i="1"/>
  <c r="G24" i="1"/>
  <c r="G25" i="1"/>
  <c r="G26" i="1"/>
  <c r="G27" i="1"/>
  <c r="G29" i="1"/>
  <c r="G366" i="1"/>
  <c r="G367" i="1"/>
  <c r="G368" i="1"/>
  <c r="G370" i="1"/>
  <c r="G371" i="1"/>
  <c r="G373" i="1"/>
  <c r="G374" i="1"/>
  <c r="G375" i="1"/>
  <c r="G376" i="1"/>
  <c r="G377" i="1"/>
  <c r="G378" i="1"/>
  <c r="G379" i="1"/>
  <c r="G380" i="1"/>
  <c r="G381" i="1"/>
  <c r="G382" i="1"/>
  <c r="G383" i="1"/>
  <c r="G234" i="1"/>
  <c r="G235" i="1"/>
  <c r="G236" i="1"/>
  <c r="G237" i="1"/>
  <c r="G238" i="1"/>
  <c r="G239" i="1"/>
  <c r="G240" i="1"/>
  <c r="G241" i="1"/>
  <c r="G406" i="1"/>
  <c r="G407" i="1"/>
  <c r="G408" i="1"/>
  <c r="G409" i="1"/>
  <c r="G410" i="1"/>
  <c r="G411" i="1"/>
  <c r="G412" i="1"/>
  <c r="G413" i="1"/>
  <c r="G422" i="1"/>
  <c r="G423" i="1"/>
  <c r="G424" i="1"/>
  <c r="G425" i="1"/>
  <c r="G426" i="1"/>
  <c r="G431" i="1"/>
  <c r="G434" i="1"/>
  <c r="G250" i="1"/>
  <c r="G251" i="1"/>
  <c r="G252" i="1"/>
  <c r="G253" i="1"/>
  <c r="G254" i="1"/>
  <c r="G259" i="1"/>
  <c r="G262" i="1"/>
  <c r="G8" i="1"/>
  <c r="G13" i="1"/>
  <c r="G625" i="1" s="1"/>
  <c r="G36" i="1"/>
  <c r="G55" i="1"/>
  <c r="G56" i="1"/>
  <c r="G57" i="1"/>
  <c r="J584" i="4"/>
  <c r="J585" i="4" s="1"/>
  <c r="H149" i="1"/>
  <c r="H150" i="1"/>
  <c r="H151" i="1"/>
  <c r="H152" i="1"/>
  <c r="H153" i="1"/>
  <c r="H154" i="1"/>
  <c r="H155" i="1"/>
  <c r="H156" i="1"/>
  <c r="H157" i="1"/>
  <c r="H158" i="1"/>
  <c r="H159" i="1"/>
  <c r="H321" i="1"/>
  <c r="H322" i="1"/>
  <c r="H323" i="1"/>
  <c r="H324" i="1"/>
  <c r="H325" i="1"/>
  <c r="H326" i="1"/>
  <c r="H327" i="1"/>
  <c r="H328" i="1"/>
  <c r="H329" i="1"/>
  <c r="H330" i="1"/>
  <c r="H331" i="1"/>
  <c r="H168" i="1"/>
  <c r="H169" i="1"/>
  <c r="H170" i="1"/>
  <c r="H171" i="1"/>
  <c r="H172" i="1"/>
  <c r="H173" i="1"/>
  <c r="H174" i="1"/>
  <c r="H340" i="1"/>
  <c r="H341" i="1"/>
  <c r="H342" i="1"/>
  <c r="H343" i="1"/>
  <c r="H344" i="1"/>
  <c r="H345" i="1"/>
  <c r="H346" i="1"/>
  <c r="H361" i="1"/>
  <c r="H194" i="1"/>
  <c r="H195" i="1"/>
  <c r="H196" i="1"/>
  <c r="H18" i="1"/>
  <c r="H21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16" i="1"/>
  <c r="H17" i="1"/>
  <c r="H19" i="1"/>
  <c r="H20" i="1"/>
  <c r="H22" i="1"/>
  <c r="H23" i="1"/>
  <c r="H24" i="1"/>
  <c r="H25" i="1"/>
  <c r="H26" i="1"/>
  <c r="H27" i="1"/>
  <c r="H29" i="1"/>
  <c r="H366" i="1"/>
  <c r="H367" i="1"/>
  <c r="H368" i="1"/>
  <c r="H370" i="1"/>
  <c r="H371" i="1"/>
  <c r="H373" i="1"/>
  <c r="H374" i="1"/>
  <c r="H375" i="1"/>
  <c r="H376" i="1"/>
  <c r="H377" i="1"/>
  <c r="H378" i="1"/>
  <c r="H379" i="1"/>
  <c r="H380" i="1"/>
  <c r="H381" i="1"/>
  <c r="H382" i="1"/>
  <c r="H383" i="1"/>
  <c r="H234" i="1"/>
  <c r="H235" i="1"/>
  <c r="H236" i="1"/>
  <c r="H237" i="1"/>
  <c r="H238" i="1"/>
  <c r="H239" i="1"/>
  <c r="H240" i="1"/>
  <c r="H241" i="1"/>
  <c r="H406" i="1"/>
  <c r="H407" i="1"/>
  <c r="H408" i="1"/>
  <c r="H409" i="1"/>
  <c r="H410" i="1"/>
  <c r="H411" i="1"/>
  <c r="H412" i="1"/>
  <c r="H413" i="1"/>
  <c r="H422" i="1"/>
  <c r="H423" i="1"/>
  <c r="H424" i="1"/>
  <c r="H425" i="1"/>
  <c r="H426" i="1"/>
  <c r="H431" i="1"/>
  <c r="H434" i="1"/>
  <c r="H250" i="1"/>
  <c r="H251" i="1"/>
  <c r="H252" i="1"/>
  <c r="H253" i="1"/>
  <c r="H254" i="1"/>
  <c r="H259" i="1"/>
  <c r="H262" i="1"/>
  <c r="H7" i="1"/>
  <c r="H8" i="1"/>
  <c r="H13" i="1"/>
  <c r="H625" i="1" s="1"/>
  <c r="H36" i="1"/>
  <c r="H55" i="1"/>
  <c r="H56" i="1"/>
  <c r="H57" i="1"/>
  <c r="J316" i="1"/>
  <c r="J149" i="1"/>
  <c r="J150" i="1"/>
  <c r="J151" i="1"/>
  <c r="J152" i="1"/>
  <c r="J153" i="1"/>
  <c r="J154" i="1"/>
  <c r="J155" i="1"/>
  <c r="J156" i="1"/>
  <c r="J157" i="1"/>
  <c r="J158" i="1"/>
  <c r="J159" i="1"/>
  <c r="J321" i="1"/>
  <c r="J322" i="1"/>
  <c r="J323" i="1"/>
  <c r="J324" i="1"/>
  <c r="J325" i="1"/>
  <c r="J326" i="1"/>
  <c r="J327" i="1"/>
  <c r="J328" i="1"/>
  <c r="J329" i="1"/>
  <c r="J330" i="1"/>
  <c r="J331" i="1"/>
  <c r="J168" i="1"/>
  <c r="J169" i="1"/>
  <c r="J170" i="1"/>
  <c r="J171" i="1"/>
  <c r="J172" i="1"/>
  <c r="J173" i="1"/>
  <c r="J174" i="1"/>
  <c r="J340" i="1"/>
  <c r="J341" i="1"/>
  <c r="J342" i="1"/>
  <c r="J343" i="1"/>
  <c r="J344" i="1"/>
  <c r="J345" i="1"/>
  <c r="J346" i="1"/>
  <c r="J361" i="1"/>
  <c r="J194" i="1"/>
  <c r="J195" i="1"/>
  <c r="J196" i="1"/>
  <c r="J18" i="1"/>
  <c r="J21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16" i="1"/>
  <c r="J17" i="1"/>
  <c r="J19" i="1"/>
  <c r="J20" i="1"/>
  <c r="J22" i="1"/>
  <c r="J23" i="1"/>
  <c r="J24" i="1"/>
  <c r="J25" i="1"/>
  <c r="J26" i="1"/>
  <c r="J27" i="1"/>
  <c r="J29" i="1"/>
  <c r="J366" i="1"/>
  <c r="J367" i="1"/>
  <c r="J368" i="1"/>
  <c r="J370" i="1"/>
  <c r="J371" i="1"/>
  <c r="J373" i="1"/>
  <c r="J374" i="1"/>
  <c r="J375" i="1"/>
  <c r="J376" i="1"/>
  <c r="J377" i="1"/>
  <c r="J378" i="1"/>
  <c r="J379" i="1"/>
  <c r="J380" i="1"/>
  <c r="J381" i="1"/>
  <c r="J382" i="1"/>
  <c r="J383" i="1"/>
  <c r="J234" i="1"/>
  <c r="J235" i="1"/>
  <c r="J236" i="1"/>
  <c r="J237" i="1"/>
  <c r="J238" i="1"/>
  <c r="J239" i="1"/>
  <c r="J240" i="1"/>
  <c r="J241" i="1"/>
  <c r="J406" i="1"/>
  <c r="J407" i="1"/>
  <c r="J408" i="1"/>
  <c r="J409" i="1"/>
  <c r="J410" i="1"/>
  <c r="J411" i="1"/>
  <c r="J412" i="1"/>
  <c r="J413" i="1"/>
  <c r="J422" i="1"/>
  <c r="J423" i="1"/>
  <c r="J424" i="1"/>
  <c r="J425" i="1"/>
  <c r="J426" i="1"/>
  <c r="J431" i="1"/>
  <c r="J434" i="1"/>
  <c r="J144" i="1"/>
  <c r="J250" i="1"/>
  <c r="J251" i="1"/>
  <c r="J252" i="1"/>
  <c r="J253" i="1"/>
  <c r="J254" i="1"/>
  <c r="J259" i="1"/>
  <c r="J262" i="1"/>
  <c r="J7" i="1"/>
  <c r="J8" i="1"/>
  <c r="J13" i="1"/>
  <c r="J625" i="1" s="1"/>
  <c r="J36" i="1"/>
  <c r="J55" i="1"/>
  <c r="J56" i="1"/>
  <c r="J57" i="1"/>
  <c r="K316" i="1"/>
  <c r="K149" i="1"/>
  <c r="K150" i="1"/>
  <c r="K151" i="1"/>
  <c r="K152" i="1"/>
  <c r="K153" i="1"/>
  <c r="K154" i="1"/>
  <c r="K155" i="1"/>
  <c r="K156" i="1"/>
  <c r="K157" i="1"/>
  <c r="K158" i="1"/>
  <c r="K159" i="1"/>
  <c r="K321" i="1"/>
  <c r="K322" i="1"/>
  <c r="K323" i="1"/>
  <c r="K324" i="1"/>
  <c r="K325" i="1"/>
  <c r="K326" i="1"/>
  <c r="K327" i="1"/>
  <c r="K328" i="1"/>
  <c r="K329" i="1"/>
  <c r="K330" i="1"/>
  <c r="K331" i="1"/>
  <c r="K168" i="1"/>
  <c r="K169" i="1"/>
  <c r="K170" i="1"/>
  <c r="K171" i="1"/>
  <c r="K172" i="1"/>
  <c r="K173" i="1"/>
  <c r="K174" i="1"/>
  <c r="K340" i="1"/>
  <c r="K341" i="1"/>
  <c r="K342" i="1"/>
  <c r="K343" i="1"/>
  <c r="K344" i="1"/>
  <c r="K345" i="1"/>
  <c r="K346" i="1"/>
  <c r="K361" i="1"/>
  <c r="K194" i="1"/>
  <c r="K195" i="1"/>
  <c r="K196" i="1"/>
  <c r="K18" i="1"/>
  <c r="K21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16" i="1"/>
  <c r="K17" i="1"/>
  <c r="K19" i="1"/>
  <c r="K20" i="1"/>
  <c r="K22" i="1"/>
  <c r="K23" i="1"/>
  <c r="K24" i="1"/>
  <c r="K25" i="1"/>
  <c r="K26" i="1"/>
  <c r="K27" i="1"/>
  <c r="K29" i="1"/>
  <c r="K366" i="1"/>
  <c r="K367" i="1"/>
  <c r="K368" i="1"/>
  <c r="K370" i="1"/>
  <c r="K371" i="1"/>
  <c r="K373" i="1"/>
  <c r="K374" i="1"/>
  <c r="K375" i="1"/>
  <c r="K376" i="1"/>
  <c r="K377" i="1"/>
  <c r="K378" i="1"/>
  <c r="K379" i="1"/>
  <c r="K380" i="1"/>
  <c r="K381" i="1"/>
  <c r="K382" i="1"/>
  <c r="K383" i="1"/>
  <c r="K234" i="1"/>
  <c r="K235" i="1"/>
  <c r="K236" i="1"/>
  <c r="K237" i="1"/>
  <c r="K238" i="1"/>
  <c r="K239" i="1"/>
  <c r="K240" i="1"/>
  <c r="K241" i="1"/>
  <c r="K406" i="1"/>
  <c r="K407" i="1"/>
  <c r="K408" i="1"/>
  <c r="K409" i="1"/>
  <c r="K410" i="1"/>
  <c r="K411" i="1"/>
  <c r="K412" i="1"/>
  <c r="K413" i="1"/>
  <c r="K422" i="1"/>
  <c r="K423" i="1"/>
  <c r="K424" i="1"/>
  <c r="K425" i="1"/>
  <c r="K426" i="1"/>
  <c r="K431" i="1"/>
  <c r="K434" i="1"/>
  <c r="K144" i="1"/>
  <c r="K250" i="1"/>
  <c r="K251" i="1"/>
  <c r="K252" i="1"/>
  <c r="K253" i="1"/>
  <c r="K254" i="1"/>
  <c r="K259" i="1"/>
  <c r="K262" i="1"/>
  <c r="K7" i="1"/>
  <c r="K8" i="1"/>
  <c r="K13" i="1"/>
  <c r="K625" i="1" s="1"/>
  <c r="K36" i="1"/>
  <c r="K55" i="1"/>
  <c r="K56" i="1"/>
  <c r="K57" i="1"/>
  <c r="L316" i="1"/>
  <c r="L149" i="1"/>
  <c r="L150" i="1"/>
  <c r="L151" i="1"/>
  <c r="L152" i="1"/>
  <c r="L153" i="1"/>
  <c r="L154" i="1"/>
  <c r="L155" i="1"/>
  <c r="L156" i="1"/>
  <c r="L157" i="1"/>
  <c r="L158" i="1"/>
  <c r="L159" i="1"/>
  <c r="L321" i="1"/>
  <c r="L322" i="1"/>
  <c r="L323" i="1"/>
  <c r="L324" i="1"/>
  <c r="L325" i="1"/>
  <c r="L326" i="1"/>
  <c r="L327" i="1"/>
  <c r="L328" i="1"/>
  <c r="L329" i="1"/>
  <c r="L330" i="1"/>
  <c r="L331" i="1"/>
  <c r="L168" i="1"/>
  <c r="L169" i="1"/>
  <c r="L170" i="1"/>
  <c r="L171" i="1"/>
  <c r="L172" i="1"/>
  <c r="L173" i="1"/>
  <c r="L174" i="1"/>
  <c r="L340" i="1"/>
  <c r="L341" i="1"/>
  <c r="L342" i="1"/>
  <c r="L343" i="1"/>
  <c r="L344" i="1"/>
  <c r="L345" i="1"/>
  <c r="L346" i="1"/>
  <c r="L361" i="1"/>
  <c r="L194" i="1"/>
  <c r="L195" i="1"/>
  <c r="L196" i="1"/>
  <c r="L18" i="1"/>
  <c r="L21" i="1"/>
  <c r="L198" i="1"/>
  <c r="L199" i="1"/>
  <c r="L201" i="1"/>
  <c r="L202" i="1"/>
  <c r="L203" i="1"/>
  <c r="L204" i="1"/>
  <c r="L205" i="1"/>
  <c r="L206" i="1"/>
  <c r="L207" i="1"/>
  <c r="L208" i="1"/>
  <c r="L209" i="1"/>
  <c r="L210" i="1"/>
  <c r="L211" i="1"/>
  <c r="L16" i="1"/>
  <c r="L17" i="1"/>
  <c r="L19" i="1"/>
  <c r="L20" i="1"/>
  <c r="L22" i="1"/>
  <c r="L23" i="1"/>
  <c r="L24" i="1"/>
  <c r="L25" i="1"/>
  <c r="L26" i="1"/>
  <c r="L27" i="1"/>
  <c r="L28" i="1"/>
  <c r="L29" i="1"/>
  <c r="L366" i="1"/>
  <c r="L367" i="1"/>
  <c r="L368" i="1"/>
  <c r="L370" i="1"/>
  <c r="L371" i="1"/>
  <c r="L373" i="1"/>
  <c r="L374" i="1"/>
  <c r="L375" i="1"/>
  <c r="L376" i="1"/>
  <c r="L377" i="1"/>
  <c r="L378" i="1"/>
  <c r="L379" i="1"/>
  <c r="L380" i="1"/>
  <c r="L381" i="1"/>
  <c r="L382" i="1"/>
  <c r="L383" i="1"/>
  <c r="L234" i="1"/>
  <c r="L235" i="1"/>
  <c r="L236" i="1"/>
  <c r="L237" i="1"/>
  <c r="L238" i="1"/>
  <c r="L239" i="1"/>
  <c r="L240" i="1"/>
  <c r="L241" i="1"/>
  <c r="L406" i="1"/>
  <c r="L407" i="1"/>
  <c r="L408" i="1"/>
  <c r="L409" i="1"/>
  <c r="L410" i="1"/>
  <c r="L411" i="1"/>
  <c r="L412" i="1"/>
  <c r="L413" i="1"/>
  <c r="L422" i="1"/>
  <c r="L423" i="1"/>
  <c r="L424" i="1"/>
  <c r="L425" i="1"/>
  <c r="L426" i="1"/>
  <c r="L431" i="1"/>
  <c r="L434" i="1"/>
  <c r="L144" i="1"/>
  <c r="L250" i="1"/>
  <c r="L251" i="1"/>
  <c r="L252" i="1"/>
  <c r="L253" i="1"/>
  <c r="L254" i="1"/>
  <c r="L259" i="1"/>
  <c r="L262" i="1"/>
  <c r="L8" i="1"/>
  <c r="L13" i="1"/>
  <c r="L625" i="1" s="1"/>
  <c r="L36" i="1"/>
  <c r="L55" i="1"/>
  <c r="L56" i="1"/>
  <c r="L57" i="1"/>
  <c r="M316" i="1"/>
  <c r="M149" i="1"/>
  <c r="M150" i="1"/>
  <c r="M151" i="1"/>
  <c r="M152" i="1"/>
  <c r="M153" i="1"/>
  <c r="M154" i="1"/>
  <c r="M155" i="1"/>
  <c r="M156" i="1"/>
  <c r="M157" i="1"/>
  <c r="M158" i="1"/>
  <c r="M159" i="1"/>
  <c r="M321" i="1"/>
  <c r="M322" i="1"/>
  <c r="M323" i="1"/>
  <c r="M324" i="1"/>
  <c r="M325" i="1"/>
  <c r="M326" i="1"/>
  <c r="M327" i="1"/>
  <c r="M328" i="1"/>
  <c r="M329" i="1"/>
  <c r="M330" i="1"/>
  <c r="M331" i="1"/>
  <c r="M168" i="1"/>
  <c r="M169" i="1"/>
  <c r="M170" i="1"/>
  <c r="M171" i="1"/>
  <c r="M172" i="1"/>
  <c r="M173" i="1"/>
  <c r="M174" i="1"/>
  <c r="M340" i="1"/>
  <c r="M341" i="1"/>
  <c r="M342" i="1"/>
  <c r="M343" i="1"/>
  <c r="M344" i="1"/>
  <c r="M345" i="1"/>
  <c r="M346" i="1"/>
  <c r="M361" i="1"/>
  <c r="M194" i="1"/>
  <c r="M195" i="1"/>
  <c r="M196" i="1"/>
  <c r="M18" i="1"/>
  <c r="M21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16" i="1"/>
  <c r="M17" i="1"/>
  <c r="M19" i="1"/>
  <c r="M20" i="1"/>
  <c r="M22" i="1"/>
  <c r="M23" i="1"/>
  <c r="M24" i="1"/>
  <c r="M25" i="1"/>
  <c r="M26" i="1"/>
  <c r="M27" i="1"/>
  <c r="M29" i="1"/>
  <c r="M366" i="1"/>
  <c r="M367" i="1"/>
  <c r="M368" i="1"/>
  <c r="M370" i="1"/>
  <c r="M371" i="1"/>
  <c r="M373" i="1"/>
  <c r="M374" i="1"/>
  <c r="M375" i="1"/>
  <c r="M376" i="1"/>
  <c r="M377" i="1"/>
  <c r="M378" i="1"/>
  <c r="M379" i="1"/>
  <c r="M380" i="1"/>
  <c r="M381" i="1"/>
  <c r="M382" i="1"/>
  <c r="M383" i="1"/>
  <c r="M234" i="1"/>
  <c r="M235" i="1"/>
  <c r="M236" i="1"/>
  <c r="M237" i="1"/>
  <c r="M238" i="1"/>
  <c r="M239" i="1"/>
  <c r="M240" i="1"/>
  <c r="M241" i="1"/>
  <c r="M406" i="1"/>
  <c r="M407" i="1"/>
  <c r="M408" i="1"/>
  <c r="M409" i="1"/>
  <c r="M410" i="1"/>
  <c r="M411" i="1"/>
  <c r="M412" i="1"/>
  <c r="M413" i="1"/>
  <c r="M422" i="1"/>
  <c r="M423" i="1"/>
  <c r="M424" i="1"/>
  <c r="M425" i="1"/>
  <c r="M426" i="1"/>
  <c r="M431" i="1"/>
  <c r="M434" i="1"/>
  <c r="M144" i="1"/>
  <c r="M250" i="1"/>
  <c r="M251" i="1"/>
  <c r="M252" i="1"/>
  <c r="M253" i="1"/>
  <c r="M254" i="1"/>
  <c r="M259" i="1"/>
  <c r="M262" i="1"/>
  <c r="M8" i="1"/>
  <c r="M13" i="1"/>
  <c r="M625" i="1" s="1"/>
  <c r="M36" i="1"/>
  <c r="M55" i="1"/>
  <c r="M56" i="1"/>
  <c r="M57" i="1"/>
  <c r="N316" i="1"/>
  <c r="N149" i="1"/>
  <c r="N150" i="1"/>
  <c r="N151" i="1"/>
  <c r="N152" i="1"/>
  <c r="N153" i="1"/>
  <c r="N154" i="1"/>
  <c r="N155" i="1"/>
  <c r="N156" i="1"/>
  <c r="N157" i="1"/>
  <c r="N158" i="1"/>
  <c r="N159" i="1"/>
  <c r="N321" i="1"/>
  <c r="N322" i="1"/>
  <c r="N323" i="1"/>
  <c r="N324" i="1"/>
  <c r="N325" i="1"/>
  <c r="N326" i="1"/>
  <c r="N327" i="1"/>
  <c r="N328" i="1"/>
  <c r="N329" i="1"/>
  <c r="N330" i="1"/>
  <c r="N331" i="1"/>
  <c r="N168" i="1"/>
  <c r="N169" i="1"/>
  <c r="N170" i="1"/>
  <c r="N171" i="1"/>
  <c r="N172" i="1"/>
  <c r="N173" i="1"/>
  <c r="N174" i="1"/>
  <c r="N340" i="1"/>
  <c r="N341" i="1"/>
  <c r="N342" i="1"/>
  <c r="N343" i="1"/>
  <c r="N344" i="1"/>
  <c r="N345" i="1"/>
  <c r="N346" i="1"/>
  <c r="N361" i="1"/>
  <c r="N194" i="1"/>
  <c r="N195" i="1"/>
  <c r="N196" i="1"/>
  <c r="N18" i="1"/>
  <c r="N21" i="1"/>
  <c r="N198" i="1"/>
  <c r="N199" i="1"/>
  <c r="N201" i="1"/>
  <c r="N202" i="1"/>
  <c r="N203" i="1"/>
  <c r="N204" i="1"/>
  <c r="N205" i="1"/>
  <c r="N206" i="1"/>
  <c r="N207" i="1"/>
  <c r="N208" i="1"/>
  <c r="N209" i="1"/>
  <c r="N210" i="1"/>
  <c r="N211" i="1"/>
  <c r="N16" i="1"/>
  <c r="N17" i="1"/>
  <c r="N19" i="1"/>
  <c r="N20" i="1"/>
  <c r="N22" i="1"/>
  <c r="N23" i="1"/>
  <c r="N24" i="1"/>
  <c r="N25" i="1"/>
  <c r="N26" i="1"/>
  <c r="N27" i="1"/>
  <c r="N29" i="1"/>
  <c r="N366" i="1"/>
  <c r="N367" i="1"/>
  <c r="N368" i="1"/>
  <c r="N370" i="1"/>
  <c r="N371" i="1"/>
  <c r="N373" i="1"/>
  <c r="N374" i="1"/>
  <c r="N375" i="1"/>
  <c r="N376" i="1"/>
  <c r="N377" i="1"/>
  <c r="N378" i="1"/>
  <c r="N379" i="1"/>
  <c r="N380" i="1"/>
  <c r="N381" i="1"/>
  <c r="N382" i="1"/>
  <c r="N383" i="1"/>
  <c r="N234" i="1"/>
  <c r="N235" i="1"/>
  <c r="N236" i="1"/>
  <c r="N237" i="1"/>
  <c r="N238" i="1"/>
  <c r="N239" i="1"/>
  <c r="N240" i="1"/>
  <c r="N241" i="1"/>
  <c r="N406" i="1"/>
  <c r="N407" i="1"/>
  <c r="N408" i="1"/>
  <c r="N409" i="1"/>
  <c r="N410" i="1"/>
  <c r="N411" i="1"/>
  <c r="N412" i="1"/>
  <c r="N413" i="1"/>
  <c r="N422" i="1"/>
  <c r="N423" i="1"/>
  <c r="N424" i="1"/>
  <c r="N425" i="1"/>
  <c r="N426" i="1"/>
  <c r="N431" i="1"/>
  <c r="N434" i="1"/>
  <c r="N144" i="1"/>
  <c r="N250" i="1"/>
  <c r="N251" i="1"/>
  <c r="N252" i="1"/>
  <c r="N253" i="1"/>
  <c r="N254" i="1"/>
  <c r="N259" i="1"/>
  <c r="N262" i="1"/>
  <c r="N7" i="1"/>
  <c r="N8" i="1"/>
  <c r="N13" i="1"/>
  <c r="N625" i="1" s="1"/>
  <c r="N36" i="1"/>
  <c r="N55" i="1"/>
  <c r="N56" i="1"/>
  <c r="N57" i="1"/>
  <c r="O316" i="1"/>
  <c r="O149" i="1"/>
  <c r="O150" i="1"/>
  <c r="O151" i="1"/>
  <c r="O152" i="1"/>
  <c r="O153" i="1"/>
  <c r="O154" i="1"/>
  <c r="O155" i="1"/>
  <c r="O156" i="1"/>
  <c r="O157" i="1"/>
  <c r="O158" i="1"/>
  <c r="O159" i="1"/>
  <c r="O321" i="1"/>
  <c r="O322" i="1"/>
  <c r="O323" i="1"/>
  <c r="O324" i="1"/>
  <c r="O325" i="1"/>
  <c r="O326" i="1"/>
  <c r="O327" i="1"/>
  <c r="O328" i="1"/>
  <c r="O329" i="1"/>
  <c r="O330" i="1"/>
  <c r="O331" i="1"/>
  <c r="O168" i="1"/>
  <c r="O169" i="1"/>
  <c r="O170" i="1"/>
  <c r="O171" i="1"/>
  <c r="O172" i="1"/>
  <c r="O173" i="1"/>
  <c r="O174" i="1"/>
  <c r="O340" i="1"/>
  <c r="O341" i="1"/>
  <c r="O342" i="1"/>
  <c r="O343" i="1"/>
  <c r="O344" i="1"/>
  <c r="O345" i="1"/>
  <c r="O346" i="1"/>
  <c r="O361" i="1"/>
  <c r="O194" i="1"/>
  <c r="O195" i="1"/>
  <c r="O196" i="1"/>
  <c r="O18" i="1"/>
  <c r="O21" i="1"/>
  <c r="O198" i="1"/>
  <c r="O199" i="1"/>
  <c r="O201" i="1"/>
  <c r="O202" i="1"/>
  <c r="O203" i="1"/>
  <c r="O204" i="1"/>
  <c r="O205" i="1"/>
  <c r="O206" i="1"/>
  <c r="O207" i="1"/>
  <c r="O208" i="1"/>
  <c r="O209" i="1"/>
  <c r="O210" i="1"/>
  <c r="O211" i="1"/>
  <c r="O16" i="1"/>
  <c r="O17" i="1"/>
  <c r="O19" i="1"/>
  <c r="O20" i="1"/>
  <c r="O22" i="1"/>
  <c r="O23" i="1"/>
  <c r="O24" i="1"/>
  <c r="O25" i="1"/>
  <c r="O26" i="1"/>
  <c r="O27" i="1"/>
  <c r="O29" i="1"/>
  <c r="O366" i="1"/>
  <c r="O367" i="1"/>
  <c r="O368" i="1"/>
  <c r="O370" i="1"/>
  <c r="O371" i="1"/>
  <c r="O373" i="1"/>
  <c r="O374" i="1"/>
  <c r="O375" i="1"/>
  <c r="O376" i="1"/>
  <c r="O377" i="1"/>
  <c r="O378" i="1"/>
  <c r="O379" i="1"/>
  <c r="O380" i="1"/>
  <c r="O381" i="1"/>
  <c r="O382" i="1"/>
  <c r="O383" i="1"/>
  <c r="O234" i="1"/>
  <c r="O235" i="1"/>
  <c r="O236" i="1"/>
  <c r="O237" i="1"/>
  <c r="O238" i="1"/>
  <c r="O239" i="1"/>
  <c r="O240" i="1"/>
  <c r="O241" i="1"/>
  <c r="O406" i="1"/>
  <c r="O407" i="1"/>
  <c r="O408" i="1"/>
  <c r="O409" i="1"/>
  <c r="O410" i="1"/>
  <c r="O411" i="1"/>
  <c r="O412" i="1"/>
  <c r="O413" i="1"/>
  <c r="O422" i="1"/>
  <c r="O423" i="1"/>
  <c r="O424" i="1"/>
  <c r="O425" i="1"/>
  <c r="O426" i="1"/>
  <c r="O431" i="1"/>
  <c r="O434" i="1"/>
  <c r="O144" i="1"/>
  <c r="O250" i="1"/>
  <c r="O251" i="1"/>
  <c r="O252" i="1"/>
  <c r="O253" i="1"/>
  <c r="O254" i="1"/>
  <c r="O259" i="1"/>
  <c r="O262" i="1"/>
  <c r="O7" i="1"/>
  <c r="O8" i="1"/>
  <c r="O13" i="1"/>
  <c r="O625" i="1" s="1"/>
  <c r="O36" i="1"/>
  <c r="O55" i="1"/>
  <c r="O56" i="1"/>
  <c r="O57" i="1"/>
  <c r="P316" i="1"/>
  <c r="P149" i="1"/>
  <c r="P150" i="1"/>
  <c r="P151" i="1"/>
  <c r="P152" i="1"/>
  <c r="P153" i="1"/>
  <c r="P154" i="1"/>
  <c r="P155" i="1"/>
  <c r="P156" i="1"/>
  <c r="P157" i="1"/>
  <c r="P158" i="1"/>
  <c r="P159" i="1"/>
  <c r="P321" i="1"/>
  <c r="P322" i="1"/>
  <c r="P323" i="1"/>
  <c r="P324" i="1"/>
  <c r="P325" i="1"/>
  <c r="P326" i="1"/>
  <c r="P327" i="1"/>
  <c r="P328" i="1"/>
  <c r="P329" i="1"/>
  <c r="P330" i="1"/>
  <c r="P331" i="1"/>
  <c r="P168" i="1"/>
  <c r="P169" i="1"/>
  <c r="P170" i="1"/>
  <c r="P171" i="1"/>
  <c r="P172" i="1"/>
  <c r="P173" i="1"/>
  <c r="P174" i="1"/>
  <c r="P340" i="1"/>
  <c r="P341" i="1"/>
  <c r="P342" i="1"/>
  <c r="P343" i="1"/>
  <c r="P344" i="1"/>
  <c r="P345" i="1"/>
  <c r="P346" i="1"/>
  <c r="P361" i="1"/>
  <c r="P194" i="1"/>
  <c r="P195" i="1"/>
  <c r="P196" i="1"/>
  <c r="P18" i="1"/>
  <c r="P21" i="1"/>
  <c r="P198" i="1"/>
  <c r="P199" i="1"/>
  <c r="P201" i="1"/>
  <c r="P202" i="1"/>
  <c r="P203" i="1"/>
  <c r="P204" i="1"/>
  <c r="P205" i="1"/>
  <c r="P206" i="1"/>
  <c r="P207" i="1"/>
  <c r="P208" i="1"/>
  <c r="P209" i="1"/>
  <c r="P210" i="1"/>
  <c r="P211" i="1"/>
  <c r="P16" i="1"/>
  <c r="P17" i="1"/>
  <c r="P19" i="1"/>
  <c r="P20" i="1"/>
  <c r="P22" i="1"/>
  <c r="P23" i="1"/>
  <c r="P24" i="1"/>
  <c r="P25" i="1"/>
  <c r="P26" i="1"/>
  <c r="P27" i="1"/>
  <c r="P28" i="1"/>
  <c r="P29" i="1"/>
  <c r="P366" i="1"/>
  <c r="P367" i="1"/>
  <c r="P368" i="1"/>
  <c r="P370" i="1"/>
  <c r="P371" i="1"/>
  <c r="P373" i="1"/>
  <c r="P374" i="1"/>
  <c r="P375" i="1"/>
  <c r="P376" i="1"/>
  <c r="P377" i="1"/>
  <c r="P378" i="1"/>
  <c r="P379" i="1"/>
  <c r="P380" i="1"/>
  <c r="P381" i="1"/>
  <c r="P382" i="1"/>
  <c r="P383" i="1"/>
  <c r="P234" i="1"/>
  <c r="P235" i="1"/>
  <c r="P236" i="1"/>
  <c r="P237" i="1"/>
  <c r="P238" i="1"/>
  <c r="P239" i="1"/>
  <c r="P240" i="1"/>
  <c r="P241" i="1"/>
  <c r="P406" i="1"/>
  <c r="P407" i="1"/>
  <c r="P408" i="1"/>
  <c r="P409" i="1"/>
  <c r="P410" i="1"/>
  <c r="P411" i="1"/>
  <c r="P412" i="1"/>
  <c r="P413" i="1"/>
  <c r="P422" i="1"/>
  <c r="P423" i="1"/>
  <c r="P424" i="1"/>
  <c r="P425" i="1"/>
  <c r="P426" i="1"/>
  <c r="P431" i="1"/>
  <c r="P434" i="1"/>
  <c r="P144" i="1"/>
  <c r="P250" i="1"/>
  <c r="P251" i="1"/>
  <c r="P252" i="1"/>
  <c r="P253" i="1"/>
  <c r="P254" i="1"/>
  <c r="P259" i="1"/>
  <c r="P262" i="1"/>
  <c r="P7" i="1"/>
  <c r="P8" i="1"/>
  <c r="P13" i="1"/>
  <c r="P625" i="1" s="1"/>
  <c r="P36" i="1"/>
  <c r="P55" i="1"/>
  <c r="P56" i="1"/>
  <c r="P57" i="1"/>
  <c r="S7" i="1"/>
  <c r="S8" i="1"/>
  <c r="S13" i="1"/>
  <c r="S625" i="1" s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6" i="1"/>
  <c r="S316" i="1"/>
  <c r="S149" i="1"/>
  <c r="S150" i="1"/>
  <c r="S151" i="1"/>
  <c r="S152" i="1"/>
  <c r="S153" i="1"/>
  <c r="S154" i="1"/>
  <c r="S155" i="1"/>
  <c r="S156" i="1"/>
  <c r="S157" i="1"/>
  <c r="S158" i="1"/>
  <c r="S159" i="1"/>
  <c r="S321" i="1"/>
  <c r="S322" i="1"/>
  <c r="S323" i="1"/>
  <c r="S324" i="1"/>
  <c r="S325" i="1"/>
  <c r="S326" i="1"/>
  <c r="S327" i="1"/>
  <c r="S328" i="1"/>
  <c r="S329" i="1"/>
  <c r="S330" i="1"/>
  <c r="S331" i="1"/>
  <c r="S168" i="1"/>
  <c r="S169" i="1"/>
  <c r="S170" i="1"/>
  <c r="S171" i="1"/>
  <c r="S172" i="1"/>
  <c r="S173" i="1"/>
  <c r="S174" i="1"/>
  <c r="S340" i="1"/>
  <c r="S341" i="1"/>
  <c r="S342" i="1"/>
  <c r="S343" i="1"/>
  <c r="S344" i="1"/>
  <c r="S345" i="1"/>
  <c r="S346" i="1"/>
  <c r="S361" i="1"/>
  <c r="S194" i="1"/>
  <c r="S195" i="1"/>
  <c r="S196" i="1"/>
  <c r="S198" i="1"/>
  <c r="S199" i="1"/>
  <c r="S201" i="1"/>
  <c r="S202" i="1"/>
  <c r="S203" i="1"/>
  <c r="S204" i="1"/>
  <c r="S205" i="1"/>
  <c r="S206" i="1"/>
  <c r="S207" i="1"/>
  <c r="S208" i="1"/>
  <c r="S209" i="1"/>
  <c r="S210" i="1"/>
  <c r="S211" i="1"/>
  <c r="S366" i="1"/>
  <c r="S367" i="1"/>
  <c r="S368" i="1"/>
  <c r="S370" i="1"/>
  <c r="S371" i="1"/>
  <c r="S373" i="1"/>
  <c r="S374" i="1"/>
  <c r="S375" i="1"/>
  <c r="S376" i="1"/>
  <c r="S377" i="1"/>
  <c r="S378" i="1"/>
  <c r="S379" i="1"/>
  <c r="S380" i="1"/>
  <c r="S381" i="1"/>
  <c r="S382" i="1"/>
  <c r="S383" i="1"/>
  <c r="S234" i="1"/>
  <c r="S235" i="1"/>
  <c r="S236" i="1"/>
  <c r="S237" i="1"/>
  <c r="S238" i="1"/>
  <c r="S239" i="1"/>
  <c r="S240" i="1"/>
  <c r="S241" i="1"/>
  <c r="S406" i="1"/>
  <c r="S407" i="1"/>
  <c r="S408" i="1"/>
  <c r="S409" i="1"/>
  <c r="S410" i="1"/>
  <c r="S411" i="1"/>
  <c r="S412" i="1"/>
  <c r="S413" i="1"/>
  <c r="S422" i="1"/>
  <c r="S423" i="1"/>
  <c r="S424" i="1"/>
  <c r="S425" i="1"/>
  <c r="S426" i="1"/>
  <c r="S431" i="1"/>
  <c r="S434" i="1"/>
  <c r="S144" i="1"/>
  <c r="S250" i="1"/>
  <c r="S251" i="1"/>
  <c r="S252" i="1"/>
  <c r="S253" i="1"/>
  <c r="S254" i="1"/>
  <c r="S259" i="1"/>
  <c r="S262" i="1"/>
  <c r="S55" i="1"/>
  <c r="S56" i="1"/>
  <c r="S57" i="1"/>
  <c r="T7" i="1"/>
  <c r="T8" i="1"/>
  <c r="T13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6" i="1"/>
  <c r="T316" i="1"/>
  <c r="T149" i="1"/>
  <c r="T150" i="1"/>
  <c r="T151" i="1"/>
  <c r="T152" i="1"/>
  <c r="T153" i="1"/>
  <c r="T154" i="1"/>
  <c r="T155" i="1"/>
  <c r="T156" i="1"/>
  <c r="T157" i="1"/>
  <c r="T158" i="1"/>
  <c r="T159" i="1"/>
  <c r="T321" i="1"/>
  <c r="T322" i="1"/>
  <c r="T323" i="1"/>
  <c r="T324" i="1"/>
  <c r="T325" i="1"/>
  <c r="T326" i="1"/>
  <c r="T327" i="1"/>
  <c r="T328" i="1"/>
  <c r="T329" i="1"/>
  <c r="T330" i="1"/>
  <c r="T331" i="1"/>
  <c r="T168" i="1"/>
  <c r="T169" i="1"/>
  <c r="T170" i="1"/>
  <c r="T171" i="1"/>
  <c r="T172" i="1"/>
  <c r="T173" i="1"/>
  <c r="T174" i="1"/>
  <c r="T340" i="1"/>
  <c r="T341" i="1"/>
  <c r="T342" i="1"/>
  <c r="T343" i="1"/>
  <c r="T344" i="1"/>
  <c r="T345" i="1"/>
  <c r="T346" i="1"/>
  <c r="T361" i="1"/>
  <c r="T194" i="1"/>
  <c r="T195" i="1"/>
  <c r="T196" i="1"/>
  <c r="T198" i="1"/>
  <c r="T199" i="1"/>
  <c r="T201" i="1"/>
  <c r="T202" i="1"/>
  <c r="T203" i="1"/>
  <c r="T204" i="1"/>
  <c r="T205" i="1"/>
  <c r="T206" i="1"/>
  <c r="T207" i="1"/>
  <c r="T208" i="1"/>
  <c r="T209" i="1"/>
  <c r="T210" i="1"/>
  <c r="T211" i="1"/>
  <c r="T366" i="1"/>
  <c r="T367" i="1"/>
  <c r="T368" i="1"/>
  <c r="T370" i="1"/>
  <c r="T371" i="1"/>
  <c r="T373" i="1"/>
  <c r="T374" i="1"/>
  <c r="T375" i="1"/>
  <c r="T376" i="1"/>
  <c r="T377" i="1"/>
  <c r="T378" i="1"/>
  <c r="T379" i="1"/>
  <c r="T380" i="1"/>
  <c r="T381" i="1"/>
  <c r="T382" i="1"/>
  <c r="T383" i="1"/>
  <c r="T234" i="1"/>
  <c r="T235" i="1"/>
  <c r="T236" i="1"/>
  <c r="T237" i="1"/>
  <c r="T238" i="1"/>
  <c r="T239" i="1"/>
  <c r="T240" i="1"/>
  <c r="T241" i="1"/>
  <c r="T406" i="1"/>
  <c r="T407" i="1"/>
  <c r="T408" i="1"/>
  <c r="T409" i="1"/>
  <c r="T410" i="1"/>
  <c r="T411" i="1"/>
  <c r="T412" i="1"/>
  <c r="T413" i="1"/>
  <c r="T422" i="1"/>
  <c r="T423" i="1"/>
  <c r="T424" i="1"/>
  <c r="T425" i="1"/>
  <c r="T426" i="1"/>
  <c r="T431" i="1"/>
  <c r="T434" i="1"/>
  <c r="T144" i="1"/>
  <c r="T250" i="1"/>
  <c r="T251" i="1"/>
  <c r="T252" i="1"/>
  <c r="T253" i="1"/>
  <c r="T254" i="1"/>
  <c r="T259" i="1"/>
  <c r="T262" i="1"/>
  <c r="T55" i="1"/>
  <c r="T56" i="1"/>
  <c r="T57" i="1"/>
  <c r="U316" i="1"/>
  <c r="U149" i="1"/>
  <c r="U150" i="1"/>
  <c r="U151" i="1"/>
  <c r="U152" i="1"/>
  <c r="U153" i="1"/>
  <c r="U154" i="1"/>
  <c r="U155" i="1"/>
  <c r="U156" i="1"/>
  <c r="U157" i="1"/>
  <c r="U158" i="1"/>
  <c r="U159" i="1"/>
  <c r="U321" i="1"/>
  <c r="U322" i="1"/>
  <c r="U323" i="1"/>
  <c r="U324" i="1"/>
  <c r="U325" i="1"/>
  <c r="U326" i="1"/>
  <c r="U327" i="1"/>
  <c r="U328" i="1"/>
  <c r="U329" i="1"/>
  <c r="U330" i="1"/>
  <c r="U331" i="1"/>
  <c r="U168" i="1"/>
  <c r="U169" i="1"/>
  <c r="U170" i="1"/>
  <c r="U171" i="1"/>
  <c r="U172" i="1"/>
  <c r="U173" i="1"/>
  <c r="U174" i="1"/>
  <c r="U340" i="1"/>
  <c r="U341" i="1"/>
  <c r="U342" i="1"/>
  <c r="U343" i="1"/>
  <c r="U344" i="1"/>
  <c r="U345" i="1"/>
  <c r="U346" i="1"/>
  <c r="U361" i="1"/>
  <c r="U194" i="1"/>
  <c r="U195" i="1"/>
  <c r="U196" i="1"/>
  <c r="U18" i="1"/>
  <c r="U21" i="1"/>
  <c r="U198" i="1"/>
  <c r="U199" i="1"/>
  <c r="U201" i="1"/>
  <c r="U202" i="1"/>
  <c r="U203" i="1"/>
  <c r="U204" i="1"/>
  <c r="U205" i="1"/>
  <c r="U206" i="1"/>
  <c r="U207" i="1"/>
  <c r="U208" i="1"/>
  <c r="U209" i="1"/>
  <c r="U210" i="1"/>
  <c r="U211" i="1"/>
  <c r="U16" i="1"/>
  <c r="U17" i="1"/>
  <c r="U19" i="1"/>
  <c r="U20" i="1"/>
  <c r="U22" i="1"/>
  <c r="U23" i="1"/>
  <c r="U24" i="1"/>
  <c r="U25" i="1"/>
  <c r="U26" i="1"/>
  <c r="U27" i="1"/>
  <c r="U29" i="1"/>
  <c r="U366" i="1"/>
  <c r="U367" i="1"/>
  <c r="U368" i="1"/>
  <c r="U370" i="1"/>
  <c r="U371" i="1"/>
  <c r="U373" i="1"/>
  <c r="U374" i="1"/>
  <c r="U375" i="1"/>
  <c r="U376" i="1"/>
  <c r="U377" i="1"/>
  <c r="U378" i="1"/>
  <c r="U379" i="1"/>
  <c r="U380" i="1"/>
  <c r="U381" i="1"/>
  <c r="U382" i="1"/>
  <c r="U383" i="1"/>
  <c r="U234" i="1"/>
  <c r="U235" i="1"/>
  <c r="U236" i="1"/>
  <c r="U237" i="1"/>
  <c r="U238" i="1"/>
  <c r="U239" i="1"/>
  <c r="U240" i="1"/>
  <c r="U241" i="1"/>
  <c r="U406" i="1"/>
  <c r="U407" i="1"/>
  <c r="U408" i="1"/>
  <c r="U409" i="1"/>
  <c r="U410" i="1"/>
  <c r="U411" i="1"/>
  <c r="U412" i="1"/>
  <c r="U413" i="1"/>
  <c r="U422" i="1"/>
  <c r="U423" i="1"/>
  <c r="U424" i="1"/>
  <c r="U425" i="1"/>
  <c r="U426" i="1"/>
  <c r="U431" i="1"/>
  <c r="U434" i="1"/>
  <c r="U144" i="1"/>
  <c r="U250" i="1"/>
  <c r="U251" i="1"/>
  <c r="U252" i="1"/>
  <c r="U253" i="1"/>
  <c r="U254" i="1"/>
  <c r="U259" i="1"/>
  <c r="U262" i="1"/>
  <c r="U7" i="1"/>
  <c r="U8" i="1"/>
  <c r="U13" i="1"/>
  <c r="U625" i="1" s="1"/>
  <c r="U36" i="1"/>
  <c r="U55" i="1"/>
  <c r="U56" i="1"/>
  <c r="U57" i="1"/>
  <c r="V316" i="1"/>
  <c r="V149" i="1"/>
  <c r="V150" i="1"/>
  <c r="V151" i="1"/>
  <c r="V152" i="1"/>
  <c r="V153" i="1"/>
  <c r="V154" i="1"/>
  <c r="V155" i="1"/>
  <c r="V156" i="1"/>
  <c r="V157" i="1"/>
  <c r="V158" i="1"/>
  <c r="V159" i="1"/>
  <c r="V321" i="1"/>
  <c r="V322" i="1"/>
  <c r="V323" i="1"/>
  <c r="V324" i="1"/>
  <c r="V325" i="1"/>
  <c r="V326" i="1"/>
  <c r="V327" i="1"/>
  <c r="V328" i="1"/>
  <c r="V329" i="1"/>
  <c r="V330" i="1"/>
  <c r="V331" i="1"/>
  <c r="V168" i="1"/>
  <c r="V169" i="1"/>
  <c r="V170" i="1"/>
  <c r="V171" i="1"/>
  <c r="V172" i="1"/>
  <c r="V173" i="1"/>
  <c r="V174" i="1"/>
  <c r="V340" i="1"/>
  <c r="V341" i="1"/>
  <c r="V342" i="1"/>
  <c r="V343" i="1"/>
  <c r="V344" i="1"/>
  <c r="V345" i="1"/>
  <c r="V346" i="1"/>
  <c r="V361" i="1"/>
  <c r="V194" i="1"/>
  <c r="V195" i="1"/>
  <c r="V196" i="1"/>
  <c r="V18" i="1"/>
  <c r="V21" i="1"/>
  <c r="V198" i="1"/>
  <c r="V199" i="1"/>
  <c r="V201" i="1"/>
  <c r="V202" i="1"/>
  <c r="V203" i="1"/>
  <c r="V204" i="1"/>
  <c r="V205" i="1"/>
  <c r="V206" i="1"/>
  <c r="V207" i="1"/>
  <c r="V208" i="1"/>
  <c r="V209" i="1"/>
  <c r="V210" i="1"/>
  <c r="V211" i="1"/>
  <c r="V16" i="1"/>
  <c r="V17" i="1"/>
  <c r="V19" i="1"/>
  <c r="V20" i="1"/>
  <c r="V22" i="1"/>
  <c r="V23" i="1"/>
  <c r="V24" i="1"/>
  <c r="V25" i="1"/>
  <c r="V26" i="1"/>
  <c r="V27" i="1"/>
  <c r="V28" i="1"/>
  <c r="V29" i="1"/>
  <c r="V366" i="1"/>
  <c r="V367" i="1"/>
  <c r="V368" i="1"/>
  <c r="V370" i="1"/>
  <c r="V371" i="1"/>
  <c r="V373" i="1"/>
  <c r="V374" i="1"/>
  <c r="V375" i="1"/>
  <c r="V376" i="1"/>
  <c r="V377" i="1"/>
  <c r="V378" i="1"/>
  <c r="V379" i="1"/>
  <c r="V380" i="1"/>
  <c r="V381" i="1"/>
  <c r="V382" i="1"/>
  <c r="V383" i="1"/>
  <c r="V234" i="1"/>
  <c r="V235" i="1"/>
  <c r="V236" i="1"/>
  <c r="V237" i="1"/>
  <c r="V238" i="1"/>
  <c r="V239" i="1"/>
  <c r="V240" i="1"/>
  <c r="V241" i="1"/>
  <c r="V406" i="1"/>
  <c r="V407" i="1"/>
  <c r="V408" i="1"/>
  <c r="V409" i="1"/>
  <c r="V410" i="1"/>
  <c r="V411" i="1"/>
  <c r="V412" i="1"/>
  <c r="V413" i="1"/>
  <c r="V422" i="1"/>
  <c r="V423" i="1"/>
  <c r="V424" i="1"/>
  <c r="V425" i="1"/>
  <c r="V426" i="1"/>
  <c r="V431" i="1"/>
  <c r="V434" i="1"/>
  <c r="V144" i="1"/>
  <c r="V250" i="1"/>
  <c r="V251" i="1"/>
  <c r="V252" i="1"/>
  <c r="V253" i="1"/>
  <c r="V254" i="1"/>
  <c r="V259" i="1"/>
  <c r="V262" i="1"/>
  <c r="V7" i="1"/>
  <c r="V8" i="1"/>
  <c r="V13" i="1"/>
  <c r="V625" i="1" s="1"/>
  <c r="V36" i="1"/>
  <c r="V55" i="1"/>
  <c r="V56" i="1"/>
  <c r="V57" i="1"/>
  <c r="G490" i="1"/>
  <c r="G491" i="1"/>
  <c r="G496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6" i="1"/>
  <c r="H490" i="1"/>
  <c r="H491" i="1"/>
  <c r="H496" i="1"/>
  <c r="H499" i="1"/>
  <c r="H501" i="1"/>
  <c r="H502" i="1"/>
  <c r="H503" i="1"/>
  <c r="H504" i="1"/>
  <c r="H505" i="1"/>
  <c r="H506" i="1"/>
  <c r="H507" i="1"/>
  <c r="H508" i="1"/>
  <c r="H509" i="1"/>
  <c r="H510" i="1"/>
  <c r="H511" i="1"/>
  <c r="H516" i="1"/>
  <c r="I490" i="1"/>
  <c r="I491" i="1"/>
  <c r="I496" i="1"/>
  <c r="I499" i="1"/>
  <c r="I502" i="1"/>
  <c r="I503" i="1"/>
  <c r="I504" i="1"/>
  <c r="I505" i="1"/>
  <c r="I506" i="1"/>
  <c r="I507" i="1"/>
  <c r="I508" i="1"/>
  <c r="I509" i="1"/>
  <c r="I510" i="1"/>
  <c r="I511" i="1"/>
  <c r="I512" i="1"/>
  <c r="I516" i="1"/>
  <c r="J490" i="1"/>
  <c r="J491" i="1"/>
  <c r="J496" i="1"/>
  <c r="J499" i="1"/>
  <c r="J502" i="1"/>
  <c r="J503" i="1"/>
  <c r="J504" i="1"/>
  <c r="J505" i="1"/>
  <c r="J506" i="1"/>
  <c r="J507" i="1"/>
  <c r="J508" i="1"/>
  <c r="J509" i="1"/>
  <c r="J510" i="1"/>
  <c r="J511" i="1"/>
  <c r="J512" i="1"/>
  <c r="J516" i="1"/>
  <c r="K490" i="1"/>
  <c r="K491" i="1"/>
  <c r="K496" i="1"/>
  <c r="K499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6" i="1"/>
  <c r="L490" i="1"/>
  <c r="L491" i="1"/>
  <c r="L496" i="1"/>
  <c r="L499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6" i="1"/>
  <c r="M490" i="1"/>
  <c r="M491" i="1"/>
  <c r="M496" i="1"/>
  <c r="M499" i="1"/>
  <c r="M502" i="1"/>
  <c r="M503" i="1"/>
  <c r="M504" i="1"/>
  <c r="M505" i="1"/>
  <c r="M506" i="1"/>
  <c r="M507" i="1"/>
  <c r="M508" i="1"/>
  <c r="M509" i="1"/>
  <c r="M510" i="1"/>
  <c r="M511" i="1"/>
  <c r="M512" i="1"/>
  <c r="M516" i="1"/>
  <c r="N490" i="1"/>
  <c r="N491" i="1"/>
  <c r="N496" i="1"/>
  <c r="N499" i="1"/>
  <c r="N502" i="1"/>
  <c r="N503" i="1"/>
  <c r="N504" i="1"/>
  <c r="N505" i="1"/>
  <c r="N506" i="1"/>
  <c r="N507" i="1"/>
  <c r="N508" i="1"/>
  <c r="N509" i="1"/>
  <c r="N510" i="1"/>
  <c r="N511" i="1"/>
  <c r="N512" i="1"/>
  <c r="N516" i="1"/>
  <c r="O490" i="1"/>
  <c r="O491" i="1"/>
  <c r="O496" i="1"/>
  <c r="O499" i="1"/>
  <c r="O502" i="1"/>
  <c r="O503" i="1"/>
  <c r="O504" i="1"/>
  <c r="O505" i="1"/>
  <c r="O506" i="1"/>
  <c r="O507" i="1"/>
  <c r="O508" i="1"/>
  <c r="O509" i="1"/>
  <c r="O510" i="1"/>
  <c r="O511" i="1"/>
  <c r="O512" i="1"/>
  <c r="O516" i="1"/>
  <c r="P490" i="1"/>
  <c r="P491" i="1"/>
  <c r="P496" i="1"/>
  <c r="P499" i="1"/>
  <c r="P502" i="1"/>
  <c r="P503" i="1"/>
  <c r="P504" i="1"/>
  <c r="P505" i="1"/>
  <c r="P506" i="1"/>
  <c r="P507" i="1"/>
  <c r="P508" i="1"/>
  <c r="P509" i="1"/>
  <c r="P510" i="1"/>
  <c r="P511" i="1"/>
  <c r="P512" i="1"/>
  <c r="P516" i="1"/>
  <c r="Q490" i="1"/>
  <c r="Q491" i="1"/>
  <c r="Q496" i="1"/>
  <c r="Q499" i="1"/>
  <c r="Q502" i="1"/>
  <c r="Q503" i="1"/>
  <c r="Q504" i="1"/>
  <c r="Q505" i="1"/>
  <c r="Q506" i="1"/>
  <c r="Q507" i="1"/>
  <c r="Q508" i="1"/>
  <c r="Q509" i="1"/>
  <c r="Q510" i="1"/>
  <c r="Q511" i="1"/>
  <c r="Q512" i="1"/>
  <c r="Q516" i="1"/>
  <c r="R490" i="1"/>
  <c r="R491" i="1"/>
  <c r="R496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6" i="1"/>
  <c r="S490" i="1"/>
  <c r="S491" i="1"/>
  <c r="S496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6" i="1"/>
  <c r="T490" i="1"/>
  <c r="T491" i="1"/>
  <c r="T496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6" i="1"/>
  <c r="U490" i="1"/>
  <c r="U491" i="1"/>
  <c r="U496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6" i="1"/>
  <c r="V490" i="1"/>
  <c r="V491" i="1"/>
  <c r="V496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6" i="1"/>
  <c r="F290" i="1"/>
  <c r="G103" i="1"/>
  <c r="G104" i="1"/>
  <c r="G123" i="1"/>
  <c r="H103" i="1"/>
  <c r="H123" i="1"/>
  <c r="J103" i="1"/>
  <c r="J104" i="1"/>
  <c r="J123" i="1"/>
  <c r="K103" i="1"/>
  <c r="K123" i="1"/>
  <c r="L103" i="1"/>
  <c r="L104" i="1"/>
  <c r="L123" i="1"/>
  <c r="M103" i="1"/>
  <c r="M123" i="1"/>
  <c r="N103" i="1"/>
  <c r="N123" i="1"/>
  <c r="O103" i="1"/>
  <c r="O123" i="1"/>
  <c r="P103" i="1"/>
  <c r="P123" i="1"/>
  <c r="S103" i="1"/>
  <c r="S123" i="1"/>
  <c r="T103" i="1"/>
  <c r="T123" i="1"/>
  <c r="U103" i="1"/>
  <c r="U123" i="1"/>
  <c r="V103" i="1"/>
  <c r="V123" i="1"/>
  <c r="K583" i="4"/>
  <c r="O584" i="4"/>
  <c r="O583" i="4"/>
  <c r="O591" i="4"/>
  <c r="O592" i="4"/>
  <c r="O593" i="4" s="1"/>
  <c r="O622" i="4"/>
  <c r="O602" i="4"/>
  <c r="O601" i="4" s="1"/>
  <c r="P584" i="4"/>
  <c r="P583" i="4"/>
  <c r="P591" i="4"/>
  <c r="P592" i="4"/>
  <c r="P593" i="4" s="1"/>
  <c r="P622" i="4"/>
  <c r="P602" i="4"/>
  <c r="P601" i="4" s="1"/>
  <c r="Q584" i="4"/>
  <c r="Q583" i="4"/>
  <c r="Q591" i="4"/>
  <c r="Q592" i="4"/>
  <c r="Q622" i="4"/>
  <c r="Q602" i="4"/>
  <c r="Q601" i="4" s="1"/>
  <c r="N477" i="4"/>
  <c r="N589" i="4"/>
  <c r="N591" i="4" s="1"/>
  <c r="N583" i="4"/>
  <c r="N584" i="4"/>
  <c r="N495" i="4"/>
  <c r="R619" i="4"/>
  <c r="R621" i="4" s="1"/>
  <c r="R598" i="4" s="1"/>
  <c r="S619" i="4"/>
  <c r="S621" i="4" s="1"/>
  <c r="S598" i="4" s="1"/>
  <c r="T619" i="4"/>
  <c r="T621" i="4" s="1"/>
  <c r="T598" i="4" s="1"/>
  <c r="K468" i="4"/>
  <c r="K477" i="4"/>
  <c r="K495" i="4"/>
  <c r="R485" i="4"/>
  <c r="R495" i="4"/>
  <c r="R478" i="4"/>
  <c r="S485" i="4"/>
  <c r="S495" i="4"/>
  <c r="S478" i="4"/>
  <c r="T485" i="4"/>
  <c r="T495" i="4"/>
  <c r="T478" i="4"/>
  <c r="F593" i="1"/>
  <c r="U25" i="4"/>
  <c r="U26" i="4"/>
  <c r="U588" i="4"/>
  <c r="U589" i="4"/>
  <c r="V589" i="4" s="1"/>
  <c r="U594" i="4"/>
  <c r="U596" i="4"/>
  <c r="U600" i="4"/>
  <c r="V600" i="4" s="1"/>
  <c r="G619" i="4"/>
  <c r="H619" i="4"/>
  <c r="I619" i="4"/>
  <c r="J619" i="4"/>
  <c r="K619" i="4"/>
  <c r="L619" i="4"/>
  <c r="M619" i="4"/>
  <c r="N619" i="4"/>
  <c r="O619" i="4"/>
  <c r="P619" i="4"/>
  <c r="Q619" i="4"/>
  <c r="U622" i="4"/>
  <c r="U625" i="4"/>
  <c r="V625" i="4" s="1"/>
  <c r="U626" i="4"/>
  <c r="F493" i="1"/>
  <c r="W580" i="1"/>
  <c r="X580" i="1"/>
  <c r="W581" i="1"/>
  <c r="X581" i="1" s="1"/>
  <c r="W582" i="1"/>
  <c r="X582" i="1" s="1"/>
  <c r="W583" i="1"/>
  <c r="X583" i="1" s="1"/>
  <c r="W584" i="1"/>
  <c r="X584" i="1" s="1"/>
  <c r="W585" i="1"/>
  <c r="X585" i="1" s="1"/>
  <c r="W586" i="1"/>
  <c r="X586" i="1" s="1"/>
  <c r="W587" i="1"/>
  <c r="X587" i="1" s="1"/>
  <c r="W588" i="1"/>
  <c r="X588" i="1" s="1"/>
  <c r="W589" i="1"/>
  <c r="X589" i="1" s="1"/>
  <c r="W590" i="1"/>
  <c r="X590" i="1" s="1"/>
  <c r="W591" i="1"/>
  <c r="X591" i="1" s="1"/>
  <c r="U604" i="4"/>
  <c r="V604" i="4" s="1"/>
  <c r="H512" i="1"/>
  <c r="F31" i="1"/>
  <c r="U624" i="4"/>
  <c r="Q501" i="1"/>
  <c r="Q500" i="1"/>
  <c r="P501" i="1"/>
  <c r="P500" i="1"/>
  <c r="O501" i="1"/>
  <c r="O500" i="1"/>
  <c r="N501" i="1"/>
  <c r="N500" i="1"/>
  <c r="M501" i="1"/>
  <c r="M500" i="1"/>
  <c r="L500" i="1"/>
  <c r="K500" i="1"/>
  <c r="J501" i="1"/>
  <c r="J500" i="1"/>
  <c r="I501" i="1"/>
  <c r="I500" i="1"/>
  <c r="H500" i="1"/>
  <c r="J583" i="4"/>
  <c r="L583" i="4"/>
  <c r="M583" i="4"/>
  <c r="U599" i="4"/>
  <c r="V599" i="4" s="1"/>
  <c r="F418" i="1"/>
  <c r="F389" i="1"/>
  <c r="U28" i="1"/>
  <c r="O28" i="1"/>
  <c r="M7" i="1"/>
  <c r="K28" i="1"/>
  <c r="J28" i="1"/>
  <c r="G28" i="1"/>
  <c r="R7" i="1"/>
  <c r="Q7" i="1"/>
  <c r="F10" i="1"/>
  <c r="I28" i="1"/>
  <c r="I7" i="1"/>
  <c r="F108" i="1"/>
  <c r="N28" i="1"/>
  <c r="L7" i="1"/>
  <c r="F179" i="1"/>
  <c r="M28" i="1"/>
  <c r="I531" i="4"/>
  <c r="G584" i="4"/>
  <c r="G585" i="4" s="1"/>
  <c r="J41" i="27"/>
  <c r="G531" i="4"/>
  <c r="F471" i="4"/>
  <c r="U591" i="4"/>
  <c r="F591" i="4"/>
  <c r="I590" i="4"/>
  <c r="H590" i="4"/>
  <c r="G590" i="4"/>
  <c r="H584" i="4"/>
  <c r="H585" i="4" s="1"/>
  <c r="H531" i="4"/>
  <c r="K467" i="4"/>
  <c r="K504" i="4"/>
  <c r="N504" i="4"/>
  <c r="T504" i="4"/>
  <c r="J531" i="4"/>
  <c r="I584" i="4"/>
  <c r="I585" i="4" s="1"/>
  <c r="M531" i="4"/>
  <c r="I104" i="1"/>
  <c r="N475" i="4"/>
  <c r="K41" i="27"/>
  <c r="G189" i="1"/>
  <c r="L189" i="1"/>
  <c r="P189" i="1"/>
  <c r="G583" i="4"/>
  <c r="F478" i="4"/>
  <c r="F629" i="4" s="1"/>
  <c r="R509" i="4" s="1"/>
  <c r="V624" i="4"/>
  <c r="K466" i="4"/>
  <c r="H316" i="1"/>
  <c r="M104" i="1"/>
  <c r="H104" i="1"/>
  <c r="K104" i="1"/>
  <c r="L531" i="4"/>
  <c r="H189" i="1"/>
  <c r="M189" i="1"/>
  <c r="R189" i="1"/>
  <c r="I189" i="1"/>
  <c r="N189" i="1"/>
  <c r="S189" i="1"/>
  <c r="F217" i="1"/>
  <c r="J189" i="1"/>
  <c r="O189" i="1"/>
  <c r="F529" i="4"/>
  <c r="I581" i="4"/>
  <c r="G581" i="4"/>
  <c r="H581" i="4"/>
  <c r="T469" i="4"/>
  <c r="T471" i="4" s="1"/>
  <c r="T480" i="4" s="1"/>
  <c r="K469" i="4"/>
  <c r="S469" i="4"/>
  <c r="S471" i="4" s="1"/>
  <c r="R469" i="4"/>
  <c r="R471" i="4" s="1"/>
  <c r="R480" i="4" s="1"/>
  <c r="R562" i="4" s="1"/>
  <c r="R564" i="4" s="1"/>
  <c r="N469" i="4"/>
  <c r="N471" i="4" s="1"/>
  <c r="V626" i="4"/>
  <c r="G601" i="4"/>
  <c r="U580" i="4"/>
  <c r="V580" i="4" s="1"/>
  <c r="L584" i="4"/>
  <c r="L585" i="4" s="1"/>
  <c r="U582" i="4"/>
  <c r="F582" i="4"/>
  <c r="H583" i="4"/>
  <c r="F351" i="1"/>
  <c r="S104" i="1"/>
  <c r="R104" i="1"/>
  <c r="N104" i="1"/>
  <c r="T104" i="1"/>
  <c r="P104" i="1"/>
  <c r="O104" i="1"/>
  <c r="V104" i="1"/>
  <c r="Q104" i="1"/>
  <c r="U104" i="1"/>
  <c r="G316" i="1"/>
  <c r="W638" i="1"/>
  <c r="X638" i="1" s="1"/>
  <c r="G144" i="1"/>
  <c r="W643" i="1"/>
  <c r="X643" i="1" s="1"/>
  <c r="K475" i="4"/>
  <c r="S504" i="4"/>
  <c r="R504" i="4"/>
  <c r="H144" i="1"/>
  <c r="R10" i="1" l="1"/>
  <c r="H601" i="4"/>
  <c r="H621" i="4"/>
  <c r="G476" i="4"/>
  <c r="G474" i="4"/>
  <c r="G477" i="4"/>
  <c r="J601" i="4"/>
  <c r="J621" i="4"/>
  <c r="K601" i="4"/>
  <c r="K621" i="4"/>
  <c r="I601" i="4"/>
  <c r="I621" i="4"/>
  <c r="F480" i="4"/>
  <c r="G41" i="27"/>
  <c r="H41" i="27" s="1"/>
  <c r="V594" i="4"/>
  <c r="V588" i="4"/>
  <c r="U592" i="4"/>
  <c r="F642" i="1"/>
  <c r="S593" i="1"/>
  <c r="N428" i="1"/>
  <c r="Q10" i="1"/>
  <c r="Q624" i="1" s="1"/>
  <c r="I593" i="1"/>
  <c r="I634" i="1" s="1"/>
  <c r="T637" i="1"/>
  <c r="T197" i="1" s="1"/>
  <c r="P593" i="1"/>
  <c r="P634" i="1" s="1"/>
  <c r="N256" i="1"/>
  <c r="L428" i="1"/>
  <c r="V637" i="1"/>
  <c r="V110" i="1" s="1"/>
  <c r="U10" i="1"/>
  <c r="U624" i="1" s="1"/>
  <c r="N10" i="1"/>
  <c r="N102" i="1" s="1"/>
  <c r="N637" i="1"/>
  <c r="N110" i="1" s="1"/>
  <c r="M637" i="1"/>
  <c r="M369" i="1" s="1"/>
  <c r="P637" i="1"/>
  <c r="P369" i="1" s="1"/>
  <c r="G10" i="1"/>
  <c r="G624" i="1" s="1"/>
  <c r="O10" i="1"/>
  <c r="O102" i="1" s="1"/>
  <c r="G493" i="1"/>
  <c r="T493" i="1"/>
  <c r="K637" i="1"/>
  <c r="K372" i="1" s="1"/>
  <c r="S493" i="1"/>
  <c r="U637" i="1"/>
  <c r="U200" i="1" s="1"/>
  <c r="R593" i="1"/>
  <c r="R634" i="1" s="1"/>
  <c r="Q637" i="1"/>
  <c r="Q372" i="1" s="1"/>
  <c r="R493" i="1"/>
  <c r="S256" i="1"/>
  <c r="J10" i="1"/>
  <c r="J102" i="1" s="1"/>
  <c r="G637" i="1"/>
  <c r="G372" i="1" s="1"/>
  <c r="Q256" i="1"/>
  <c r="Q428" i="1"/>
  <c r="I493" i="1"/>
  <c r="K31" i="1"/>
  <c r="K213" i="1" s="1"/>
  <c r="L636" i="1"/>
  <c r="L339" i="1" s="1"/>
  <c r="L348" i="1" s="1"/>
  <c r="K256" i="1"/>
  <c r="K428" i="1"/>
  <c r="G428" i="1"/>
  <c r="G636" i="1"/>
  <c r="G339" i="1" s="1"/>
  <c r="R636" i="1"/>
  <c r="R339" i="1" s="1"/>
  <c r="R348" i="1" s="1"/>
  <c r="R635" i="1"/>
  <c r="R148" i="1" s="1"/>
  <c r="R161" i="1" s="1"/>
  <c r="Q636" i="1"/>
  <c r="Q339" i="1" s="1"/>
  <c r="Q348" i="1" s="1"/>
  <c r="Q31" i="1"/>
  <c r="Q213" i="1" s="1"/>
  <c r="I256" i="1"/>
  <c r="I428" i="1"/>
  <c r="I636" i="1"/>
  <c r="I167" i="1" s="1"/>
  <c r="I176" i="1" s="1"/>
  <c r="G593" i="1"/>
  <c r="G634" i="1" s="1"/>
  <c r="R637" i="1"/>
  <c r="R200" i="1" s="1"/>
  <c r="W250" i="1"/>
  <c r="X250" i="1" s="1"/>
  <c r="K10" i="1"/>
  <c r="K102" i="1" s="1"/>
  <c r="U493" i="1"/>
  <c r="S10" i="1"/>
  <c r="S102" i="1" s="1"/>
  <c r="J493" i="1"/>
  <c r="H493" i="1"/>
  <c r="P10" i="1"/>
  <c r="P102" i="1" s="1"/>
  <c r="S634" i="1"/>
  <c r="K493" i="1"/>
  <c r="V10" i="1"/>
  <c r="V102" i="1" s="1"/>
  <c r="U256" i="1"/>
  <c r="U428" i="1"/>
  <c r="W377" i="1"/>
  <c r="X377" i="1" s="1"/>
  <c r="W22" i="1"/>
  <c r="X22" i="1" s="1"/>
  <c r="Q635" i="1"/>
  <c r="Q148" i="1" s="1"/>
  <c r="Q161" i="1" s="1"/>
  <c r="W490" i="1"/>
  <c r="X490" i="1" s="1"/>
  <c r="U593" i="1"/>
  <c r="U634" i="1" s="1"/>
  <c r="S637" i="1"/>
  <c r="S369" i="1" s="1"/>
  <c r="N593" i="1"/>
  <c r="N634" i="1" s="1"/>
  <c r="M593" i="1"/>
  <c r="M634" i="1" s="1"/>
  <c r="W422" i="1"/>
  <c r="X422" i="1" s="1"/>
  <c r="W406" i="1"/>
  <c r="X406" i="1" s="1"/>
  <c r="W376" i="1"/>
  <c r="X376" i="1" s="1"/>
  <c r="I635" i="1"/>
  <c r="I320" i="1" s="1"/>
  <c r="I333" i="1" s="1"/>
  <c r="R31" i="1"/>
  <c r="R58" i="1" s="1"/>
  <c r="W379" i="1"/>
  <c r="X379" i="1" s="1"/>
  <c r="W55" i="1"/>
  <c r="X55" i="1" s="1"/>
  <c r="J593" i="1"/>
  <c r="J634" i="1" s="1"/>
  <c r="J637" i="1"/>
  <c r="J110" i="1" s="1"/>
  <c r="H637" i="1"/>
  <c r="H110" i="1" s="1"/>
  <c r="I10" i="1"/>
  <c r="I624" i="1" s="1"/>
  <c r="Q593" i="1"/>
  <c r="Q634" i="1" s="1"/>
  <c r="P493" i="1"/>
  <c r="O493" i="1"/>
  <c r="V256" i="1"/>
  <c r="T593" i="1"/>
  <c r="T634" i="1" s="1"/>
  <c r="O256" i="1"/>
  <c r="L637" i="1"/>
  <c r="L110" i="1" s="1"/>
  <c r="W382" i="1"/>
  <c r="X382" i="1" s="1"/>
  <c r="W375" i="1"/>
  <c r="X375" i="1" s="1"/>
  <c r="W326" i="1"/>
  <c r="X326" i="1" s="1"/>
  <c r="W499" i="1"/>
  <c r="X499" i="1" s="1"/>
  <c r="W208" i="1"/>
  <c r="X208" i="1" s="1"/>
  <c r="W199" i="1"/>
  <c r="X199" i="1" s="1"/>
  <c r="W378" i="1"/>
  <c r="X378" i="1" s="1"/>
  <c r="W194" i="1"/>
  <c r="X194" i="1" s="1"/>
  <c r="W211" i="1"/>
  <c r="X211" i="1" s="1"/>
  <c r="W324" i="1"/>
  <c r="X324" i="1" s="1"/>
  <c r="W259" i="1"/>
  <c r="X259" i="1" s="1"/>
  <c r="L635" i="1"/>
  <c r="L320" i="1" s="1"/>
  <c r="L333" i="1" s="1"/>
  <c r="W251" i="1"/>
  <c r="X251" i="1" s="1"/>
  <c r="W234" i="1"/>
  <c r="X234" i="1" s="1"/>
  <c r="W366" i="1"/>
  <c r="X366" i="1" s="1"/>
  <c r="W123" i="1"/>
  <c r="X123" i="1" s="1"/>
  <c r="V493" i="1"/>
  <c r="S514" i="1"/>
  <c r="Q493" i="1"/>
  <c r="N493" i="1"/>
  <c r="M493" i="1"/>
  <c r="L493" i="1"/>
  <c r="W496" i="1"/>
  <c r="X496" i="1" s="1"/>
  <c r="V428" i="1"/>
  <c r="T10" i="1"/>
  <c r="T624" i="1" s="1"/>
  <c r="S428" i="1"/>
  <c r="W423" i="1"/>
  <c r="X423" i="1" s="1"/>
  <c r="P31" i="1"/>
  <c r="P384" i="1" s="1"/>
  <c r="W361" i="1"/>
  <c r="X361" i="1" s="1"/>
  <c r="W174" i="1"/>
  <c r="X174" i="1" s="1"/>
  <c r="W322" i="1"/>
  <c r="X322" i="1" s="1"/>
  <c r="W153" i="1"/>
  <c r="X153" i="1" s="1"/>
  <c r="W425" i="1"/>
  <c r="X425" i="1" s="1"/>
  <c r="W409" i="1"/>
  <c r="X409" i="1" s="1"/>
  <c r="W237" i="1"/>
  <c r="X237" i="1" s="1"/>
  <c r="W370" i="1"/>
  <c r="X370" i="1" s="1"/>
  <c r="W340" i="1"/>
  <c r="X340" i="1" s="1"/>
  <c r="W331" i="1"/>
  <c r="X331" i="1" s="1"/>
  <c r="W323" i="1"/>
  <c r="X323" i="1" s="1"/>
  <c r="W154" i="1"/>
  <c r="X154" i="1" s="1"/>
  <c r="M256" i="1"/>
  <c r="M428" i="1"/>
  <c r="W203" i="1"/>
  <c r="X203" i="1" s="1"/>
  <c r="W195" i="1"/>
  <c r="X195" i="1" s="1"/>
  <c r="W341" i="1"/>
  <c r="X341" i="1" s="1"/>
  <c r="W168" i="1"/>
  <c r="X168" i="1" s="1"/>
  <c r="W155" i="1"/>
  <c r="X155" i="1" s="1"/>
  <c r="L256" i="1"/>
  <c r="J636" i="1"/>
  <c r="J167" i="1" s="1"/>
  <c r="J176" i="1" s="1"/>
  <c r="J635" i="1"/>
  <c r="J320" i="1" s="1"/>
  <c r="J333" i="1" s="1"/>
  <c r="W8" i="1"/>
  <c r="X8" i="1" s="1"/>
  <c r="W19" i="1"/>
  <c r="X19" i="1" s="1"/>
  <c r="W205" i="1"/>
  <c r="X205" i="1" s="1"/>
  <c r="L514" i="1"/>
  <c r="W103" i="1"/>
  <c r="X103" i="1" s="1"/>
  <c r="U514" i="1"/>
  <c r="T514" i="1"/>
  <c r="W516" i="1"/>
  <c r="X516" i="1" s="1"/>
  <c r="R514" i="1"/>
  <c r="P514" i="1"/>
  <c r="O514" i="1"/>
  <c r="N514" i="1"/>
  <c r="J514" i="1"/>
  <c r="W510" i="1"/>
  <c r="X510" i="1" s="1"/>
  <c r="G514" i="1"/>
  <c r="W57" i="1"/>
  <c r="X57" i="1" s="1"/>
  <c r="W431" i="1"/>
  <c r="X431" i="1" s="1"/>
  <c r="W411" i="1"/>
  <c r="X411" i="1" s="1"/>
  <c r="W239" i="1"/>
  <c r="X239" i="1" s="1"/>
  <c r="W381" i="1"/>
  <c r="X381" i="1" s="1"/>
  <c r="W373" i="1"/>
  <c r="X373" i="1" s="1"/>
  <c r="W27" i="1"/>
  <c r="X27" i="1" s="1"/>
  <c r="V31" i="1"/>
  <c r="V627" i="1" s="1"/>
  <c r="H10" i="1"/>
  <c r="L593" i="1"/>
  <c r="L634" i="1" s="1"/>
  <c r="P428" i="1"/>
  <c r="T625" i="1"/>
  <c r="W625" i="1" s="1"/>
  <c r="X625" i="1" s="1"/>
  <c r="O428" i="1"/>
  <c r="H593" i="1"/>
  <c r="H634" i="1" s="1"/>
  <c r="J31" i="1"/>
  <c r="J58" i="1" s="1"/>
  <c r="W508" i="1"/>
  <c r="X508" i="1" s="1"/>
  <c r="W504" i="1"/>
  <c r="X504" i="1" s="1"/>
  <c r="V636" i="1"/>
  <c r="V167" i="1" s="1"/>
  <c r="V176" i="1" s="1"/>
  <c r="V635" i="1"/>
  <c r="V148" i="1" s="1"/>
  <c r="V161" i="1" s="1"/>
  <c r="U636" i="1"/>
  <c r="U167" i="1" s="1"/>
  <c r="U176" i="1" s="1"/>
  <c r="U635" i="1"/>
  <c r="U320" i="1" s="1"/>
  <c r="U333" i="1" s="1"/>
  <c r="T256" i="1"/>
  <c r="T428" i="1"/>
  <c r="T636" i="1"/>
  <c r="T339" i="1" s="1"/>
  <c r="T348" i="1" s="1"/>
  <c r="W150" i="1"/>
  <c r="X150" i="1" s="1"/>
  <c r="W25" i="1"/>
  <c r="X25" i="1" s="1"/>
  <c r="W17" i="1"/>
  <c r="X17" i="1" s="1"/>
  <c r="W210" i="1"/>
  <c r="X210" i="1" s="1"/>
  <c r="W202" i="1"/>
  <c r="X202" i="1" s="1"/>
  <c r="W346" i="1"/>
  <c r="X346" i="1" s="1"/>
  <c r="S636" i="1"/>
  <c r="S167" i="1" s="1"/>
  <c r="S176" i="1" s="1"/>
  <c r="S635" i="1"/>
  <c r="S148" i="1" s="1"/>
  <c r="S161" i="1" s="1"/>
  <c r="S31" i="1"/>
  <c r="S622" i="1" s="1"/>
  <c r="W56" i="1"/>
  <c r="X56" i="1" s="1"/>
  <c r="W254" i="1"/>
  <c r="X254" i="1" s="1"/>
  <c r="W426" i="1"/>
  <c r="X426" i="1" s="1"/>
  <c r="W410" i="1"/>
  <c r="X410" i="1" s="1"/>
  <c r="W238" i="1"/>
  <c r="X238" i="1" s="1"/>
  <c r="W380" i="1"/>
  <c r="X380" i="1" s="1"/>
  <c r="W371" i="1"/>
  <c r="X371" i="1" s="1"/>
  <c r="W26" i="1"/>
  <c r="X26" i="1" s="1"/>
  <c r="W16" i="1"/>
  <c r="X16" i="1" s="1"/>
  <c r="W204" i="1"/>
  <c r="X204" i="1" s="1"/>
  <c r="W196" i="1"/>
  <c r="X196" i="1" s="1"/>
  <c r="W342" i="1"/>
  <c r="X342" i="1" s="1"/>
  <c r="P636" i="1"/>
  <c r="P339" i="1" s="1"/>
  <c r="P348" i="1" s="1"/>
  <c r="W325" i="1"/>
  <c r="X325" i="1" s="1"/>
  <c r="P635" i="1"/>
  <c r="P320" i="1" s="1"/>
  <c r="P333" i="1" s="1"/>
  <c r="W262" i="1"/>
  <c r="X262" i="1" s="1"/>
  <c r="W434" i="1"/>
  <c r="X434" i="1" s="1"/>
  <c r="W412" i="1"/>
  <c r="X412" i="1" s="1"/>
  <c r="W240" i="1"/>
  <c r="X240" i="1" s="1"/>
  <c r="W374" i="1"/>
  <c r="X374" i="1" s="1"/>
  <c r="W18" i="1"/>
  <c r="AD18" i="1" s="1"/>
  <c r="W343" i="1"/>
  <c r="X343" i="1" s="1"/>
  <c r="O636" i="1"/>
  <c r="O339" i="1" s="1"/>
  <c r="O348" i="1" s="1"/>
  <c r="W157" i="1"/>
  <c r="X157" i="1" s="1"/>
  <c r="O635" i="1"/>
  <c r="O148" i="1" s="1"/>
  <c r="O161" i="1" s="1"/>
  <c r="N636" i="1"/>
  <c r="N339" i="1" s="1"/>
  <c r="N348" i="1" s="1"/>
  <c r="N635" i="1"/>
  <c r="N148" i="1" s="1"/>
  <c r="N161" i="1" s="1"/>
  <c r="W206" i="1"/>
  <c r="X206" i="1" s="1"/>
  <c r="W21" i="1"/>
  <c r="X21" i="1" s="1"/>
  <c r="W344" i="1"/>
  <c r="X344" i="1" s="1"/>
  <c r="W171" i="1"/>
  <c r="X171" i="1" s="1"/>
  <c r="W327" i="1"/>
  <c r="X327" i="1" s="1"/>
  <c r="M635" i="1"/>
  <c r="M320" i="1" s="1"/>
  <c r="M333" i="1" s="1"/>
  <c r="W413" i="1"/>
  <c r="X413" i="1" s="1"/>
  <c r="W241" i="1"/>
  <c r="X241" i="1" s="1"/>
  <c r="W383" i="1"/>
  <c r="X383" i="1" s="1"/>
  <c r="W20" i="1"/>
  <c r="X20" i="1" s="1"/>
  <c r="W207" i="1"/>
  <c r="X207" i="1" s="1"/>
  <c r="W198" i="1"/>
  <c r="X198" i="1" s="1"/>
  <c r="W345" i="1"/>
  <c r="X345" i="1" s="1"/>
  <c r="W172" i="1"/>
  <c r="X172" i="1" s="1"/>
  <c r="W328" i="1"/>
  <c r="X328" i="1" s="1"/>
  <c r="W159" i="1"/>
  <c r="X159" i="1" s="1"/>
  <c r="W151" i="1"/>
  <c r="X151" i="1" s="1"/>
  <c r="K636" i="1"/>
  <c r="K167" i="1" s="1"/>
  <c r="K176" i="1" s="1"/>
  <c r="K635" i="1"/>
  <c r="K148" i="1" s="1"/>
  <c r="K161" i="1" s="1"/>
  <c r="W36" i="1"/>
  <c r="X36" i="1" s="1"/>
  <c r="J256" i="1"/>
  <c r="J428" i="1"/>
  <c r="H256" i="1"/>
  <c r="H428" i="1"/>
  <c r="W408" i="1"/>
  <c r="X408" i="1" s="1"/>
  <c r="W236" i="1"/>
  <c r="X236" i="1" s="1"/>
  <c r="W368" i="1"/>
  <c r="X368" i="1" s="1"/>
  <c r="W23" i="1"/>
  <c r="X23" i="1" s="1"/>
  <c r="W209" i="1"/>
  <c r="X209" i="1" s="1"/>
  <c r="W201" i="1"/>
  <c r="X201" i="1" s="1"/>
  <c r="H636" i="1"/>
  <c r="H339" i="1" s="1"/>
  <c r="H348" i="1" s="1"/>
  <c r="W330" i="1"/>
  <c r="X330" i="1" s="1"/>
  <c r="H635" i="1"/>
  <c r="H148" i="1" s="1"/>
  <c r="H161" i="1" s="1"/>
  <c r="W252" i="1"/>
  <c r="X252" i="1" s="1"/>
  <c r="W407" i="1"/>
  <c r="X407" i="1" s="1"/>
  <c r="W367" i="1"/>
  <c r="X367" i="1" s="1"/>
  <c r="W173" i="1"/>
  <c r="X173" i="1" s="1"/>
  <c r="W329" i="1"/>
  <c r="X329" i="1" s="1"/>
  <c r="W321" i="1"/>
  <c r="X321" i="1" s="1"/>
  <c r="G635" i="1"/>
  <c r="G320" i="1" s="1"/>
  <c r="R256" i="1"/>
  <c r="R428" i="1"/>
  <c r="V200" i="1"/>
  <c r="V593" i="1"/>
  <c r="V634" i="1" s="1"/>
  <c r="W170" i="1"/>
  <c r="X170" i="1" s="1"/>
  <c r="O593" i="1"/>
  <c r="W500" i="1"/>
  <c r="X500" i="1" s="1"/>
  <c r="W503" i="1"/>
  <c r="X503" i="1" s="1"/>
  <c r="O637" i="1"/>
  <c r="O372" i="1" s="1"/>
  <c r="W149" i="1"/>
  <c r="X149" i="1" s="1"/>
  <c r="O31" i="1"/>
  <c r="O213" i="1" s="1"/>
  <c r="W491" i="1"/>
  <c r="X491" i="1" s="1"/>
  <c r="M636" i="1"/>
  <c r="M339" i="1" s="1"/>
  <c r="M348" i="1" s="1"/>
  <c r="G256" i="1"/>
  <c r="M10" i="1"/>
  <c r="M624" i="1" s="1"/>
  <c r="N478" i="4"/>
  <c r="N480" i="4" s="1"/>
  <c r="N562" i="4" s="1"/>
  <c r="N564" i="4" s="1"/>
  <c r="P256" i="1"/>
  <c r="L31" i="1"/>
  <c r="L622" i="1" s="1"/>
  <c r="U31" i="1"/>
  <c r="U414" i="1" s="1"/>
  <c r="W253" i="1"/>
  <c r="X253" i="1" s="1"/>
  <c r="M31" i="1"/>
  <c r="M414" i="1" s="1"/>
  <c r="W424" i="1"/>
  <c r="X424" i="1" s="1"/>
  <c r="W13" i="1"/>
  <c r="X13" i="1" s="1"/>
  <c r="W156" i="1"/>
  <c r="X156" i="1" s="1"/>
  <c r="W169" i="1"/>
  <c r="X169" i="1" s="1"/>
  <c r="T31" i="1"/>
  <c r="T414" i="1" s="1"/>
  <c r="K593" i="1"/>
  <c r="K634" i="1" s="1"/>
  <c r="T635" i="1"/>
  <c r="T148" i="1" s="1"/>
  <c r="T161" i="1" s="1"/>
  <c r="L10" i="1"/>
  <c r="L624" i="1" s="1"/>
  <c r="G31" i="1"/>
  <c r="N31" i="1"/>
  <c r="N414" i="1" s="1"/>
  <c r="K514" i="1"/>
  <c r="W501" i="1"/>
  <c r="X501" i="1" s="1"/>
  <c r="W502" i="1"/>
  <c r="X502" i="1" s="1"/>
  <c r="F596" i="4"/>
  <c r="V596" i="4" s="1"/>
  <c r="W507" i="1"/>
  <c r="X507" i="1" s="1"/>
  <c r="W506" i="1"/>
  <c r="X506" i="1" s="1"/>
  <c r="U584" i="4"/>
  <c r="I514" i="1"/>
  <c r="W7" i="1"/>
  <c r="X7" i="1" s="1"/>
  <c r="S509" i="4"/>
  <c r="S480" i="4"/>
  <c r="V591" i="4"/>
  <c r="F641" i="1"/>
  <c r="W512" i="1"/>
  <c r="X512" i="1" s="1"/>
  <c r="H31" i="1"/>
  <c r="H384" i="1" s="1"/>
  <c r="U583" i="4"/>
  <c r="H597" i="4"/>
  <c r="F292" i="1"/>
  <c r="F464" i="1"/>
  <c r="V582" i="4"/>
  <c r="U619" i="4"/>
  <c r="W29" i="1"/>
  <c r="X29" i="1" s="1"/>
  <c r="U601" i="4"/>
  <c r="F583" i="4"/>
  <c r="G566" i="4"/>
  <c r="G504" i="4"/>
  <c r="G475" i="4"/>
  <c r="G466" i="4"/>
  <c r="G467" i="4"/>
  <c r="H2" i="4"/>
  <c r="G468" i="4"/>
  <c r="G495" i="4"/>
  <c r="G469" i="4"/>
  <c r="U593" i="4"/>
  <c r="V593" i="4" s="1"/>
  <c r="F601" i="4"/>
  <c r="K565" i="4" s="1"/>
  <c r="V602" i="4"/>
  <c r="U585" i="4"/>
  <c r="V585" i="4" s="1"/>
  <c r="T509" i="4"/>
  <c r="V584" i="4"/>
  <c r="S562" i="4"/>
  <c r="S564" i="4" s="1"/>
  <c r="T562" i="4"/>
  <c r="T564" i="4" s="1"/>
  <c r="I31" i="1"/>
  <c r="K478" i="4"/>
  <c r="V369" i="1"/>
  <c r="W144" i="1"/>
  <c r="X144" i="1" s="1"/>
  <c r="W316" i="1"/>
  <c r="X316" i="1" s="1"/>
  <c r="M514" i="1"/>
  <c r="S624" i="1"/>
  <c r="W24" i="1"/>
  <c r="X24" i="1" s="1"/>
  <c r="W158" i="1"/>
  <c r="X158" i="1" s="1"/>
  <c r="W152" i="1"/>
  <c r="X152" i="1" s="1"/>
  <c r="I369" i="1"/>
  <c r="V197" i="1"/>
  <c r="K471" i="4"/>
  <c r="R624" i="1"/>
  <c r="W235" i="1"/>
  <c r="X235" i="1" s="1"/>
  <c r="W189" i="1"/>
  <c r="X189" i="1" s="1"/>
  <c r="W104" i="1"/>
  <c r="X104" i="1" s="1"/>
  <c r="V514" i="1"/>
  <c r="I200" i="1"/>
  <c r="I197" i="1"/>
  <c r="N624" i="1"/>
  <c r="I372" i="1"/>
  <c r="W28" i="1"/>
  <c r="X28" i="1" s="1"/>
  <c r="I339" i="1"/>
  <c r="I348" i="1" s="1"/>
  <c r="H514" i="1"/>
  <c r="Q514" i="1"/>
  <c r="W509" i="1"/>
  <c r="X509" i="1" s="1"/>
  <c r="W505" i="1"/>
  <c r="W511" i="1"/>
  <c r="X511" i="1" s="1"/>
  <c r="M200" i="1"/>
  <c r="F33" i="1"/>
  <c r="R102" i="1"/>
  <c r="V372" i="1" l="1"/>
  <c r="U102" i="1"/>
  <c r="J624" i="1"/>
  <c r="K197" i="1"/>
  <c r="G200" i="1"/>
  <c r="G197" i="1"/>
  <c r="K200" i="1"/>
  <c r="K369" i="1"/>
  <c r="K110" i="1"/>
  <c r="V592" i="4"/>
  <c r="V583" i="4"/>
  <c r="H476" i="4"/>
  <c r="H474" i="4"/>
  <c r="H477" i="4"/>
  <c r="G529" i="4"/>
  <c r="F619" i="4"/>
  <c r="V619" i="4" s="1"/>
  <c r="F597" i="4"/>
  <c r="Q102" i="1"/>
  <c r="U369" i="1"/>
  <c r="M372" i="1"/>
  <c r="U197" i="1"/>
  <c r="U110" i="1"/>
  <c r="M197" i="1"/>
  <c r="T372" i="1"/>
  <c r="T200" i="1"/>
  <c r="T110" i="1"/>
  <c r="M385" i="1"/>
  <c r="G369" i="1"/>
  <c r="T369" i="1"/>
  <c r="M110" i="1"/>
  <c r="U372" i="1"/>
  <c r="Q200" i="1"/>
  <c r="S110" i="1"/>
  <c r="P200" i="1"/>
  <c r="N197" i="1"/>
  <c r="V212" i="1"/>
  <c r="Z18" i="1"/>
  <c r="AB18" i="1"/>
  <c r="P197" i="1"/>
  <c r="P372" i="1"/>
  <c r="P110" i="1"/>
  <c r="R110" i="1"/>
  <c r="G33" i="1"/>
  <c r="G518" i="1" s="1"/>
  <c r="G102" i="1"/>
  <c r="Q369" i="1"/>
  <c r="S372" i="1"/>
  <c r="K58" i="1"/>
  <c r="V58" i="1"/>
  <c r="V385" i="1"/>
  <c r="V242" i="1"/>
  <c r="V640" i="1" s="1"/>
  <c r="V233" i="1" s="1"/>
  <c r="V244" i="1" s="1"/>
  <c r="V622" i="1"/>
  <c r="Q320" i="1"/>
  <c r="Q333" i="1" s="1"/>
  <c r="Q351" i="1" s="1"/>
  <c r="P351" i="1"/>
  <c r="S320" i="1"/>
  <c r="S333" i="1" s="1"/>
  <c r="P148" i="1"/>
  <c r="P161" i="1" s="1"/>
  <c r="J622" i="1"/>
  <c r="G110" i="1"/>
  <c r="J212" i="1"/>
  <c r="P624" i="1"/>
  <c r="G167" i="1"/>
  <c r="G176" i="1" s="1"/>
  <c r="V384" i="1"/>
  <c r="N200" i="1"/>
  <c r="M384" i="1"/>
  <c r="T320" i="1"/>
  <c r="T333" i="1" s="1"/>
  <c r="T351" i="1" s="1"/>
  <c r="N369" i="1"/>
  <c r="N372" i="1"/>
  <c r="S179" i="1"/>
  <c r="J213" i="1"/>
  <c r="K179" i="1"/>
  <c r="J385" i="1"/>
  <c r="J242" i="1"/>
  <c r="J640" i="1" s="1"/>
  <c r="J405" i="1" s="1"/>
  <c r="S339" i="1"/>
  <c r="S348" i="1" s="1"/>
  <c r="K320" i="1"/>
  <c r="K333" i="1" s="1"/>
  <c r="J414" i="1"/>
  <c r="J627" i="1"/>
  <c r="O624" i="1"/>
  <c r="Q385" i="1"/>
  <c r="V414" i="1"/>
  <c r="Q414" i="1"/>
  <c r="V213" i="1"/>
  <c r="Q627" i="1"/>
  <c r="Q622" i="1"/>
  <c r="L167" i="1"/>
  <c r="L176" i="1" s="1"/>
  <c r="K212" i="1"/>
  <c r="Q384" i="1"/>
  <c r="Q33" i="1"/>
  <c r="Q529" i="1" s="1"/>
  <c r="F309" i="4" s="1"/>
  <c r="Q212" i="1"/>
  <c r="U213" i="1"/>
  <c r="J148" i="1"/>
  <c r="J161" i="1" s="1"/>
  <c r="J179" i="1" s="1"/>
  <c r="L148" i="1"/>
  <c r="L161" i="1" s="1"/>
  <c r="Q242" i="1"/>
  <c r="Q640" i="1" s="1"/>
  <c r="Q233" i="1" s="1"/>
  <c r="Q244" i="1" s="1"/>
  <c r="T242" i="1"/>
  <c r="T640" i="1" s="1"/>
  <c r="T233" i="1" s="1"/>
  <c r="T244" i="1" s="1"/>
  <c r="Q197" i="1"/>
  <c r="Q110" i="1"/>
  <c r="S200" i="1"/>
  <c r="Q58" i="1"/>
  <c r="S197" i="1"/>
  <c r="M167" i="1"/>
  <c r="M176" i="1" s="1"/>
  <c r="T384" i="1"/>
  <c r="R414" i="1"/>
  <c r="R627" i="1"/>
  <c r="R33" i="1"/>
  <c r="R529" i="1" s="1"/>
  <c r="F310" i="4" s="1"/>
  <c r="R384" i="1"/>
  <c r="R622" i="1"/>
  <c r="R320" i="1"/>
  <c r="R333" i="1" s="1"/>
  <c r="R351" i="1" s="1"/>
  <c r="R213" i="1"/>
  <c r="R212" i="1"/>
  <c r="R242" i="1"/>
  <c r="R640" i="1" s="1"/>
  <c r="R233" i="1" s="1"/>
  <c r="R244" i="1" s="1"/>
  <c r="R385" i="1"/>
  <c r="T167" i="1"/>
  <c r="T176" i="1" s="1"/>
  <c r="T179" i="1" s="1"/>
  <c r="J197" i="1"/>
  <c r="G242" i="1"/>
  <c r="G640" i="1" s="1"/>
  <c r="P33" i="1"/>
  <c r="P527" i="1" s="1"/>
  <c r="F264" i="4" s="1"/>
  <c r="P414" i="1"/>
  <c r="J369" i="1"/>
  <c r="J372" i="1"/>
  <c r="J200" i="1"/>
  <c r="J33" i="1"/>
  <c r="J517" i="1" s="1"/>
  <c r="G627" i="1"/>
  <c r="T58" i="1"/>
  <c r="K339" i="1"/>
  <c r="K348" i="1" s="1"/>
  <c r="K351" i="1" s="1"/>
  <c r="AC18" i="1"/>
  <c r="O167" i="1"/>
  <c r="O176" i="1" s="1"/>
  <c r="O179" i="1" s="1"/>
  <c r="T213" i="1"/>
  <c r="J384" i="1"/>
  <c r="M242" i="1"/>
  <c r="M640" i="1" s="1"/>
  <c r="M233" i="1" s="1"/>
  <c r="M244" i="1" s="1"/>
  <c r="AA18" i="1"/>
  <c r="T627" i="1"/>
  <c r="P167" i="1"/>
  <c r="P176" i="1" s="1"/>
  <c r="M58" i="1"/>
  <c r="T212" i="1"/>
  <c r="M213" i="1"/>
  <c r="T385" i="1"/>
  <c r="T622" i="1"/>
  <c r="G213" i="1"/>
  <c r="R167" i="1"/>
  <c r="R176" i="1" s="1"/>
  <c r="R179" i="1" s="1"/>
  <c r="I102" i="1"/>
  <c r="O320" i="1"/>
  <c r="O333" i="1" s="1"/>
  <c r="O351" i="1" s="1"/>
  <c r="V339" i="1"/>
  <c r="V348" i="1" s="1"/>
  <c r="G212" i="1"/>
  <c r="G414" i="1"/>
  <c r="G384" i="1"/>
  <c r="O385" i="1"/>
  <c r="G622" i="1"/>
  <c r="S212" i="1"/>
  <c r="S33" i="1"/>
  <c r="S520" i="1" s="1"/>
  <c r="R369" i="1"/>
  <c r="L351" i="1"/>
  <c r="R197" i="1"/>
  <c r="R372" i="1"/>
  <c r="H200" i="1"/>
  <c r="K385" i="1"/>
  <c r="K627" i="1"/>
  <c r="H197" i="1"/>
  <c r="K622" i="1"/>
  <c r="K242" i="1"/>
  <c r="K640" i="1" s="1"/>
  <c r="K405" i="1" s="1"/>
  <c r="K624" i="1"/>
  <c r="H372" i="1"/>
  <c r="Q167" i="1"/>
  <c r="Q176" i="1" s="1"/>
  <c r="Q179" i="1" s="1"/>
  <c r="K414" i="1"/>
  <c r="H369" i="1"/>
  <c r="K384" i="1"/>
  <c r="V624" i="1"/>
  <c r="K33" i="1"/>
  <c r="K112" i="1" s="1"/>
  <c r="V33" i="1"/>
  <c r="V631" i="1" s="1"/>
  <c r="S242" i="1"/>
  <c r="S640" i="1" s="1"/>
  <c r="S405" i="1" s="1"/>
  <c r="O197" i="1"/>
  <c r="S414" i="1"/>
  <c r="S58" i="1"/>
  <c r="O200" i="1"/>
  <c r="S384" i="1"/>
  <c r="S627" i="1"/>
  <c r="O110" i="1"/>
  <c r="T102" i="1"/>
  <c r="J339" i="1"/>
  <c r="J348" i="1" s="1"/>
  <c r="J351" i="1" s="1"/>
  <c r="T33" i="1"/>
  <c r="T38" i="1" s="1"/>
  <c r="S385" i="1"/>
  <c r="O369" i="1"/>
  <c r="S213" i="1"/>
  <c r="P213" i="1"/>
  <c r="G58" i="1"/>
  <c r="P242" i="1"/>
  <c r="P640" i="1" s="1"/>
  <c r="P233" i="1" s="1"/>
  <c r="P244" i="1" s="1"/>
  <c r="O627" i="1"/>
  <c r="P622" i="1"/>
  <c r="G385" i="1"/>
  <c r="P58" i="1"/>
  <c r="P212" i="1"/>
  <c r="G148" i="1"/>
  <c r="G161" i="1" s="1"/>
  <c r="P385" i="1"/>
  <c r="P627" i="1"/>
  <c r="W493" i="1"/>
  <c r="X493" i="1" s="1"/>
  <c r="H385" i="1"/>
  <c r="N213" i="1"/>
  <c r="H320" i="1"/>
  <c r="H333" i="1" s="1"/>
  <c r="H351" i="1" s="1"/>
  <c r="N33" i="1"/>
  <c r="N527" i="1" s="1"/>
  <c r="F260" i="4" s="1"/>
  <c r="Y18" i="1"/>
  <c r="I351" i="1"/>
  <c r="O58" i="1"/>
  <c r="I148" i="1"/>
  <c r="I161" i="1" s="1"/>
  <c r="I179" i="1" s="1"/>
  <c r="U148" i="1"/>
  <c r="U161" i="1" s="1"/>
  <c r="U179" i="1" s="1"/>
  <c r="W428" i="1"/>
  <c r="X428" i="1" s="1"/>
  <c r="U339" i="1"/>
  <c r="U348" i="1" s="1"/>
  <c r="U351" i="1" s="1"/>
  <c r="L372" i="1"/>
  <c r="L369" i="1"/>
  <c r="L197" i="1"/>
  <c r="L102" i="1"/>
  <c r="L200" i="1"/>
  <c r="W637" i="1"/>
  <c r="Y637" i="1" s="1"/>
  <c r="N320" i="1"/>
  <c r="N333" i="1" s="1"/>
  <c r="N351" i="1" s="1"/>
  <c r="L33" i="1"/>
  <c r="L117" i="1" s="1"/>
  <c r="M622" i="1"/>
  <c r="M148" i="1"/>
  <c r="M161" i="1" s="1"/>
  <c r="G478" i="4"/>
  <c r="V179" i="1"/>
  <c r="X18" i="1"/>
  <c r="W256" i="1"/>
  <c r="X256" i="1" s="1"/>
  <c r="N622" i="1"/>
  <c r="V320" i="1"/>
  <c r="V333" i="1" s="1"/>
  <c r="M351" i="1"/>
  <c r="W593" i="1"/>
  <c r="X593" i="1" s="1"/>
  <c r="AE18" i="1"/>
  <c r="N385" i="1"/>
  <c r="N627" i="1"/>
  <c r="H102" i="1"/>
  <c r="H624" i="1"/>
  <c r="W10" i="1"/>
  <c r="X10" i="1" s="1"/>
  <c r="N384" i="1"/>
  <c r="L627" i="1"/>
  <c r="N212" i="1"/>
  <c r="O33" i="1"/>
  <c r="O529" i="1" s="1"/>
  <c r="F307" i="4" s="1"/>
  <c r="O384" i="1"/>
  <c r="N242" i="1"/>
  <c r="N640" i="1" s="1"/>
  <c r="N405" i="1" s="1"/>
  <c r="N416" i="1" s="1"/>
  <c r="H167" i="1"/>
  <c r="H176" i="1" s="1"/>
  <c r="H179" i="1" s="1"/>
  <c r="L385" i="1"/>
  <c r="N58" i="1"/>
  <c r="N167" i="1"/>
  <c r="N176" i="1" s="1"/>
  <c r="N179" i="1" s="1"/>
  <c r="G471" i="4"/>
  <c r="W635" i="1"/>
  <c r="X635" i="1" s="1"/>
  <c r="O634" i="1"/>
  <c r="W634" i="1" s="1"/>
  <c r="X634" i="1" s="1"/>
  <c r="U242" i="1"/>
  <c r="U640" i="1" s="1"/>
  <c r="U627" i="1"/>
  <c r="U58" i="1"/>
  <c r="U384" i="1"/>
  <c r="U385" i="1"/>
  <c r="U622" i="1"/>
  <c r="U212" i="1"/>
  <c r="H622" i="1"/>
  <c r="L384" i="1"/>
  <c r="L212" i="1"/>
  <c r="L213" i="1"/>
  <c r="L414" i="1"/>
  <c r="L242" i="1"/>
  <c r="L640" i="1" s="1"/>
  <c r="L58" i="1"/>
  <c r="H58" i="1"/>
  <c r="O414" i="1"/>
  <c r="O242" i="1"/>
  <c r="O640" i="1" s="1"/>
  <c r="O622" i="1"/>
  <c r="O212" i="1"/>
  <c r="W636" i="1"/>
  <c r="X636" i="1" s="1"/>
  <c r="H627" i="1"/>
  <c r="H242" i="1"/>
  <c r="H640" i="1" s="1"/>
  <c r="H233" i="1" s="1"/>
  <c r="H244" i="1" s="1"/>
  <c r="U33" i="1"/>
  <c r="U39" i="1" s="1"/>
  <c r="U106" i="1" s="1"/>
  <c r="W31" i="1"/>
  <c r="X31" i="1" s="1"/>
  <c r="M102" i="1"/>
  <c r="M33" i="1"/>
  <c r="M128" i="1" s="1"/>
  <c r="M627" i="1"/>
  <c r="M212" i="1"/>
  <c r="K480" i="4"/>
  <c r="C13" i="28" s="1"/>
  <c r="H414" i="1"/>
  <c r="U597" i="4"/>
  <c r="H213" i="1"/>
  <c r="H212" i="1"/>
  <c r="H33" i="1"/>
  <c r="H520" i="1" s="1"/>
  <c r="F40" i="29"/>
  <c r="G40" i="29"/>
  <c r="H40" i="29" s="1"/>
  <c r="I384" i="1"/>
  <c r="I242" i="1"/>
  <c r="I640" i="1" s="1"/>
  <c r="I212" i="1"/>
  <c r="I213" i="1"/>
  <c r="I33" i="1"/>
  <c r="I39" i="1" s="1"/>
  <c r="I106" i="1" s="1"/>
  <c r="I414" i="1"/>
  <c r="I385" i="1"/>
  <c r="I627" i="1"/>
  <c r="I58" i="1"/>
  <c r="I622" i="1"/>
  <c r="S565" i="4"/>
  <c r="V601" i="4"/>
  <c r="T565" i="4"/>
  <c r="R565" i="4"/>
  <c r="N565" i="4"/>
  <c r="G565" i="4"/>
  <c r="U586" i="4"/>
  <c r="H495" i="4"/>
  <c r="H504" i="4"/>
  <c r="I2" i="4"/>
  <c r="H469" i="4"/>
  <c r="H467" i="4"/>
  <c r="H566" i="4"/>
  <c r="H565" i="4"/>
  <c r="H466" i="4"/>
  <c r="H468" i="4"/>
  <c r="H475" i="4"/>
  <c r="G562" i="4"/>
  <c r="N37" i="27" s="1"/>
  <c r="X505" i="1"/>
  <c r="W514" i="1"/>
  <c r="X514" i="1" s="1"/>
  <c r="K562" i="4"/>
  <c r="G348" i="1"/>
  <c r="G333" i="1"/>
  <c r="F41" i="1"/>
  <c r="Q39" i="1"/>
  <c r="Q106" i="1" s="1"/>
  <c r="K639" i="1" l="1"/>
  <c r="K365" i="1" s="1"/>
  <c r="K387" i="1" s="1"/>
  <c r="K389" i="1" s="1"/>
  <c r="Q405" i="1"/>
  <c r="I476" i="4"/>
  <c r="I474" i="4"/>
  <c r="I477" i="4"/>
  <c r="K564" i="4"/>
  <c r="N37" i="34"/>
  <c r="Q531" i="1"/>
  <c r="F353" i="4" s="1"/>
  <c r="G353" i="4" s="1"/>
  <c r="Q128" i="1"/>
  <c r="R520" i="1"/>
  <c r="V597" i="4"/>
  <c r="M405" i="1"/>
  <c r="M416" i="1" s="1"/>
  <c r="Q111" i="1"/>
  <c r="R39" i="1"/>
  <c r="R106" i="1" s="1"/>
  <c r="V60" i="1"/>
  <c r="G531" i="1"/>
  <c r="F330" i="4" s="1"/>
  <c r="G122" i="1"/>
  <c r="V112" i="1"/>
  <c r="G517" i="1"/>
  <c r="G112" i="1"/>
  <c r="G529" i="1"/>
  <c r="F286" i="4" s="1"/>
  <c r="G121" i="1"/>
  <c r="G111" i="1"/>
  <c r="G129" i="1"/>
  <c r="G527" i="1"/>
  <c r="F242" i="4" s="1"/>
  <c r="G519" i="1"/>
  <c r="G37" i="1"/>
  <c r="G520" i="1"/>
  <c r="G623" i="1"/>
  <c r="G38" i="1"/>
  <c r="G626" i="1" s="1"/>
  <c r="G39" i="1"/>
  <c r="G106" i="1" s="1"/>
  <c r="G130" i="1"/>
  <c r="G128" i="1"/>
  <c r="G631" i="1"/>
  <c r="G60" i="1"/>
  <c r="G59" i="1"/>
  <c r="G117" i="1"/>
  <c r="G131" i="1"/>
  <c r="V520" i="1"/>
  <c r="V639" i="1"/>
  <c r="V365" i="1" s="1"/>
  <c r="V387" i="1" s="1"/>
  <c r="V389" i="1" s="1"/>
  <c r="Q520" i="1"/>
  <c r="Q122" i="1"/>
  <c r="J117" i="1"/>
  <c r="J129" i="1"/>
  <c r="Q38" i="1"/>
  <c r="Q460" i="1" s="1"/>
  <c r="Q131" i="1"/>
  <c r="J519" i="1"/>
  <c r="J527" i="1"/>
  <c r="F248" i="4" s="1"/>
  <c r="S248" i="4" s="1"/>
  <c r="Q517" i="1"/>
  <c r="R122" i="1"/>
  <c r="V405" i="1"/>
  <c r="V416" i="1" s="1"/>
  <c r="T130" i="1"/>
  <c r="K59" i="1"/>
  <c r="K130" i="1"/>
  <c r="K623" i="1"/>
  <c r="K122" i="1"/>
  <c r="K527" i="1"/>
  <c r="F252" i="4" s="1"/>
  <c r="T252" i="4" s="1"/>
  <c r="K131" i="1"/>
  <c r="K39" i="1"/>
  <c r="K106" i="1" s="1"/>
  <c r="K128" i="1"/>
  <c r="K531" i="1"/>
  <c r="F340" i="4" s="1"/>
  <c r="K340" i="4" s="1"/>
  <c r="K38" i="1"/>
  <c r="K626" i="1" s="1"/>
  <c r="K517" i="1"/>
  <c r="K111" i="1"/>
  <c r="J233" i="1"/>
  <c r="J244" i="1" s="1"/>
  <c r="P179" i="1"/>
  <c r="W110" i="1"/>
  <c r="X110" i="1" s="1"/>
  <c r="U129" i="1"/>
  <c r="U623" i="1"/>
  <c r="U529" i="1"/>
  <c r="F320" i="4" s="1"/>
  <c r="N320" i="4" s="1"/>
  <c r="V517" i="1"/>
  <c r="Q60" i="1"/>
  <c r="Q117" i="1"/>
  <c r="Q130" i="1"/>
  <c r="R517" i="1"/>
  <c r="R129" i="1"/>
  <c r="R60" i="1"/>
  <c r="J60" i="1"/>
  <c r="Q631" i="1"/>
  <c r="Q37" i="1"/>
  <c r="Q518" i="1"/>
  <c r="V111" i="1"/>
  <c r="J520" i="1"/>
  <c r="J38" i="1"/>
  <c r="J105" i="1" s="1"/>
  <c r="R128" i="1"/>
  <c r="R59" i="1"/>
  <c r="R131" i="1"/>
  <c r="J623" i="1"/>
  <c r="J111" i="1"/>
  <c r="R38" i="1"/>
  <c r="R105" i="1" s="1"/>
  <c r="R37" i="1"/>
  <c r="J531" i="1"/>
  <c r="F336" i="4" s="1"/>
  <c r="N336" i="4" s="1"/>
  <c r="Q527" i="1"/>
  <c r="F265" i="4" s="1"/>
  <c r="H265" i="4" s="1"/>
  <c r="Q112" i="1"/>
  <c r="Q129" i="1"/>
  <c r="J631" i="1"/>
  <c r="J59" i="1"/>
  <c r="J130" i="1"/>
  <c r="J37" i="1"/>
  <c r="J39" i="1"/>
  <c r="J106" i="1" s="1"/>
  <c r="R121" i="1"/>
  <c r="R518" i="1"/>
  <c r="R531" i="1"/>
  <c r="F354" i="4" s="1"/>
  <c r="S351" i="1"/>
  <c r="J518" i="1"/>
  <c r="R527" i="1"/>
  <c r="F266" i="4" s="1"/>
  <c r="N266" i="4" s="1"/>
  <c r="V527" i="1"/>
  <c r="F279" i="4" s="1"/>
  <c r="G279" i="4" s="1"/>
  <c r="Q59" i="1"/>
  <c r="Q623" i="1"/>
  <c r="Q519" i="1"/>
  <c r="J121" i="1"/>
  <c r="J131" i="1"/>
  <c r="J529" i="1"/>
  <c r="F292" i="4" s="1"/>
  <c r="R130" i="1"/>
  <c r="R117" i="1"/>
  <c r="R111" i="1"/>
  <c r="V529" i="1"/>
  <c r="F323" i="4" s="1"/>
  <c r="H323" i="4" s="1"/>
  <c r="Q121" i="1"/>
  <c r="J128" i="1"/>
  <c r="J122" i="1"/>
  <c r="J112" i="1"/>
  <c r="R519" i="1"/>
  <c r="R631" i="1"/>
  <c r="R112" i="1"/>
  <c r="R623" i="1"/>
  <c r="L112" i="1"/>
  <c r="L527" i="1"/>
  <c r="F253" i="4" s="1"/>
  <c r="L129" i="1"/>
  <c r="L131" i="1"/>
  <c r="L38" i="1"/>
  <c r="L105" i="1" s="1"/>
  <c r="L128" i="1"/>
  <c r="L60" i="1"/>
  <c r="L37" i="1"/>
  <c r="L529" i="1"/>
  <c r="F297" i="4" s="1"/>
  <c r="G297" i="4" s="1"/>
  <c r="L121" i="1"/>
  <c r="T405" i="1"/>
  <c r="T416" i="1" s="1"/>
  <c r="M639" i="1"/>
  <c r="M365" i="1" s="1"/>
  <c r="M387" i="1" s="1"/>
  <c r="M389" i="1" s="1"/>
  <c r="R405" i="1"/>
  <c r="R416" i="1" s="1"/>
  <c r="L631" i="1"/>
  <c r="K529" i="1"/>
  <c r="F296" i="4" s="1"/>
  <c r="H296" i="4" s="1"/>
  <c r="K129" i="1"/>
  <c r="K233" i="1"/>
  <c r="K244" i="1" s="1"/>
  <c r="K631" i="1"/>
  <c r="K520" i="1"/>
  <c r="K117" i="1"/>
  <c r="L520" i="1"/>
  <c r="K519" i="1"/>
  <c r="K37" i="1"/>
  <c r="K121" i="1"/>
  <c r="L519" i="1"/>
  <c r="L111" i="1"/>
  <c r="K60" i="1"/>
  <c r="K518" i="1"/>
  <c r="Q639" i="1"/>
  <c r="Q365" i="1" s="1"/>
  <c r="Q387" i="1" s="1"/>
  <c r="Q416" i="1"/>
  <c r="W200" i="1"/>
  <c r="X200" i="1" s="1"/>
  <c r="K416" i="1"/>
  <c r="J416" i="1"/>
  <c r="S518" i="1"/>
  <c r="S60" i="1"/>
  <c r="M179" i="1"/>
  <c r="S128" i="1"/>
  <c r="S519" i="1"/>
  <c r="L517" i="1"/>
  <c r="L39" i="1"/>
  <c r="L106" i="1" s="1"/>
  <c r="U639" i="1"/>
  <c r="U365" i="1" s="1"/>
  <c r="U387" i="1" s="1"/>
  <c r="U389" i="1" s="1"/>
  <c r="I531" i="1"/>
  <c r="F335" i="4" s="1"/>
  <c r="L623" i="1"/>
  <c r="L531" i="1"/>
  <c r="F341" i="4" s="1"/>
  <c r="L518" i="1"/>
  <c r="L122" i="1"/>
  <c r="R639" i="1"/>
  <c r="R365" i="1" s="1"/>
  <c r="R387" i="1" s="1"/>
  <c r="R389" i="1" s="1"/>
  <c r="L179" i="1"/>
  <c r="L130" i="1"/>
  <c r="L59" i="1"/>
  <c r="S111" i="1"/>
  <c r="S112" i="1"/>
  <c r="S531" i="1"/>
  <c r="F358" i="4" s="1"/>
  <c r="S122" i="1"/>
  <c r="S131" i="1"/>
  <c r="S527" i="1"/>
  <c r="F270" i="4" s="1"/>
  <c r="S121" i="1"/>
  <c r="S59" i="1"/>
  <c r="S37" i="1"/>
  <c r="S117" i="1"/>
  <c r="S130" i="1"/>
  <c r="S623" i="1"/>
  <c r="S631" i="1"/>
  <c r="S38" i="1"/>
  <c r="S105" i="1" s="1"/>
  <c r="S529" i="1"/>
  <c r="F314" i="4" s="1"/>
  <c r="S517" i="1"/>
  <c r="S129" i="1"/>
  <c r="V351" i="1"/>
  <c r="I520" i="1"/>
  <c r="O112" i="1"/>
  <c r="O128" i="1"/>
  <c r="O37" i="1"/>
  <c r="N517" i="1"/>
  <c r="O38" i="1"/>
  <c r="O460" i="1" s="1"/>
  <c r="N623" i="1"/>
  <c r="O527" i="1"/>
  <c r="F263" i="4" s="1"/>
  <c r="T263" i="4" s="1"/>
  <c r="N37" i="1"/>
  <c r="N631" i="1"/>
  <c r="P639" i="1"/>
  <c r="P365" i="1" s="1"/>
  <c r="P387" i="1" s="1"/>
  <c r="P389" i="1" s="1"/>
  <c r="O520" i="1"/>
  <c r="O531" i="1"/>
  <c r="F351" i="4" s="1"/>
  <c r="K351" i="4" s="1"/>
  <c r="N117" i="1"/>
  <c r="N519" i="1"/>
  <c r="O623" i="1"/>
  <c r="O60" i="1"/>
  <c r="N520" i="1"/>
  <c r="N529" i="1"/>
  <c r="F304" i="4" s="1"/>
  <c r="K304" i="4" s="1"/>
  <c r="O39" i="1"/>
  <c r="O106" i="1" s="1"/>
  <c r="O519" i="1"/>
  <c r="O121" i="1"/>
  <c r="O130" i="1"/>
  <c r="N128" i="1"/>
  <c r="N130" i="1"/>
  <c r="O59" i="1"/>
  <c r="N39" i="1"/>
  <c r="N106" i="1" s="1"/>
  <c r="O631" i="1"/>
  <c r="O131" i="1"/>
  <c r="N121" i="1"/>
  <c r="O111" i="1"/>
  <c r="O518" i="1"/>
  <c r="N518" i="1"/>
  <c r="S639" i="1"/>
  <c r="S365" i="1" s="1"/>
  <c r="S387" i="1" s="1"/>
  <c r="S389" i="1" s="1"/>
  <c r="P517" i="1"/>
  <c r="J639" i="1"/>
  <c r="J365" i="1" s="1"/>
  <c r="J387" i="1" s="1"/>
  <c r="P520" i="1"/>
  <c r="P39" i="1"/>
  <c r="P106" i="1" s="1"/>
  <c r="I38" i="1"/>
  <c r="I626" i="1" s="1"/>
  <c r="W197" i="1"/>
  <c r="X197" i="1" s="1"/>
  <c r="I60" i="1"/>
  <c r="V117" i="1"/>
  <c r="I59" i="1"/>
  <c r="V38" i="1"/>
  <c r="V105" i="1" s="1"/>
  <c r="I130" i="1"/>
  <c r="G639" i="1"/>
  <c r="T193" i="1" s="1"/>
  <c r="T215" i="1" s="1"/>
  <c r="W339" i="1"/>
  <c r="X339" i="1" s="1"/>
  <c r="P519" i="1"/>
  <c r="P37" i="1"/>
  <c r="P130" i="1"/>
  <c r="P529" i="1"/>
  <c r="F308" i="4" s="1"/>
  <c r="T308" i="4" s="1"/>
  <c r="P122" i="1"/>
  <c r="P117" i="1"/>
  <c r="P129" i="1"/>
  <c r="P531" i="1"/>
  <c r="F352" i="4" s="1"/>
  <c r="H352" i="4" s="1"/>
  <c r="N129" i="1"/>
  <c r="N131" i="1"/>
  <c r="P121" i="1"/>
  <c r="P60" i="1"/>
  <c r="P111" i="1"/>
  <c r="P518" i="1"/>
  <c r="P623" i="1"/>
  <c r="P38" i="1"/>
  <c r="P105" i="1" s="1"/>
  <c r="P128" i="1"/>
  <c r="P131" i="1"/>
  <c r="M112" i="1"/>
  <c r="P631" i="1"/>
  <c r="P59" i="1"/>
  <c r="P112" i="1"/>
  <c r="N112" i="1"/>
  <c r="N38" i="1"/>
  <c r="N460" i="1" s="1"/>
  <c r="T639" i="1"/>
  <c r="T365" i="1" s="1"/>
  <c r="T387" i="1" s="1"/>
  <c r="W372" i="1"/>
  <c r="X372" i="1" s="1"/>
  <c r="T527" i="1"/>
  <c r="F273" i="4" s="1"/>
  <c r="R273" i="4" s="1"/>
  <c r="H527" i="1"/>
  <c r="F243" i="4" s="1"/>
  <c r="K243" i="4" s="1"/>
  <c r="N111" i="1"/>
  <c r="N122" i="1"/>
  <c r="N60" i="1"/>
  <c r="S39" i="1"/>
  <c r="S106" i="1" s="1"/>
  <c r="N639" i="1"/>
  <c r="N365" i="1" s="1"/>
  <c r="N387" i="1" s="1"/>
  <c r="T131" i="1"/>
  <c r="T531" i="1"/>
  <c r="F361" i="4" s="1"/>
  <c r="S361" i="4" s="1"/>
  <c r="N531" i="1"/>
  <c r="F348" i="4" s="1"/>
  <c r="N348" i="4" s="1"/>
  <c r="N59" i="1"/>
  <c r="T117" i="1"/>
  <c r="H112" i="1"/>
  <c r="H59" i="1"/>
  <c r="T529" i="1"/>
  <c r="F317" i="4" s="1"/>
  <c r="H317" i="4" s="1"/>
  <c r="T623" i="1"/>
  <c r="H39" i="1"/>
  <c r="H106" i="1" s="1"/>
  <c r="T121" i="1"/>
  <c r="T112" i="1"/>
  <c r="U117" i="1"/>
  <c r="T517" i="1"/>
  <c r="T60" i="1"/>
  <c r="T37" i="1"/>
  <c r="H129" i="1"/>
  <c r="H531" i="1"/>
  <c r="F331" i="4" s="1"/>
  <c r="R331" i="4" s="1"/>
  <c r="H623" i="1"/>
  <c r="T122" i="1"/>
  <c r="T111" i="1"/>
  <c r="H130" i="1"/>
  <c r="H60" i="1"/>
  <c r="H529" i="1"/>
  <c r="F287" i="4" s="1"/>
  <c r="N287" i="4" s="1"/>
  <c r="S416" i="1"/>
  <c r="T631" i="1"/>
  <c r="T518" i="1"/>
  <c r="T39" i="1"/>
  <c r="T106" i="1" s="1"/>
  <c r="T59" i="1"/>
  <c r="H519" i="1"/>
  <c r="H122" i="1"/>
  <c r="T129" i="1"/>
  <c r="T128" i="1"/>
  <c r="P405" i="1"/>
  <c r="P416" i="1" s="1"/>
  <c r="T519" i="1"/>
  <c r="T520" i="1"/>
  <c r="W148" i="1"/>
  <c r="X148" i="1" s="1"/>
  <c r="S233" i="1"/>
  <c r="S244" i="1" s="1"/>
  <c r="W369" i="1"/>
  <c r="X369" i="1" s="1"/>
  <c r="W624" i="1"/>
  <c r="X624" i="1" s="1"/>
  <c r="V519" i="1"/>
  <c r="V39" i="1"/>
  <c r="V106" i="1" s="1"/>
  <c r="V59" i="1"/>
  <c r="W348" i="1"/>
  <c r="X348" i="1" s="1"/>
  <c r="V130" i="1"/>
  <c r="V623" i="1"/>
  <c r="V122" i="1"/>
  <c r="V129" i="1"/>
  <c r="M38" i="1"/>
  <c r="M460" i="1" s="1"/>
  <c r="V531" i="1"/>
  <c r="F367" i="4" s="1"/>
  <c r="T367" i="4" s="1"/>
  <c r="M519" i="1"/>
  <c r="V131" i="1"/>
  <c r="V37" i="1"/>
  <c r="M520" i="1"/>
  <c r="V121" i="1"/>
  <c r="M117" i="1"/>
  <c r="V518" i="1"/>
  <c r="V128" i="1"/>
  <c r="M39" i="1"/>
  <c r="M106" i="1" s="1"/>
  <c r="M531" i="1"/>
  <c r="F345" i="4" s="1"/>
  <c r="T345" i="4" s="1"/>
  <c r="M131" i="1"/>
  <c r="O639" i="1"/>
  <c r="O365" i="1" s="1"/>
  <c r="O387" i="1" s="1"/>
  <c r="O389" i="1" s="1"/>
  <c r="W33" i="1"/>
  <c r="X33" i="1" s="1"/>
  <c r="N233" i="1"/>
  <c r="N244" i="1" s="1"/>
  <c r="W384" i="1"/>
  <c r="X384" i="1" s="1"/>
  <c r="W385" i="1"/>
  <c r="X385" i="1" s="1"/>
  <c r="U60" i="1"/>
  <c r="U631" i="1"/>
  <c r="U128" i="1"/>
  <c r="U517" i="1"/>
  <c r="U130" i="1"/>
  <c r="U527" i="1"/>
  <c r="F276" i="4" s="1"/>
  <c r="H276" i="4" s="1"/>
  <c r="U518" i="1"/>
  <c r="U131" i="1"/>
  <c r="Y593" i="1"/>
  <c r="U38" i="1"/>
  <c r="U105" i="1" s="1"/>
  <c r="U108" i="1" s="1"/>
  <c r="U59" i="1"/>
  <c r="U531" i="1"/>
  <c r="F364" i="4" s="1"/>
  <c r="K364" i="4" s="1"/>
  <c r="U111" i="1"/>
  <c r="U37" i="1"/>
  <c r="U122" i="1"/>
  <c r="U112" i="1"/>
  <c r="U121" i="1"/>
  <c r="U519" i="1"/>
  <c r="U520" i="1"/>
  <c r="W320" i="1"/>
  <c r="X320" i="1" s="1"/>
  <c r="G480" i="4"/>
  <c r="X637" i="1"/>
  <c r="I122" i="1"/>
  <c r="I518" i="1"/>
  <c r="I623" i="1"/>
  <c r="I131" i="1"/>
  <c r="W167" i="1"/>
  <c r="X167" i="1" s="1"/>
  <c r="W627" i="1"/>
  <c r="X627" i="1" s="1"/>
  <c r="I128" i="1"/>
  <c r="I529" i="1"/>
  <c r="F291" i="4" s="1"/>
  <c r="N291" i="4" s="1"/>
  <c r="I631" i="1"/>
  <c r="I519" i="1"/>
  <c r="W176" i="1"/>
  <c r="X176" i="1" s="1"/>
  <c r="I111" i="1"/>
  <c r="I117" i="1"/>
  <c r="I527" i="1"/>
  <c r="F247" i="4" s="1"/>
  <c r="I247" i="4" s="1"/>
  <c r="I37" i="1"/>
  <c r="I129" i="1"/>
  <c r="I112" i="1"/>
  <c r="I517" i="1"/>
  <c r="I121" i="1"/>
  <c r="W58" i="1"/>
  <c r="X58" i="1" s="1"/>
  <c r="M517" i="1"/>
  <c r="M122" i="1"/>
  <c r="L639" i="1"/>
  <c r="L365" i="1" s="1"/>
  <c r="L387" i="1" s="1"/>
  <c r="L389" i="1" s="1"/>
  <c r="M129" i="1"/>
  <c r="M59" i="1"/>
  <c r="M631" i="1"/>
  <c r="M529" i="1"/>
  <c r="F301" i="4" s="1"/>
  <c r="M60" i="1"/>
  <c r="M121" i="1"/>
  <c r="M111" i="1"/>
  <c r="M37" i="1"/>
  <c r="M527" i="1"/>
  <c r="F257" i="4" s="1"/>
  <c r="T257" i="4" s="1"/>
  <c r="M130" i="1"/>
  <c r="W622" i="1"/>
  <c r="X622" i="1" s="1"/>
  <c r="W102" i="1"/>
  <c r="X102" i="1" s="1"/>
  <c r="M623" i="1"/>
  <c r="M518" i="1"/>
  <c r="H405" i="1"/>
  <c r="H416" i="1" s="1"/>
  <c r="W414" i="1"/>
  <c r="X414" i="1" s="1"/>
  <c r="W242" i="1"/>
  <c r="X242" i="1" s="1"/>
  <c r="O117" i="1"/>
  <c r="H631" i="1"/>
  <c r="H117" i="1"/>
  <c r="H517" i="1"/>
  <c r="W213" i="1"/>
  <c r="X213" i="1" s="1"/>
  <c r="H111" i="1"/>
  <c r="H37" i="1"/>
  <c r="O129" i="1"/>
  <c r="O517" i="1"/>
  <c r="O122" i="1"/>
  <c r="H518" i="1"/>
  <c r="W212" i="1"/>
  <c r="X212" i="1" s="1"/>
  <c r="H131" i="1"/>
  <c r="H128" i="1"/>
  <c r="O233" i="1"/>
  <c r="O244" i="1" s="1"/>
  <c r="O405" i="1"/>
  <c r="O416" i="1" s="1"/>
  <c r="U405" i="1"/>
  <c r="U416" i="1" s="1"/>
  <c r="U233" i="1"/>
  <c r="U244" i="1" s="1"/>
  <c r="L233" i="1"/>
  <c r="L244" i="1" s="1"/>
  <c r="L405" i="1"/>
  <c r="L416" i="1" s="1"/>
  <c r="I639" i="1"/>
  <c r="I365" i="1" s="1"/>
  <c r="I387" i="1" s="1"/>
  <c r="I389" i="1" s="1"/>
  <c r="H121" i="1"/>
  <c r="H38" i="1"/>
  <c r="H639" i="1"/>
  <c r="H365" i="1" s="1"/>
  <c r="H387" i="1" s="1"/>
  <c r="H389" i="1" s="1"/>
  <c r="H478" i="4"/>
  <c r="I566" i="4"/>
  <c r="I565" i="4"/>
  <c r="I466" i="4"/>
  <c r="I504" i="4"/>
  <c r="I495" i="4"/>
  <c r="I475" i="4"/>
  <c r="I469" i="4"/>
  <c r="I468" i="4"/>
  <c r="I467" i="4"/>
  <c r="J2" i="4"/>
  <c r="J310" i="4" s="1"/>
  <c r="I405" i="1"/>
  <c r="I416" i="1" s="1"/>
  <c r="I233" i="1"/>
  <c r="I244" i="1" s="1"/>
  <c r="H529" i="4"/>
  <c r="H471" i="4"/>
  <c r="G564" i="4"/>
  <c r="C28" i="28"/>
  <c r="T105" i="1"/>
  <c r="T288" i="1"/>
  <c r="T626" i="1"/>
  <c r="T460" i="1"/>
  <c r="I309" i="4"/>
  <c r="J309" i="4"/>
  <c r="G309" i="4"/>
  <c r="K309" i="4"/>
  <c r="N309" i="4"/>
  <c r="H309" i="4"/>
  <c r="H307" i="4"/>
  <c r="R307" i="4"/>
  <c r="T307" i="4"/>
  <c r="G307" i="4"/>
  <c r="J307" i="4"/>
  <c r="N307" i="4"/>
  <c r="I307" i="4"/>
  <c r="K307" i="4"/>
  <c r="S307" i="4"/>
  <c r="S264" i="4"/>
  <c r="K264" i="4"/>
  <c r="H264" i="4"/>
  <c r="R264" i="4"/>
  <c r="G264" i="4"/>
  <c r="N264" i="4"/>
  <c r="I264" i="4"/>
  <c r="T264" i="4"/>
  <c r="J264" i="4"/>
  <c r="F63" i="1"/>
  <c r="F97" i="1" s="1"/>
  <c r="F133" i="1" s="1"/>
  <c r="G310" i="4"/>
  <c r="K310" i="4"/>
  <c r="H310" i="4"/>
  <c r="I310" i="4"/>
  <c r="N310" i="4"/>
  <c r="G351" i="1"/>
  <c r="W333" i="1"/>
  <c r="G405" i="1"/>
  <c r="G233" i="1"/>
  <c r="W640" i="1"/>
  <c r="X640" i="1" s="1"/>
  <c r="G179" i="1"/>
  <c r="W161" i="1"/>
  <c r="K353" i="4"/>
  <c r="N353" i="4"/>
  <c r="T260" i="4"/>
  <c r="R260" i="4"/>
  <c r="H260" i="4"/>
  <c r="N260" i="4"/>
  <c r="J260" i="4"/>
  <c r="I260" i="4"/>
  <c r="G260" i="4"/>
  <c r="K260" i="4"/>
  <c r="S260" i="4"/>
  <c r="I353" i="4" l="1"/>
  <c r="J353" i="4"/>
  <c r="H353" i="4"/>
  <c r="J292" i="4"/>
  <c r="J335" i="4"/>
  <c r="J253" i="4"/>
  <c r="J354" i="4"/>
  <c r="J476" i="4"/>
  <c r="J474" i="4"/>
  <c r="J301" i="4"/>
  <c r="C9" i="28"/>
  <c r="C24" i="28" s="1"/>
  <c r="I340" i="4"/>
  <c r="K335" i="4"/>
  <c r="V61" i="1"/>
  <c r="V628" i="1" s="1"/>
  <c r="G335" i="4"/>
  <c r="H253" i="4"/>
  <c r="T335" i="4"/>
  <c r="J252" i="4"/>
  <c r="K252" i="4"/>
  <c r="G61" i="1"/>
  <c r="G628" i="1" s="1"/>
  <c r="R108" i="1"/>
  <c r="R630" i="1" s="1"/>
  <c r="G265" i="4"/>
  <c r="Q105" i="1"/>
  <c r="Q108" i="1" s="1"/>
  <c r="Q113" i="1" s="1"/>
  <c r="J323" i="4"/>
  <c r="N340" i="4"/>
  <c r="J265" i="4"/>
  <c r="I265" i="4"/>
  <c r="G323" i="4"/>
  <c r="J340" i="4"/>
  <c r="R61" i="1"/>
  <c r="R628" i="1" s="1"/>
  <c r="K265" i="4"/>
  <c r="R340" i="4"/>
  <c r="Q626" i="1"/>
  <c r="K323" i="4"/>
  <c r="Q288" i="1"/>
  <c r="N265" i="4"/>
  <c r="R323" i="4"/>
  <c r="T340" i="4"/>
  <c r="N323" i="4"/>
  <c r="H340" i="4"/>
  <c r="T323" i="4"/>
  <c r="G340" i="4"/>
  <c r="F342" i="4"/>
  <c r="S323" i="4"/>
  <c r="S340" i="4"/>
  <c r="K61" i="1"/>
  <c r="K628" i="1" s="1"/>
  <c r="Q41" i="1"/>
  <c r="F33" i="4" s="1"/>
  <c r="I323" i="4"/>
  <c r="G365" i="1"/>
  <c r="G387" i="1" s="1"/>
  <c r="I61" i="1"/>
  <c r="I628" i="1" s="1"/>
  <c r="H248" i="4"/>
  <c r="T248" i="4"/>
  <c r="I248" i="4"/>
  <c r="K248" i="4"/>
  <c r="N248" i="4"/>
  <c r="R248" i="4"/>
  <c r="J248" i="4"/>
  <c r="G248" i="4"/>
  <c r="G522" i="1"/>
  <c r="F197" i="4" s="1"/>
  <c r="G105" i="1"/>
  <c r="G108" i="1" s="1"/>
  <c r="G288" i="1"/>
  <c r="G41" i="1"/>
  <c r="F9" i="4" s="1"/>
  <c r="G460" i="1"/>
  <c r="K105" i="1"/>
  <c r="K108" i="1" s="1"/>
  <c r="T296" i="4"/>
  <c r="G336" i="4"/>
  <c r="J108" i="1"/>
  <c r="J115" i="1" s="1"/>
  <c r="J460" i="1"/>
  <c r="K296" i="4"/>
  <c r="I296" i="4"/>
  <c r="T336" i="4"/>
  <c r="J296" i="4"/>
  <c r="S336" i="4"/>
  <c r="G296" i="4"/>
  <c r="G298" i="4" s="1"/>
  <c r="H336" i="4"/>
  <c r="N296" i="4"/>
  <c r="R336" i="4"/>
  <c r="J288" i="1"/>
  <c r="S296" i="4"/>
  <c r="I336" i="4"/>
  <c r="J626" i="1"/>
  <c r="R296" i="4"/>
  <c r="J336" i="4"/>
  <c r="K336" i="4"/>
  <c r="K460" i="1"/>
  <c r="I320" i="4"/>
  <c r="T297" i="4"/>
  <c r="K288" i="1"/>
  <c r="S522" i="1"/>
  <c r="F225" i="4" s="1"/>
  <c r="L61" i="1"/>
  <c r="L628" i="1" s="1"/>
  <c r="U626" i="1"/>
  <c r="M193" i="1"/>
  <c r="M215" i="1" s="1"/>
  <c r="M246" i="1" s="1"/>
  <c r="Q61" i="1"/>
  <c r="Q628" i="1" s="1"/>
  <c r="O288" i="1"/>
  <c r="R301" i="4"/>
  <c r="V418" i="1"/>
  <c r="V642" i="1" s="1"/>
  <c r="G292" i="4"/>
  <c r="H292" i="4"/>
  <c r="N252" i="4"/>
  <c r="R292" i="4"/>
  <c r="I292" i="4"/>
  <c r="H252" i="4"/>
  <c r="I335" i="4"/>
  <c r="I193" i="1"/>
  <c r="I215" i="1" s="1"/>
  <c r="I246" i="1" s="1"/>
  <c r="U193" i="1"/>
  <c r="U215" i="1" s="1"/>
  <c r="U217" i="1" s="1"/>
  <c r="O105" i="1"/>
  <c r="O108" i="1" s="1"/>
  <c r="O630" i="1" s="1"/>
  <c r="S252" i="4"/>
  <c r="S292" i="4"/>
  <c r="H335" i="4"/>
  <c r="O193" i="1"/>
  <c r="O215" i="1" s="1"/>
  <c r="O246" i="1" s="1"/>
  <c r="L193" i="1"/>
  <c r="L215" i="1" s="1"/>
  <c r="L217" i="1" s="1"/>
  <c r="O626" i="1"/>
  <c r="P108" i="1"/>
  <c r="P115" i="1" s="1"/>
  <c r="R252" i="4"/>
  <c r="J193" i="1"/>
  <c r="J215" i="1" s="1"/>
  <c r="J246" i="1" s="1"/>
  <c r="K193" i="1"/>
  <c r="K215" i="1" s="1"/>
  <c r="K217" i="1" s="1"/>
  <c r="T292" i="4"/>
  <c r="N335" i="4"/>
  <c r="N337" i="4" s="1"/>
  <c r="G252" i="4"/>
  <c r="K292" i="4"/>
  <c r="F337" i="4"/>
  <c r="R193" i="1"/>
  <c r="R215" i="1" s="1"/>
  <c r="R217" i="1" s="1"/>
  <c r="Q193" i="1"/>
  <c r="Q215" i="1" s="1"/>
  <c r="Q246" i="1" s="1"/>
  <c r="P193" i="1"/>
  <c r="P215" i="1" s="1"/>
  <c r="P246" i="1" s="1"/>
  <c r="H193" i="1"/>
  <c r="H215" i="1" s="1"/>
  <c r="H246" i="1" s="1"/>
  <c r="Q522" i="1"/>
  <c r="F220" i="4" s="1"/>
  <c r="J220" i="4" s="1"/>
  <c r="R335" i="4"/>
  <c r="S193" i="1"/>
  <c r="S215" i="1" s="1"/>
  <c r="S246" i="1" s="1"/>
  <c r="V193" i="1"/>
  <c r="V215" i="1" s="1"/>
  <c r="V217" i="1" s="1"/>
  <c r="N193" i="1"/>
  <c r="N215" i="1" s="1"/>
  <c r="N217" i="1" s="1"/>
  <c r="N292" i="4"/>
  <c r="N293" i="4" s="1"/>
  <c r="S335" i="4"/>
  <c r="I252" i="4"/>
  <c r="G193" i="1"/>
  <c r="G215" i="1" s="1"/>
  <c r="I331" i="4"/>
  <c r="J522" i="1"/>
  <c r="F203" i="4" s="1"/>
  <c r="T279" i="4"/>
  <c r="I279" i="4"/>
  <c r="K279" i="4"/>
  <c r="J41" i="1"/>
  <c r="F15" i="4" s="1"/>
  <c r="G15" i="4" s="1"/>
  <c r="R460" i="1"/>
  <c r="H266" i="4"/>
  <c r="F267" i="4"/>
  <c r="J279" i="4"/>
  <c r="K41" i="1"/>
  <c r="F19" i="4" s="1"/>
  <c r="S19" i="4" s="1"/>
  <c r="N279" i="4"/>
  <c r="H279" i="4"/>
  <c r="S279" i="4"/>
  <c r="R279" i="4"/>
  <c r="R522" i="1"/>
  <c r="F221" i="4" s="1"/>
  <c r="H221" i="4" s="1"/>
  <c r="F29" i="29" s="1"/>
  <c r="J61" i="1"/>
  <c r="J628" i="1" s="1"/>
  <c r="S253" i="4"/>
  <c r="H354" i="4"/>
  <c r="N253" i="4"/>
  <c r="K253" i="4"/>
  <c r="G354" i="4"/>
  <c r="I253" i="4"/>
  <c r="F254" i="4"/>
  <c r="I354" i="4"/>
  <c r="R253" i="4"/>
  <c r="K354" i="4"/>
  <c r="G253" i="4"/>
  <c r="N354" i="4"/>
  <c r="T253" i="4"/>
  <c r="T254" i="4" s="1"/>
  <c r="S320" i="4"/>
  <c r="T61" i="1"/>
  <c r="T628" i="1" s="1"/>
  <c r="G320" i="4"/>
  <c r="N61" i="1"/>
  <c r="N628" i="1" s="1"/>
  <c r="K297" i="4"/>
  <c r="J320" i="4"/>
  <c r="R320" i="4"/>
  <c r="H320" i="4"/>
  <c r="T320" i="4"/>
  <c r="S61" i="1"/>
  <c r="S628" i="1" s="1"/>
  <c r="R41" i="1"/>
  <c r="F34" i="4" s="1"/>
  <c r="H34" i="4" s="1"/>
  <c r="K320" i="4"/>
  <c r="H61" i="1"/>
  <c r="H628" i="1" s="1"/>
  <c r="I345" i="4"/>
  <c r="G266" i="4"/>
  <c r="K266" i="4"/>
  <c r="L626" i="1"/>
  <c r="R352" i="4"/>
  <c r="R626" i="1"/>
  <c r="R288" i="1"/>
  <c r="L288" i="1"/>
  <c r="I105" i="1"/>
  <c r="I108" i="1" s="1"/>
  <c r="I113" i="1" s="1"/>
  <c r="L460" i="1"/>
  <c r="J266" i="4"/>
  <c r="I266" i="4"/>
  <c r="Q418" i="1"/>
  <c r="Q642" i="1" s="1"/>
  <c r="R297" i="4"/>
  <c r="I297" i="4"/>
  <c r="H297" i="4"/>
  <c r="H298" i="4" s="1"/>
  <c r="F298" i="4"/>
  <c r="S297" i="4"/>
  <c r="J297" i="4"/>
  <c r="N297" i="4"/>
  <c r="K522" i="1"/>
  <c r="F207" i="4" s="1"/>
  <c r="J207" i="4" s="1"/>
  <c r="S263" i="4"/>
  <c r="S267" i="4" s="1"/>
  <c r="H341" i="4"/>
  <c r="N341" i="4"/>
  <c r="Q389" i="1"/>
  <c r="I341" i="4"/>
  <c r="R341" i="4"/>
  <c r="J263" i="4"/>
  <c r="S341" i="4"/>
  <c r="K263" i="4"/>
  <c r="L32" i="34" s="1"/>
  <c r="J341" i="4"/>
  <c r="I263" i="4"/>
  <c r="H263" i="4"/>
  <c r="K317" i="4"/>
  <c r="K341" i="4"/>
  <c r="K342" i="4" s="1"/>
  <c r="N263" i="4"/>
  <c r="S287" i="4"/>
  <c r="T341" i="4"/>
  <c r="G263" i="4"/>
  <c r="G341" i="4"/>
  <c r="R263" i="4"/>
  <c r="R267" i="4" s="1"/>
  <c r="S243" i="4"/>
  <c r="K418" i="1"/>
  <c r="K642" i="1" s="1"/>
  <c r="L522" i="1"/>
  <c r="F208" i="4" s="1"/>
  <c r="S208" i="4" s="1"/>
  <c r="O41" i="1"/>
  <c r="F31" i="4" s="1"/>
  <c r="S304" i="4"/>
  <c r="M418" i="1"/>
  <c r="M642" i="1" s="1"/>
  <c r="N308" i="4"/>
  <c r="N311" i="4" s="1"/>
  <c r="J308" i="4"/>
  <c r="J304" i="4"/>
  <c r="V288" i="1"/>
  <c r="J348" i="4"/>
  <c r="N257" i="4"/>
  <c r="I257" i="4"/>
  <c r="J257" i="4"/>
  <c r="H257" i="4"/>
  <c r="S257" i="4"/>
  <c r="K257" i="4"/>
  <c r="R257" i="4"/>
  <c r="G257" i="4"/>
  <c r="G243" i="4"/>
  <c r="N331" i="4"/>
  <c r="K308" i="4"/>
  <c r="K311" i="4" s="1"/>
  <c r="K348" i="4"/>
  <c r="G304" i="4"/>
  <c r="G348" i="4"/>
  <c r="R243" i="4"/>
  <c r="H331" i="4"/>
  <c r="R308" i="4"/>
  <c r="R311" i="4" s="1"/>
  <c r="R304" i="4"/>
  <c r="S348" i="4"/>
  <c r="T348" i="4"/>
  <c r="T243" i="4"/>
  <c r="K331" i="4"/>
  <c r="I308" i="4"/>
  <c r="I311" i="4" s="1"/>
  <c r="N304" i="4"/>
  <c r="H348" i="4"/>
  <c r="N243" i="4"/>
  <c r="F311" i="4"/>
  <c r="G331" i="4"/>
  <c r="H308" i="4"/>
  <c r="H311" i="4" s="1"/>
  <c r="I304" i="4"/>
  <c r="T304" i="4"/>
  <c r="I348" i="4"/>
  <c r="I243" i="4"/>
  <c r="J243" i="4"/>
  <c r="J331" i="4"/>
  <c r="S308" i="4"/>
  <c r="S311" i="4" s="1"/>
  <c r="H304" i="4"/>
  <c r="R348" i="4"/>
  <c r="H243" i="4"/>
  <c r="S331" i="4"/>
  <c r="G308" i="4"/>
  <c r="G311" i="4" s="1"/>
  <c r="T331" i="4"/>
  <c r="P61" i="1"/>
  <c r="P628" i="1" s="1"/>
  <c r="J418" i="1"/>
  <c r="J642" i="1" s="1"/>
  <c r="J389" i="1"/>
  <c r="V460" i="1"/>
  <c r="V626" i="1"/>
  <c r="S288" i="1"/>
  <c r="S108" i="1"/>
  <c r="S113" i="1" s="1"/>
  <c r="P418" i="1"/>
  <c r="P642" i="1" s="1"/>
  <c r="L108" i="1"/>
  <c r="L116" i="1" s="1"/>
  <c r="L41" i="1"/>
  <c r="F20" i="4" s="1"/>
  <c r="H20" i="4" s="1"/>
  <c r="S626" i="1"/>
  <c r="O522" i="1"/>
  <c r="F218" i="4" s="1"/>
  <c r="J218" i="4" s="1"/>
  <c r="L28" i="31" s="1"/>
  <c r="S351" i="4"/>
  <c r="U418" i="1"/>
  <c r="U642" i="1" s="1"/>
  <c r="O61" i="1"/>
  <c r="O628" i="1" s="1"/>
  <c r="S460" i="1"/>
  <c r="N41" i="1"/>
  <c r="N63" i="1" s="1"/>
  <c r="N285" i="1" s="1"/>
  <c r="P522" i="1"/>
  <c r="F219" i="4" s="1"/>
  <c r="J219" i="4" s="1"/>
  <c r="E28" i="31" s="1"/>
  <c r="H351" i="4"/>
  <c r="N276" i="4"/>
  <c r="G351" i="4"/>
  <c r="N351" i="4"/>
  <c r="I351" i="4"/>
  <c r="T351" i="4"/>
  <c r="R351" i="4"/>
  <c r="N522" i="1"/>
  <c r="F215" i="4" s="1"/>
  <c r="N215" i="4" s="1"/>
  <c r="J351" i="4"/>
  <c r="R418" i="1"/>
  <c r="R642" i="1" s="1"/>
  <c r="H301" i="4"/>
  <c r="I301" i="4"/>
  <c r="N301" i="4"/>
  <c r="G301" i="4"/>
  <c r="U460" i="1"/>
  <c r="T301" i="4"/>
  <c r="K301" i="4"/>
  <c r="U288" i="1"/>
  <c r="H273" i="4"/>
  <c r="R361" i="4"/>
  <c r="S301" i="4"/>
  <c r="M522" i="1"/>
  <c r="F212" i="4" s="1"/>
  <c r="I212" i="4" s="1"/>
  <c r="U41" i="1"/>
  <c r="F44" i="4" s="1"/>
  <c r="S41" i="1"/>
  <c r="F38" i="4" s="1"/>
  <c r="S367" i="4"/>
  <c r="N105" i="1"/>
  <c r="N108" i="1" s="1"/>
  <c r="N113" i="1" s="1"/>
  <c r="G276" i="4"/>
  <c r="P288" i="1"/>
  <c r="T352" i="4"/>
  <c r="P41" i="1"/>
  <c r="F32" i="4" s="1"/>
  <c r="N626" i="1"/>
  <c r="I276" i="4"/>
  <c r="S352" i="4"/>
  <c r="I288" i="1"/>
  <c r="H345" i="4"/>
  <c r="I41" i="1"/>
  <c r="F14" i="4" s="1"/>
  <c r="T276" i="4"/>
  <c r="I352" i="4"/>
  <c r="I460" i="1"/>
  <c r="J276" i="4"/>
  <c r="R276" i="4"/>
  <c r="N352" i="4"/>
  <c r="N367" i="4"/>
  <c r="K276" i="4"/>
  <c r="P460" i="1"/>
  <c r="F355" i="4"/>
  <c r="J352" i="4"/>
  <c r="K352" i="4"/>
  <c r="G367" i="4"/>
  <c r="S276" i="4"/>
  <c r="P626" i="1"/>
  <c r="G352" i="4"/>
  <c r="N288" i="1"/>
  <c r="W128" i="1"/>
  <c r="X128" i="1" s="1"/>
  <c r="S418" i="1"/>
  <c r="S642" i="1" s="1"/>
  <c r="R364" i="4"/>
  <c r="T247" i="4"/>
  <c r="M41" i="1"/>
  <c r="F24" i="4" s="1"/>
  <c r="H41" i="1"/>
  <c r="W520" i="1"/>
  <c r="X520" i="1" s="1"/>
  <c r="T418" i="1"/>
  <c r="T642" i="1" s="1"/>
  <c r="T389" i="1"/>
  <c r="N389" i="1"/>
  <c r="N418" i="1"/>
  <c r="N642" i="1" s="1"/>
  <c r="G247" i="4"/>
  <c r="W130" i="1"/>
  <c r="X130" i="1" s="1"/>
  <c r="W122" i="1"/>
  <c r="X122" i="1" s="1"/>
  <c r="R367" i="4"/>
  <c r="K247" i="4"/>
  <c r="N247" i="4"/>
  <c r="N249" i="4" s="1"/>
  <c r="H247" i="4"/>
  <c r="S247" i="4"/>
  <c r="S249" i="4" s="1"/>
  <c r="K367" i="4"/>
  <c r="I367" i="4"/>
  <c r="J367" i="4"/>
  <c r="F249" i="4"/>
  <c r="R247" i="4"/>
  <c r="H367" i="4"/>
  <c r="J247" i="4"/>
  <c r="W59" i="1"/>
  <c r="X59" i="1" s="1"/>
  <c r="T273" i="4"/>
  <c r="T287" i="4"/>
  <c r="H361" i="4"/>
  <c r="K361" i="4"/>
  <c r="N317" i="4"/>
  <c r="J273" i="4"/>
  <c r="W527" i="1"/>
  <c r="X527" i="1" s="1"/>
  <c r="R287" i="4"/>
  <c r="T361" i="4"/>
  <c r="J317" i="4"/>
  <c r="R317" i="4"/>
  <c r="G273" i="4"/>
  <c r="K287" i="4"/>
  <c r="J361" i="4"/>
  <c r="S291" i="4"/>
  <c r="G317" i="4"/>
  <c r="S273" i="4"/>
  <c r="J287" i="4"/>
  <c r="N361" i="4"/>
  <c r="S317" i="4"/>
  <c r="I273" i="4"/>
  <c r="N273" i="4"/>
  <c r="I287" i="4"/>
  <c r="G361" i="4"/>
  <c r="T317" i="4"/>
  <c r="K273" i="4"/>
  <c r="G287" i="4"/>
  <c r="I361" i="4"/>
  <c r="I317" i="4"/>
  <c r="H287" i="4"/>
  <c r="W112" i="1"/>
  <c r="X112" i="1" s="1"/>
  <c r="W117" i="1"/>
  <c r="X117" i="1" s="1"/>
  <c r="W631" i="1"/>
  <c r="X631" i="1" s="1"/>
  <c r="I522" i="1"/>
  <c r="F202" i="4" s="1"/>
  <c r="R202" i="4" s="1"/>
  <c r="V522" i="1"/>
  <c r="F234" i="4" s="1"/>
  <c r="G234" i="4" s="1"/>
  <c r="W519" i="1"/>
  <c r="X519" i="1" s="1"/>
  <c r="M626" i="1"/>
  <c r="N364" i="4"/>
  <c r="M105" i="1"/>
  <c r="M108" i="1" s="1"/>
  <c r="M113" i="1" s="1"/>
  <c r="I364" i="4"/>
  <c r="T522" i="1"/>
  <c r="F228" i="4" s="1"/>
  <c r="G228" i="4" s="1"/>
  <c r="G364" i="4"/>
  <c r="V108" i="1"/>
  <c r="V114" i="1" s="1"/>
  <c r="W39" i="1"/>
  <c r="X39" i="1" s="1"/>
  <c r="M288" i="1"/>
  <c r="T41" i="1"/>
  <c r="F41" i="4" s="1"/>
  <c r="T364" i="4"/>
  <c r="W106" i="1"/>
  <c r="X106" i="1" s="1"/>
  <c r="W131" i="1"/>
  <c r="X131" i="1" s="1"/>
  <c r="W60" i="1"/>
  <c r="X60" i="1" s="1"/>
  <c r="W623" i="1"/>
  <c r="X623" i="1" s="1"/>
  <c r="S364" i="4"/>
  <c r="J364" i="4"/>
  <c r="T108" i="1"/>
  <c r="T115" i="1" s="1"/>
  <c r="V41" i="1"/>
  <c r="H364" i="4"/>
  <c r="W517" i="1"/>
  <c r="X517" i="1" s="1"/>
  <c r="G345" i="4"/>
  <c r="M61" i="1"/>
  <c r="M628" i="1" s="1"/>
  <c r="W531" i="1"/>
  <c r="X531" i="1" s="1"/>
  <c r="S345" i="4"/>
  <c r="W37" i="1"/>
  <c r="X37" i="1" s="1"/>
  <c r="J345" i="4"/>
  <c r="W38" i="1"/>
  <c r="X38" i="1" s="1"/>
  <c r="R345" i="4"/>
  <c r="K345" i="4"/>
  <c r="T267" i="4"/>
  <c r="N345" i="4"/>
  <c r="W111" i="1"/>
  <c r="X111" i="1" s="1"/>
  <c r="W121" i="1"/>
  <c r="X121" i="1" s="1"/>
  <c r="U61" i="1"/>
  <c r="U628" i="1" s="1"/>
  <c r="O418" i="1"/>
  <c r="O642" i="1" s="1"/>
  <c r="U522" i="1"/>
  <c r="F231" i="4" s="1"/>
  <c r="T231" i="4" s="1"/>
  <c r="K291" i="4"/>
  <c r="L418" i="1"/>
  <c r="L642" i="1" s="1"/>
  <c r="I291" i="4"/>
  <c r="G291" i="4"/>
  <c r="F293" i="4"/>
  <c r="W518" i="1"/>
  <c r="X518" i="1" s="1"/>
  <c r="R291" i="4"/>
  <c r="T291" i="4"/>
  <c r="J291" i="4"/>
  <c r="H291" i="4"/>
  <c r="W129" i="1"/>
  <c r="X129" i="1" s="1"/>
  <c r="W529" i="1"/>
  <c r="X529" i="1" s="1"/>
  <c r="W639" i="1"/>
  <c r="X639" i="1" s="1"/>
  <c r="H522" i="1"/>
  <c r="F198" i="4" s="1"/>
  <c r="I418" i="1"/>
  <c r="I642" i="1" s="1"/>
  <c r="H418" i="1"/>
  <c r="H642" i="1" s="1"/>
  <c r="H460" i="1"/>
  <c r="H105" i="1"/>
  <c r="H108" i="1" s="1"/>
  <c r="H630" i="1" s="1"/>
  <c r="H626" i="1"/>
  <c r="H288" i="1"/>
  <c r="H480" i="4"/>
  <c r="J467" i="4"/>
  <c r="J495" i="4"/>
  <c r="J468" i="4"/>
  <c r="J477" i="4"/>
  <c r="J566" i="4"/>
  <c r="J565" i="4"/>
  <c r="J469" i="4"/>
  <c r="J475" i="4"/>
  <c r="K2" i="4"/>
  <c r="L2" i="4" s="1"/>
  <c r="J466" i="4"/>
  <c r="J504" i="4"/>
  <c r="I529" i="4"/>
  <c r="I471" i="4"/>
  <c r="I478" i="4"/>
  <c r="T311" i="4"/>
  <c r="I286" i="4"/>
  <c r="G286" i="4"/>
  <c r="S286" i="4"/>
  <c r="K286" i="4"/>
  <c r="R286" i="4"/>
  <c r="T286" i="4"/>
  <c r="H286" i="4"/>
  <c r="L286" i="4"/>
  <c r="J286" i="4"/>
  <c r="N286" i="4"/>
  <c r="N288" i="4" s="1"/>
  <c r="F288" i="4"/>
  <c r="G244" i="1"/>
  <c r="W233" i="1"/>
  <c r="T217" i="1"/>
  <c r="T246" i="1"/>
  <c r="W351" i="1"/>
  <c r="X351" i="1" s="1"/>
  <c r="X333" i="1"/>
  <c r="S330" i="4"/>
  <c r="T330" i="4"/>
  <c r="G330" i="4"/>
  <c r="K330" i="4"/>
  <c r="H330" i="4"/>
  <c r="L330" i="4"/>
  <c r="I330" i="4"/>
  <c r="N330" i="4"/>
  <c r="R330" i="4"/>
  <c r="R332" i="4" s="1"/>
  <c r="F332" i="4"/>
  <c r="J330" i="4"/>
  <c r="U113" i="1"/>
  <c r="U116" i="1"/>
  <c r="U630" i="1"/>
  <c r="U115" i="1"/>
  <c r="U114" i="1"/>
  <c r="X161" i="1"/>
  <c r="W179" i="1"/>
  <c r="X179" i="1" s="1"/>
  <c r="G416" i="1"/>
  <c r="W405" i="1"/>
  <c r="I242" i="4"/>
  <c r="G242" i="4"/>
  <c r="S242" i="4"/>
  <c r="N242" i="4"/>
  <c r="J242" i="4"/>
  <c r="T242" i="4"/>
  <c r="K242" i="4"/>
  <c r="L242" i="4"/>
  <c r="R242" i="4"/>
  <c r="H242" i="4"/>
  <c r="F244" i="4"/>
  <c r="F30" i="31" l="1"/>
  <c r="I342" i="4"/>
  <c r="K337" i="4"/>
  <c r="R116" i="1"/>
  <c r="J337" i="4"/>
  <c r="V63" i="1"/>
  <c r="V542" i="1" s="1"/>
  <c r="G337" i="4"/>
  <c r="J254" i="4"/>
  <c r="K254" i="4"/>
  <c r="L476" i="4"/>
  <c r="L474" i="4"/>
  <c r="L203" i="4"/>
  <c r="L30" i="31"/>
  <c r="I32" i="30"/>
  <c r="F32" i="34"/>
  <c r="K249" i="4"/>
  <c r="I32" i="34"/>
  <c r="J32" i="34"/>
  <c r="K244" i="4"/>
  <c r="M32" i="34"/>
  <c r="E32" i="34"/>
  <c r="E30" i="31"/>
  <c r="F32" i="30"/>
  <c r="J30" i="31"/>
  <c r="M30" i="31"/>
  <c r="I30" i="31"/>
  <c r="L32" i="30"/>
  <c r="M32" i="30"/>
  <c r="I249" i="4"/>
  <c r="J32" i="30"/>
  <c r="E32" i="30"/>
  <c r="I31" i="29"/>
  <c r="T337" i="4"/>
  <c r="W365" i="1"/>
  <c r="W387" i="1" s="1"/>
  <c r="G249" i="4"/>
  <c r="I32" i="27"/>
  <c r="J630" i="1"/>
  <c r="G63" i="1"/>
  <c r="G454" i="1" s="1"/>
  <c r="K246" i="1"/>
  <c r="R114" i="1"/>
  <c r="R115" i="1"/>
  <c r="R113" i="1"/>
  <c r="R342" i="4"/>
  <c r="N342" i="4"/>
  <c r="Q630" i="1"/>
  <c r="Q115" i="1"/>
  <c r="Q114" i="1"/>
  <c r="Q116" i="1"/>
  <c r="J116" i="1"/>
  <c r="J114" i="1"/>
  <c r="M217" i="1"/>
  <c r="G342" i="4"/>
  <c r="T15" i="4"/>
  <c r="R15" i="4"/>
  <c r="J31" i="29"/>
  <c r="H342" i="4"/>
  <c r="N267" i="4"/>
  <c r="N298" i="4"/>
  <c r="T249" i="4"/>
  <c r="T342" i="4"/>
  <c r="S342" i="4"/>
  <c r="J342" i="4"/>
  <c r="R249" i="4"/>
  <c r="U246" i="1"/>
  <c r="U641" i="1" s="1"/>
  <c r="V246" i="1"/>
  <c r="V641" i="1" s="1"/>
  <c r="P116" i="1"/>
  <c r="I208" i="4"/>
  <c r="Q63" i="1"/>
  <c r="Q542" i="1" s="1"/>
  <c r="H217" i="1"/>
  <c r="T293" i="4"/>
  <c r="J249" i="4"/>
  <c r="P114" i="1"/>
  <c r="P113" i="1"/>
  <c r="G293" i="4"/>
  <c r="P630" i="1"/>
  <c r="S337" i="4"/>
  <c r="K298" i="4"/>
  <c r="R337" i="4"/>
  <c r="F32" i="27"/>
  <c r="K116" i="1"/>
  <c r="K115" i="1"/>
  <c r="K114" i="1"/>
  <c r="K113" i="1"/>
  <c r="K630" i="1"/>
  <c r="I337" i="4"/>
  <c r="I217" i="1"/>
  <c r="H337" i="4"/>
  <c r="T298" i="4"/>
  <c r="Q217" i="1"/>
  <c r="J113" i="1"/>
  <c r="J217" i="1"/>
  <c r="K221" i="4"/>
  <c r="F30" i="34" s="1"/>
  <c r="I332" i="4"/>
  <c r="L221" i="4"/>
  <c r="G221" i="4"/>
  <c r="F30" i="27" s="1"/>
  <c r="L246" i="1"/>
  <c r="L641" i="1" s="1"/>
  <c r="N221" i="4"/>
  <c r="J221" i="4"/>
  <c r="F28" i="31" s="1"/>
  <c r="I221" i="4"/>
  <c r="F30" i="30" s="1"/>
  <c r="S298" i="4"/>
  <c r="G254" i="4"/>
  <c r="F31" i="29"/>
  <c r="I298" i="4"/>
  <c r="J231" i="4"/>
  <c r="G208" i="4"/>
  <c r="C15" i="26"/>
  <c r="H208" i="4"/>
  <c r="H220" i="4"/>
  <c r="K220" i="4"/>
  <c r="R298" i="4"/>
  <c r="K293" i="4"/>
  <c r="J298" i="4"/>
  <c r="R254" i="4"/>
  <c r="N246" i="1"/>
  <c r="N641" i="1" s="1"/>
  <c r="I19" i="4"/>
  <c r="H293" i="4"/>
  <c r="L231" i="4"/>
  <c r="R246" i="1"/>
  <c r="R633" i="1" s="1"/>
  <c r="R19" i="4"/>
  <c r="K63" i="1"/>
  <c r="K97" i="1" s="1"/>
  <c r="W193" i="1"/>
  <c r="X193" i="1" s="1"/>
  <c r="T19" i="4"/>
  <c r="K19" i="4"/>
  <c r="H63" i="1"/>
  <c r="H457" i="1" s="1"/>
  <c r="G19" i="4"/>
  <c r="N19" i="4"/>
  <c r="H355" i="4"/>
  <c r="T212" i="4"/>
  <c r="J19" i="4"/>
  <c r="H19" i="4"/>
  <c r="H21" i="4" s="1"/>
  <c r="K355" i="4"/>
  <c r="L19" i="4"/>
  <c r="S254" i="4"/>
  <c r="N254" i="4"/>
  <c r="I114" i="1"/>
  <c r="I116" i="1"/>
  <c r="I630" i="1"/>
  <c r="S293" i="4"/>
  <c r="P217" i="1"/>
  <c r="R293" i="4"/>
  <c r="C16" i="26"/>
  <c r="N220" i="4"/>
  <c r="H254" i="4"/>
  <c r="G220" i="4"/>
  <c r="F10" i="4"/>
  <c r="T10" i="4" s="1"/>
  <c r="R355" i="4"/>
  <c r="H267" i="4"/>
  <c r="O217" i="1"/>
  <c r="L220" i="4"/>
  <c r="O116" i="1"/>
  <c r="I220" i="4"/>
  <c r="S203" i="4"/>
  <c r="H203" i="4"/>
  <c r="J29" i="29" s="1"/>
  <c r="S217" i="1"/>
  <c r="N203" i="4"/>
  <c r="N34" i="4"/>
  <c r="J203" i="4"/>
  <c r="J28" i="31" s="1"/>
  <c r="I34" i="4"/>
  <c r="R203" i="4"/>
  <c r="R204" i="4" s="1"/>
  <c r="G203" i="4"/>
  <c r="J30" i="27" s="1"/>
  <c r="T203" i="4"/>
  <c r="J63" i="1"/>
  <c r="J459" i="1" s="1"/>
  <c r="I203" i="4"/>
  <c r="J30" i="30" s="1"/>
  <c r="K203" i="4"/>
  <c r="J30" i="34" s="1"/>
  <c r="I254" i="4"/>
  <c r="N116" i="1"/>
  <c r="S355" i="4"/>
  <c r="N114" i="1"/>
  <c r="N115" i="1"/>
  <c r="H218" i="4"/>
  <c r="L29" i="29" s="1"/>
  <c r="F204" i="4"/>
  <c r="N231" i="4"/>
  <c r="K267" i="4"/>
  <c r="N244" i="4"/>
  <c r="T332" i="4"/>
  <c r="S630" i="1"/>
  <c r="L32" i="27"/>
  <c r="I15" i="4"/>
  <c r="N15" i="4"/>
  <c r="H15" i="4"/>
  <c r="J15" i="4"/>
  <c r="S15" i="4"/>
  <c r="S244" i="4"/>
  <c r="K15" i="4"/>
  <c r="L15" i="4"/>
  <c r="F16" i="4"/>
  <c r="K231" i="4"/>
  <c r="K34" i="4"/>
  <c r="R63" i="1"/>
  <c r="R455" i="1" s="1"/>
  <c r="G231" i="4"/>
  <c r="J34" i="4"/>
  <c r="S231" i="4"/>
  <c r="R231" i="4"/>
  <c r="I231" i="4"/>
  <c r="G34" i="4"/>
  <c r="H231" i="4"/>
  <c r="T14" i="4"/>
  <c r="L34" i="4"/>
  <c r="L115" i="1"/>
  <c r="F47" i="4"/>
  <c r="G47" i="4" s="1"/>
  <c r="T244" i="4"/>
  <c r="J311" i="4"/>
  <c r="G267" i="4"/>
  <c r="I267" i="4"/>
  <c r="S115" i="1"/>
  <c r="I115" i="1"/>
  <c r="S116" i="1"/>
  <c r="I355" i="4"/>
  <c r="S114" i="1"/>
  <c r="O63" i="1"/>
  <c r="O455" i="1" s="1"/>
  <c r="J332" i="4"/>
  <c r="J355" i="4"/>
  <c r="R208" i="4"/>
  <c r="H207" i="4"/>
  <c r="T208" i="4"/>
  <c r="H332" i="4"/>
  <c r="F209" i="4"/>
  <c r="T207" i="4"/>
  <c r="L31" i="29"/>
  <c r="V113" i="1"/>
  <c r="L208" i="4"/>
  <c r="G207" i="4"/>
  <c r="V630" i="1"/>
  <c r="J208" i="4"/>
  <c r="J209" i="4" s="1"/>
  <c r="K208" i="4"/>
  <c r="S288" i="4"/>
  <c r="N207" i="4"/>
  <c r="N208" i="4"/>
  <c r="S207" i="4"/>
  <c r="S209" i="4" s="1"/>
  <c r="K207" i="4"/>
  <c r="I207" i="4"/>
  <c r="R207" i="4"/>
  <c r="H228" i="4"/>
  <c r="J267" i="4"/>
  <c r="T20" i="4"/>
  <c r="I215" i="4"/>
  <c r="T219" i="4"/>
  <c r="S20" i="4"/>
  <c r="S21" i="4" s="1"/>
  <c r="E31" i="29"/>
  <c r="L114" i="1"/>
  <c r="F27" i="4"/>
  <c r="R27" i="4" s="1"/>
  <c r="L630" i="1"/>
  <c r="L113" i="1"/>
  <c r="K332" i="4"/>
  <c r="O115" i="1"/>
  <c r="O113" i="1"/>
  <c r="O114" i="1"/>
  <c r="J288" i="4"/>
  <c r="N332" i="4"/>
  <c r="G212" i="4"/>
  <c r="H219" i="4"/>
  <c r="E29" i="29" s="1"/>
  <c r="S228" i="4"/>
  <c r="G20" i="4"/>
  <c r="J20" i="4"/>
  <c r="R212" i="4"/>
  <c r="G219" i="4"/>
  <c r="E30" i="27" s="1"/>
  <c r="P63" i="1"/>
  <c r="P282" i="1" s="1"/>
  <c r="J228" i="4"/>
  <c r="R20" i="4"/>
  <c r="I219" i="4"/>
  <c r="E30" i="30" s="1"/>
  <c r="R219" i="4"/>
  <c r="I228" i="4"/>
  <c r="K20" i="4"/>
  <c r="F21" i="4"/>
  <c r="J215" i="4"/>
  <c r="R215" i="4"/>
  <c r="J212" i="4"/>
  <c r="S212" i="4"/>
  <c r="K219" i="4"/>
  <c r="E30" i="34" s="1"/>
  <c r="L219" i="4"/>
  <c r="K228" i="4"/>
  <c r="L20" i="4"/>
  <c r="N212" i="4"/>
  <c r="D16" i="26"/>
  <c r="H212" i="4"/>
  <c r="N219" i="4"/>
  <c r="L228" i="4"/>
  <c r="N228" i="4"/>
  <c r="I20" i="4"/>
  <c r="H215" i="4"/>
  <c r="S215" i="4"/>
  <c r="R244" i="4"/>
  <c r="K212" i="4"/>
  <c r="S219" i="4"/>
  <c r="H249" i="4"/>
  <c r="R228" i="4"/>
  <c r="T228" i="4"/>
  <c r="N20" i="4"/>
  <c r="H288" i="4"/>
  <c r="K215" i="4"/>
  <c r="T215" i="4"/>
  <c r="G215" i="4"/>
  <c r="L212" i="4"/>
  <c r="L63" i="1"/>
  <c r="L541" i="1" s="1"/>
  <c r="F222" i="4"/>
  <c r="R218" i="4"/>
  <c r="U63" i="1"/>
  <c r="U97" i="1" s="1"/>
  <c r="W628" i="1"/>
  <c r="X628" i="1" s="1"/>
  <c r="M63" i="1"/>
  <c r="M282" i="1" s="1"/>
  <c r="G218" i="4"/>
  <c r="T218" i="4"/>
  <c r="R234" i="4"/>
  <c r="K218" i="4"/>
  <c r="L30" i="34" s="1"/>
  <c r="I218" i="4"/>
  <c r="L30" i="30" s="1"/>
  <c r="L218" i="4"/>
  <c r="T234" i="4"/>
  <c r="S332" i="4"/>
  <c r="N218" i="4"/>
  <c r="I234" i="4"/>
  <c r="S218" i="4"/>
  <c r="W522" i="1"/>
  <c r="X522" i="1" s="1"/>
  <c r="S63" i="1"/>
  <c r="S285" i="1" s="1"/>
  <c r="R288" i="4"/>
  <c r="I288" i="4"/>
  <c r="N355" i="4"/>
  <c r="W626" i="1"/>
  <c r="X626" i="1" s="1"/>
  <c r="K202" i="4"/>
  <c r="N630" i="1"/>
  <c r="S234" i="4"/>
  <c r="G202" i="4"/>
  <c r="J234" i="4"/>
  <c r="N234" i="4"/>
  <c r="J202" i="4"/>
  <c r="K234" i="4"/>
  <c r="M115" i="1"/>
  <c r="L14" i="4"/>
  <c r="V116" i="1"/>
  <c r="T288" i="4"/>
  <c r="V115" i="1"/>
  <c r="W61" i="1"/>
  <c r="X61" i="1" s="1"/>
  <c r="G355" i="4"/>
  <c r="M114" i="1"/>
  <c r="T63" i="1"/>
  <c r="T459" i="1" s="1"/>
  <c r="R14" i="4"/>
  <c r="M630" i="1"/>
  <c r="J14" i="4"/>
  <c r="S14" i="4"/>
  <c r="W41" i="1"/>
  <c r="X41" i="1" s="1"/>
  <c r="T355" i="4"/>
  <c r="M116" i="1"/>
  <c r="I14" i="4"/>
  <c r="K14" i="4"/>
  <c r="G14" i="4"/>
  <c r="G16" i="4" s="1"/>
  <c r="I63" i="1"/>
  <c r="I537" i="1" s="1"/>
  <c r="E32" i="27"/>
  <c r="N14" i="4"/>
  <c r="K288" i="4"/>
  <c r="H14" i="4"/>
  <c r="D15" i="26"/>
  <c r="W460" i="1"/>
  <c r="X460" i="1" s="1"/>
  <c r="T630" i="1"/>
  <c r="W288" i="1"/>
  <c r="X288" i="1" s="1"/>
  <c r="H116" i="1"/>
  <c r="T114" i="1"/>
  <c r="T116" i="1"/>
  <c r="T113" i="1"/>
  <c r="S202" i="4"/>
  <c r="T202" i="4"/>
  <c r="H202" i="4"/>
  <c r="H234" i="4"/>
  <c r="I202" i="4"/>
  <c r="N202" i="4"/>
  <c r="N547" i="1"/>
  <c r="F439" i="4" s="1"/>
  <c r="H439" i="4" s="1"/>
  <c r="J293" i="4"/>
  <c r="N537" i="1"/>
  <c r="I293" i="4"/>
  <c r="J478" i="4"/>
  <c r="H115" i="1"/>
  <c r="W105" i="1"/>
  <c r="X105" i="1" s="1"/>
  <c r="H113" i="1"/>
  <c r="H114" i="1"/>
  <c r="N287" i="1"/>
  <c r="N457" i="1"/>
  <c r="N541" i="1"/>
  <c r="N283" i="1"/>
  <c r="N542" i="1"/>
  <c r="N97" i="1"/>
  <c r="N282" i="1"/>
  <c r="N454" i="1"/>
  <c r="N451" i="1"/>
  <c r="N459" i="1"/>
  <c r="N455" i="1"/>
  <c r="N279" i="1"/>
  <c r="N538" i="1"/>
  <c r="I198" i="4"/>
  <c r="K30" i="30" s="1"/>
  <c r="H198" i="4"/>
  <c r="N198" i="4"/>
  <c r="S198" i="4"/>
  <c r="T198" i="4"/>
  <c r="G198" i="4"/>
  <c r="R198" i="4"/>
  <c r="J198" i="4"/>
  <c r="K198" i="4"/>
  <c r="J244" i="4"/>
  <c r="I244" i="4"/>
  <c r="I480" i="4"/>
  <c r="C11" i="28" s="1"/>
  <c r="I562" i="4"/>
  <c r="N37" i="30" s="1"/>
  <c r="L468" i="4"/>
  <c r="L475" i="4"/>
  <c r="L495" i="4"/>
  <c r="M2" i="4"/>
  <c r="L566" i="4"/>
  <c r="L565" i="4"/>
  <c r="L504" i="4"/>
  <c r="L467" i="4"/>
  <c r="L469" i="4"/>
  <c r="L477" i="4"/>
  <c r="L466" i="4"/>
  <c r="L202" i="4"/>
  <c r="L345" i="4"/>
  <c r="L301" i="4"/>
  <c r="L309" i="4"/>
  <c r="L308" i="4"/>
  <c r="L331" i="4"/>
  <c r="L332" i="4" s="1"/>
  <c r="L243" i="4"/>
  <c r="L244" i="4" s="1"/>
  <c r="L287" i="4"/>
  <c r="L288" i="4" s="1"/>
  <c r="L253" i="4"/>
  <c r="L336" i="4"/>
  <c r="L248" i="4"/>
  <c r="L354" i="4"/>
  <c r="L234" i="4"/>
  <c r="L198" i="4"/>
  <c r="L265" i="4"/>
  <c r="L263" i="4"/>
  <c r="L276" i="4"/>
  <c r="L297" i="4"/>
  <c r="L292" i="4"/>
  <c r="L215" i="4"/>
  <c r="L279" i="4"/>
  <c r="L317" i="4"/>
  <c r="L247" i="4"/>
  <c r="L291" i="4"/>
  <c r="L361" i="4"/>
  <c r="L257" i="4"/>
  <c r="L307" i="4"/>
  <c r="L320" i="4"/>
  <c r="L264" i="4"/>
  <c r="L352" i="4"/>
  <c r="L266" i="4"/>
  <c r="L310" i="4"/>
  <c r="L296" i="4"/>
  <c r="L340" i="4"/>
  <c r="L323" i="4"/>
  <c r="L353" i="4"/>
  <c r="L273" i="4"/>
  <c r="L335" i="4"/>
  <c r="L351" i="4"/>
  <c r="L364" i="4"/>
  <c r="L341" i="4"/>
  <c r="L207" i="4"/>
  <c r="L252" i="4"/>
  <c r="L367" i="4"/>
  <c r="L348" i="4"/>
  <c r="L260" i="4"/>
  <c r="L304" i="4"/>
  <c r="C10" i="28"/>
  <c r="H562" i="4"/>
  <c r="N36" i="29" s="1"/>
  <c r="J529" i="4"/>
  <c r="J471" i="4"/>
  <c r="Q641" i="1"/>
  <c r="Q633" i="1"/>
  <c r="X365" i="1"/>
  <c r="J633" i="1"/>
  <c r="J641" i="1"/>
  <c r="W215" i="1"/>
  <c r="X215" i="1" s="1"/>
  <c r="G246" i="1"/>
  <c r="G217" i="1"/>
  <c r="X405" i="1"/>
  <c r="W416" i="1"/>
  <c r="K44" i="4"/>
  <c r="S44" i="4"/>
  <c r="T44" i="4"/>
  <c r="H44" i="4"/>
  <c r="I44" i="4"/>
  <c r="M44" i="4"/>
  <c r="N44" i="4"/>
  <c r="G44" i="4"/>
  <c r="R44" i="4"/>
  <c r="J44" i="4"/>
  <c r="L44" i="4"/>
  <c r="T41" i="4"/>
  <c r="K41" i="4"/>
  <c r="J41" i="4"/>
  <c r="R41" i="4"/>
  <c r="M41" i="4"/>
  <c r="I41" i="4"/>
  <c r="S41" i="4"/>
  <c r="H41" i="4"/>
  <c r="N41" i="4"/>
  <c r="G41" i="4"/>
  <c r="L41" i="4"/>
  <c r="J24" i="4"/>
  <c r="G24" i="4"/>
  <c r="H24" i="4"/>
  <c r="M24" i="4"/>
  <c r="S24" i="4"/>
  <c r="T24" i="4"/>
  <c r="N24" i="4"/>
  <c r="K24" i="4"/>
  <c r="L24" i="4"/>
  <c r="R24" i="4"/>
  <c r="I24" i="4"/>
  <c r="Q459" i="1"/>
  <c r="G332" i="4"/>
  <c r="G630" i="1"/>
  <c r="G116" i="1"/>
  <c r="G115" i="1"/>
  <c r="G113" i="1"/>
  <c r="G114" i="1"/>
  <c r="W108" i="1"/>
  <c r="H641" i="1"/>
  <c r="H633" i="1"/>
  <c r="L633" i="1"/>
  <c r="M633" i="1"/>
  <c r="M641" i="1"/>
  <c r="S633" i="1"/>
  <c r="S641" i="1"/>
  <c r="G288" i="4"/>
  <c r="I9" i="4"/>
  <c r="S9" i="4"/>
  <c r="H9" i="4"/>
  <c r="K9" i="4"/>
  <c r="N9" i="4"/>
  <c r="T9" i="4"/>
  <c r="G9" i="4"/>
  <c r="R9" i="4"/>
  <c r="J9" i="4"/>
  <c r="L9" i="4"/>
  <c r="M9" i="4"/>
  <c r="J197" i="4"/>
  <c r="L197" i="4"/>
  <c r="M197" i="4"/>
  <c r="I197" i="4"/>
  <c r="G197" i="4"/>
  <c r="T197" i="4"/>
  <c r="R197" i="4"/>
  <c r="S197" i="4"/>
  <c r="H197" i="4"/>
  <c r="N197" i="4"/>
  <c r="K197" i="4"/>
  <c r="F199" i="4"/>
  <c r="F281" i="4"/>
  <c r="H244" i="4"/>
  <c r="M31" i="29"/>
  <c r="G244" i="4"/>
  <c r="M32" i="27"/>
  <c r="G418" i="1"/>
  <c r="G389" i="1"/>
  <c r="W389" i="1" s="1"/>
  <c r="X389" i="1" s="1"/>
  <c r="P641" i="1"/>
  <c r="P633" i="1"/>
  <c r="O641" i="1"/>
  <c r="O633" i="1"/>
  <c r="H598" i="4"/>
  <c r="O621" i="4"/>
  <c r="O598" i="4" s="1"/>
  <c r="J598" i="4"/>
  <c r="M621" i="4"/>
  <c r="M598" i="4" s="1"/>
  <c r="P621" i="4"/>
  <c r="P598" i="4" s="1"/>
  <c r="L598" i="4"/>
  <c r="K598" i="4"/>
  <c r="Q621" i="4"/>
  <c r="Q598" i="4" s="1"/>
  <c r="N621" i="4"/>
  <c r="I598" i="4"/>
  <c r="G33" i="4"/>
  <c r="H33" i="4"/>
  <c r="L33" i="4"/>
  <c r="N33" i="4"/>
  <c r="K33" i="4"/>
  <c r="I33" i="4"/>
  <c r="J33" i="4"/>
  <c r="M33" i="4"/>
  <c r="F35" i="4"/>
  <c r="T31" i="4"/>
  <c r="S31" i="4"/>
  <c r="H31" i="4"/>
  <c r="R31" i="4"/>
  <c r="L31" i="4"/>
  <c r="N31" i="4"/>
  <c r="J31" i="4"/>
  <c r="I31" i="4"/>
  <c r="K31" i="4"/>
  <c r="G31" i="4"/>
  <c r="M31" i="4"/>
  <c r="K32" i="4"/>
  <c r="R32" i="4"/>
  <c r="G32" i="4"/>
  <c r="S32" i="4"/>
  <c r="M32" i="4"/>
  <c r="J32" i="4"/>
  <c r="H32" i="4"/>
  <c r="I32" i="4"/>
  <c r="T32" i="4"/>
  <c r="N32" i="4"/>
  <c r="L32" i="4"/>
  <c r="V459" i="1"/>
  <c r="V457" i="1"/>
  <c r="V454" i="1"/>
  <c r="V283" i="1"/>
  <c r="F369" i="4"/>
  <c r="K633" i="1"/>
  <c r="K641" i="1"/>
  <c r="T633" i="1"/>
  <c r="T641" i="1"/>
  <c r="I633" i="1"/>
  <c r="I641" i="1"/>
  <c r="W244" i="1"/>
  <c r="X244" i="1" s="1"/>
  <c r="X233" i="1"/>
  <c r="F325" i="4"/>
  <c r="G283" i="1"/>
  <c r="U33" i="4" l="1"/>
  <c r="V33" i="4" s="1"/>
  <c r="Q285" i="1"/>
  <c r="V279" i="1"/>
  <c r="V285" i="1"/>
  <c r="V451" i="1"/>
  <c r="V538" i="1"/>
  <c r="G541" i="1"/>
  <c r="V633" i="1"/>
  <c r="V547" i="1"/>
  <c r="F458" i="4" s="1"/>
  <c r="N458" i="4" s="1"/>
  <c r="V455" i="1"/>
  <c r="V282" i="1"/>
  <c r="V541" i="1"/>
  <c r="G282" i="1"/>
  <c r="G547" i="1"/>
  <c r="V97" i="1"/>
  <c r="V287" i="1"/>
  <c r="N21" i="4"/>
  <c r="I28" i="31"/>
  <c r="K30" i="27"/>
  <c r="I30" i="34"/>
  <c r="M28" i="31"/>
  <c r="M476" i="4"/>
  <c r="U476" i="4" s="1"/>
  <c r="V476" i="4" s="1"/>
  <c r="M474" i="4"/>
  <c r="U474" i="4" s="1"/>
  <c r="I30" i="30"/>
  <c r="I29" i="29"/>
  <c r="M30" i="34"/>
  <c r="M30" i="30"/>
  <c r="K28" i="31"/>
  <c r="K30" i="34"/>
  <c r="I30" i="27"/>
  <c r="D13" i="26"/>
  <c r="K29" i="29"/>
  <c r="G537" i="1"/>
  <c r="G538" i="1"/>
  <c r="G279" i="1"/>
  <c r="G285" i="1"/>
  <c r="G542" i="1"/>
  <c r="G451" i="1"/>
  <c r="G455" i="1"/>
  <c r="G287" i="1"/>
  <c r="G97" i="1"/>
  <c r="G459" i="1"/>
  <c r="G457" i="1"/>
  <c r="U633" i="1"/>
  <c r="K204" i="4"/>
  <c r="T16" i="4"/>
  <c r="R16" i="4"/>
  <c r="Q454" i="1"/>
  <c r="S537" i="1"/>
  <c r="Q541" i="1"/>
  <c r="Q455" i="1"/>
  <c r="Q279" i="1"/>
  <c r="Q282" i="1"/>
  <c r="Q457" i="1"/>
  <c r="Q538" i="1"/>
  <c r="Q287" i="1"/>
  <c r="Q283" i="1"/>
  <c r="Q451" i="1"/>
  <c r="Q547" i="1"/>
  <c r="F444" i="4" s="1"/>
  <c r="G444" i="4" s="1"/>
  <c r="Q97" i="1"/>
  <c r="G209" i="4"/>
  <c r="S16" i="4"/>
  <c r="R21" i="4"/>
  <c r="J287" i="1"/>
  <c r="G204" i="4"/>
  <c r="J222" i="4"/>
  <c r="E15" i="26"/>
  <c r="J457" i="1"/>
  <c r="I47" i="4"/>
  <c r="J537" i="1"/>
  <c r="J97" i="1"/>
  <c r="J547" i="1"/>
  <c r="F427" i="4" s="1"/>
  <c r="S427" i="4" s="1"/>
  <c r="J454" i="1"/>
  <c r="H285" i="1"/>
  <c r="H455" i="1"/>
  <c r="H542" i="1"/>
  <c r="H282" i="1"/>
  <c r="H541" i="1"/>
  <c r="H459" i="1"/>
  <c r="H454" i="1"/>
  <c r="H538" i="1"/>
  <c r="H451" i="1"/>
  <c r="H287" i="1"/>
  <c r="H537" i="1"/>
  <c r="H283" i="1"/>
  <c r="H97" i="1"/>
  <c r="H279" i="1"/>
  <c r="L21" i="4"/>
  <c r="H547" i="1"/>
  <c r="F422" i="4" s="1"/>
  <c r="H422" i="4" s="1"/>
  <c r="H209" i="4"/>
  <c r="N633" i="1"/>
  <c r="J21" i="4"/>
  <c r="J285" i="1"/>
  <c r="J451" i="1"/>
  <c r="J279" i="1"/>
  <c r="J282" i="1"/>
  <c r="J542" i="1"/>
  <c r="J283" i="1"/>
  <c r="J455" i="1"/>
  <c r="J538" i="1"/>
  <c r="N47" i="4"/>
  <c r="J541" i="1"/>
  <c r="I21" i="4"/>
  <c r="T21" i="4"/>
  <c r="I16" i="4"/>
  <c r="N204" i="4"/>
  <c r="N16" i="4"/>
  <c r="M537" i="1"/>
  <c r="W217" i="1"/>
  <c r="X217" i="1" s="1"/>
  <c r="K209" i="4"/>
  <c r="M457" i="1"/>
  <c r="K21" i="4"/>
  <c r="R641" i="1"/>
  <c r="R278" i="1" s="1"/>
  <c r="R454" i="1"/>
  <c r="I222" i="4"/>
  <c r="K538" i="1"/>
  <c r="K287" i="1"/>
  <c r="K457" i="1"/>
  <c r="K282" i="1"/>
  <c r="K451" i="1"/>
  <c r="K279" i="1"/>
  <c r="K542" i="1"/>
  <c r="K283" i="1"/>
  <c r="K455" i="1"/>
  <c r="K285" i="1"/>
  <c r="K547" i="1"/>
  <c r="F431" i="4" s="1"/>
  <c r="L431" i="4" s="1"/>
  <c r="K541" i="1"/>
  <c r="K454" i="1"/>
  <c r="K459" i="1"/>
  <c r="K537" i="1"/>
  <c r="S283" i="1"/>
  <c r="K16" i="4"/>
  <c r="S204" i="4"/>
  <c r="G21" i="4"/>
  <c r="T457" i="1"/>
  <c r="E16" i="26"/>
  <c r="S279" i="1"/>
  <c r="S282" i="1"/>
  <c r="S541" i="1"/>
  <c r="S455" i="1"/>
  <c r="S457" i="1"/>
  <c r="S451" i="1"/>
  <c r="S454" i="1"/>
  <c r="T222" i="4"/>
  <c r="S287" i="1"/>
  <c r="S97" i="1"/>
  <c r="S547" i="1"/>
  <c r="F449" i="4" s="1"/>
  <c r="H449" i="4" s="1"/>
  <c r="S542" i="1"/>
  <c r="S459" i="1"/>
  <c r="F11" i="4"/>
  <c r="F49" i="4" s="1"/>
  <c r="N10" i="4"/>
  <c r="N11" i="4" s="1"/>
  <c r="H10" i="4"/>
  <c r="H11" i="4" s="1"/>
  <c r="T204" i="4"/>
  <c r="J10" i="4"/>
  <c r="J11" i="4" s="1"/>
  <c r="K10" i="4"/>
  <c r="K11" i="4" s="1"/>
  <c r="L16" i="4"/>
  <c r="G10" i="4"/>
  <c r="G11" i="4" s="1"/>
  <c r="I10" i="4"/>
  <c r="M10" i="4"/>
  <c r="M11" i="4" s="1"/>
  <c r="S10" i="4"/>
  <c r="S11" i="4" s="1"/>
  <c r="R10" i="4"/>
  <c r="R11" i="4" s="1"/>
  <c r="L10" i="4"/>
  <c r="L11" i="4" s="1"/>
  <c r="U537" i="1"/>
  <c r="R541" i="1"/>
  <c r="L542" i="1"/>
  <c r="R279" i="1"/>
  <c r="R287" i="1"/>
  <c r="L279" i="1"/>
  <c r="R97" i="1"/>
  <c r="R459" i="1"/>
  <c r="L538" i="1"/>
  <c r="T537" i="1"/>
  <c r="R285" i="1"/>
  <c r="J16" i="4"/>
  <c r="R457" i="1"/>
  <c r="R547" i="1"/>
  <c r="F445" i="4" s="1"/>
  <c r="I445" i="4" s="1"/>
  <c r="F23" i="30" s="1"/>
  <c r="L451" i="1"/>
  <c r="R282" i="1"/>
  <c r="L459" i="1"/>
  <c r="L455" i="1"/>
  <c r="R538" i="1"/>
  <c r="R542" i="1"/>
  <c r="R451" i="1"/>
  <c r="R283" i="1"/>
  <c r="L287" i="1"/>
  <c r="P287" i="1"/>
  <c r="P455" i="1"/>
  <c r="I285" i="1"/>
  <c r="J27" i="4"/>
  <c r="I455" i="1"/>
  <c r="I27" i="4"/>
  <c r="K27" i="4"/>
  <c r="H16" i="4"/>
  <c r="O459" i="1"/>
  <c r="G27" i="4"/>
  <c r="O285" i="1"/>
  <c r="L27" i="4"/>
  <c r="H27" i="4"/>
  <c r="S27" i="4"/>
  <c r="N27" i="4"/>
  <c r="S538" i="1"/>
  <c r="T27" i="4"/>
  <c r="I459" i="1"/>
  <c r="K47" i="4"/>
  <c r="R47" i="4"/>
  <c r="I538" i="1"/>
  <c r="I287" i="1"/>
  <c r="L47" i="4"/>
  <c r="I283" i="1"/>
  <c r="M47" i="4"/>
  <c r="S47" i="4"/>
  <c r="I457" i="1"/>
  <c r="J47" i="4"/>
  <c r="H47" i="4"/>
  <c r="T47" i="4"/>
  <c r="I282" i="1"/>
  <c r="I547" i="1"/>
  <c r="F426" i="4" s="1"/>
  <c r="G426" i="4" s="1"/>
  <c r="I209" i="4"/>
  <c r="U542" i="1"/>
  <c r="U287" i="1"/>
  <c r="T209" i="4"/>
  <c r="U541" i="1"/>
  <c r="I97" i="1"/>
  <c r="I279" i="1"/>
  <c r="N209" i="4"/>
  <c r="S222" i="4"/>
  <c r="M459" i="1"/>
  <c r="M541" i="1"/>
  <c r="O547" i="1"/>
  <c r="F442" i="4" s="1"/>
  <c r="L442" i="4" s="1"/>
  <c r="O538" i="1"/>
  <c r="M451" i="1"/>
  <c r="M454" i="1"/>
  <c r="O451" i="1"/>
  <c r="O537" i="1"/>
  <c r="M547" i="1"/>
  <c r="F436" i="4" s="1"/>
  <c r="S436" i="4" s="1"/>
  <c r="M455" i="1"/>
  <c r="O287" i="1"/>
  <c r="O97" i="1"/>
  <c r="M97" i="1"/>
  <c r="M542" i="1"/>
  <c r="O542" i="1"/>
  <c r="O283" i="1"/>
  <c r="M283" i="1"/>
  <c r="M279" i="1"/>
  <c r="O279" i="1"/>
  <c r="O541" i="1"/>
  <c r="M538" i="1"/>
  <c r="M285" i="1"/>
  <c r="M439" i="4"/>
  <c r="O282" i="1"/>
  <c r="O454" i="1"/>
  <c r="M287" i="1"/>
  <c r="S439" i="4"/>
  <c r="O457" i="1"/>
  <c r="N222" i="4"/>
  <c r="L454" i="1"/>
  <c r="L457" i="1"/>
  <c r="L537" i="1"/>
  <c r="L547" i="1"/>
  <c r="F432" i="4" s="1"/>
  <c r="L97" i="1"/>
  <c r="L285" i="1"/>
  <c r="L283" i="1"/>
  <c r="L282" i="1"/>
  <c r="G222" i="4"/>
  <c r="T11" i="4"/>
  <c r="L222" i="4"/>
  <c r="R209" i="4"/>
  <c r="U285" i="1"/>
  <c r="U451" i="1"/>
  <c r="U283" i="1"/>
  <c r="U455" i="1"/>
  <c r="U282" i="1"/>
  <c r="U457" i="1"/>
  <c r="U538" i="1"/>
  <c r="U459" i="1"/>
  <c r="H222" i="4"/>
  <c r="U279" i="1"/>
  <c r="U547" i="1"/>
  <c r="F455" i="4" s="1"/>
  <c r="L455" i="4" s="1"/>
  <c r="U454" i="1"/>
  <c r="P537" i="1"/>
  <c r="P285" i="1"/>
  <c r="P279" i="1"/>
  <c r="P457" i="1"/>
  <c r="P451" i="1"/>
  <c r="P547" i="1"/>
  <c r="F443" i="4" s="1"/>
  <c r="R443" i="4" s="1"/>
  <c r="P542" i="1"/>
  <c r="P541" i="1"/>
  <c r="P454" i="1"/>
  <c r="P97" i="1"/>
  <c r="P538" i="1"/>
  <c r="P283" i="1"/>
  <c r="P459" i="1"/>
  <c r="K222" i="4"/>
  <c r="R222" i="4"/>
  <c r="L30" i="27"/>
  <c r="W114" i="1"/>
  <c r="X114" i="1" s="1"/>
  <c r="T541" i="1"/>
  <c r="J204" i="4"/>
  <c r="V537" i="1"/>
  <c r="T285" i="1"/>
  <c r="T542" i="1"/>
  <c r="T283" i="1"/>
  <c r="T279" i="1"/>
  <c r="T455" i="1"/>
  <c r="T454" i="1"/>
  <c r="T451" i="1"/>
  <c r="T282" i="1"/>
  <c r="W63" i="1"/>
  <c r="X63" i="1" s="1"/>
  <c r="T287" i="1"/>
  <c r="T547" i="1"/>
  <c r="F452" i="4" s="1"/>
  <c r="K452" i="4" s="1"/>
  <c r="T65" i="1"/>
  <c r="T97" i="1"/>
  <c r="T538" i="1"/>
  <c r="W115" i="1"/>
  <c r="X115" i="1" s="1"/>
  <c r="W630" i="1"/>
  <c r="X630" i="1" s="1"/>
  <c r="I541" i="1"/>
  <c r="I454" i="1"/>
  <c r="I451" i="1"/>
  <c r="K199" i="4"/>
  <c r="I542" i="1"/>
  <c r="I439" i="4"/>
  <c r="J439" i="4"/>
  <c r="W116" i="1"/>
  <c r="X116" i="1" s="1"/>
  <c r="T199" i="4"/>
  <c r="N439" i="4"/>
  <c r="K439" i="4"/>
  <c r="G439" i="4"/>
  <c r="T439" i="4"/>
  <c r="R439" i="4"/>
  <c r="L439" i="4"/>
  <c r="W113" i="1"/>
  <c r="X113" i="1" s="1"/>
  <c r="R199" i="4"/>
  <c r="H204" i="4"/>
  <c r="I204" i="4"/>
  <c r="N199" i="4"/>
  <c r="L199" i="4"/>
  <c r="J480" i="4"/>
  <c r="C12" i="28" s="1"/>
  <c r="S199" i="4"/>
  <c r="I564" i="4"/>
  <c r="J199" i="4"/>
  <c r="I199" i="4"/>
  <c r="J562" i="4"/>
  <c r="N35" i="31" s="1"/>
  <c r="H564" i="4"/>
  <c r="L254" i="4"/>
  <c r="L355" i="4"/>
  <c r="L298" i="4"/>
  <c r="L311" i="4"/>
  <c r="L249" i="4"/>
  <c r="L204" i="4"/>
  <c r="L529" i="4"/>
  <c r="L471" i="4"/>
  <c r="C26" i="28"/>
  <c r="C25" i="28"/>
  <c r="L209" i="4"/>
  <c r="L337" i="4"/>
  <c r="L342" i="4"/>
  <c r="L293" i="4"/>
  <c r="L267" i="4"/>
  <c r="M566" i="4"/>
  <c r="U566" i="4" s="1"/>
  <c r="V566" i="4" s="1"/>
  <c r="M565" i="4"/>
  <c r="U565" i="4" s="1"/>
  <c r="V565" i="4" s="1"/>
  <c r="M495" i="4"/>
  <c r="U495" i="4" s="1"/>
  <c r="V495" i="4" s="1"/>
  <c r="M467" i="4"/>
  <c r="U467" i="4" s="1"/>
  <c r="V467" i="4" s="1"/>
  <c r="N2" i="4"/>
  <c r="O2" i="4" s="1"/>
  <c r="M475" i="4"/>
  <c r="U475" i="4" s="1"/>
  <c r="V475" i="4" s="1"/>
  <c r="M504" i="4"/>
  <c r="U504" i="4" s="1"/>
  <c r="V504" i="4" s="1"/>
  <c r="M466" i="4"/>
  <c r="M477" i="4"/>
  <c r="U477" i="4" s="1"/>
  <c r="V477" i="4" s="1"/>
  <c r="M279" i="4"/>
  <c r="U279" i="4" s="1"/>
  <c r="V279" i="4" s="1"/>
  <c r="M247" i="4"/>
  <c r="M291" i="4"/>
  <c r="M301" i="4"/>
  <c r="U301" i="4" s="1"/>
  <c r="V301" i="4" s="1"/>
  <c r="M361" i="4"/>
  <c r="U361" i="4" s="1"/>
  <c r="V361" i="4" s="1"/>
  <c r="M257" i="4"/>
  <c r="U257" i="4" s="1"/>
  <c r="V257" i="4" s="1"/>
  <c r="M308" i="4"/>
  <c r="U308" i="4" s="1"/>
  <c r="V308" i="4" s="1"/>
  <c r="M331" i="4"/>
  <c r="U331" i="4" s="1"/>
  <c r="V331" i="4" s="1"/>
  <c r="M307" i="4"/>
  <c r="M287" i="4"/>
  <c r="U287" i="4" s="1"/>
  <c r="V287" i="4" s="1"/>
  <c r="M352" i="4"/>
  <c r="U352" i="4" s="1"/>
  <c r="V352" i="4" s="1"/>
  <c r="M253" i="4"/>
  <c r="U253" i="4" s="1"/>
  <c r="V253" i="4" s="1"/>
  <c r="M336" i="4"/>
  <c r="U336" i="4" s="1"/>
  <c r="V336" i="4" s="1"/>
  <c r="M266" i="4"/>
  <c r="M296" i="4"/>
  <c r="M340" i="4"/>
  <c r="M234" i="4"/>
  <c r="U234" i="4" s="1"/>
  <c r="V234" i="4" s="1"/>
  <c r="M353" i="4"/>
  <c r="M198" i="4"/>
  <c r="M199" i="4" s="1"/>
  <c r="M273" i="4"/>
  <c r="U273" i="4" s="1"/>
  <c r="V273" i="4" s="1"/>
  <c r="M263" i="4"/>
  <c r="U263" i="4" s="1"/>
  <c r="V263" i="4" s="1"/>
  <c r="M351" i="4"/>
  <c r="M297" i="4"/>
  <c r="U297" i="4" s="1"/>
  <c r="V297" i="4" s="1"/>
  <c r="M207" i="4"/>
  <c r="U207" i="4" s="1"/>
  <c r="V207" i="4" s="1"/>
  <c r="M367" i="4"/>
  <c r="U367" i="4" s="1"/>
  <c r="V367" i="4" s="1"/>
  <c r="M215" i="4"/>
  <c r="U215" i="4" s="1"/>
  <c r="V215" i="4" s="1"/>
  <c r="M260" i="4"/>
  <c r="U260" i="4" s="1"/>
  <c r="V260" i="4" s="1"/>
  <c r="M317" i="4"/>
  <c r="U317" i="4" s="1"/>
  <c r="V317" i="4" s="1"/>
  <c r="M202" i="4"/>
  <c r="M345" i="4"/>
  <c r="U345" i="4" s="1"/>
  <c r="V345" i="4" s="1"/>
  <c r="M309" i="4"/>
  <c r="M320" i="4"/>
  <c r="U320" i="4" s="1"/>
  <c r="V320" i="4" s="1"/>
  <c r="M243" i="4"/>
  <c r="U243" i="4" s="1"/>
  <c r="V243" i="4" s="1"/>
  <c r="M264" i="4"/>
  <c r="U264" i="4" s="1"/>
  <c r="V264" i="4" s="1"/>
  <c r="M248" i="4"/>
  <c r="U248" i="4" s="1"/>
  <c r="V248" i="4" s="1"/>
  <c r="M354" i="4"/>
  <c r="M310" i="4"/>
  <c r="M323" i="4"/>
  <c r="U323" i="4" s="1"/>
  <c r="V323" i="4" s="1"/>
  <c r="M265" i="4"/>
  <c r="M335" i="4"/>
  <c r="M364" i="4"/>
  <c r="U364" i="4" s="1"/>
  <c r="V364" i="4" s="1"/>
  <c r="M276" i="4"/>
  <c r="U276" i="4" s="1"/>
  <c r="V276" i="4" s="1"/>
  <c r="M341" i="4"/>
  <c r="U341" i="4" s="1"/>
  <c r="V341" i="4" s="1"/>
  <c r="M292" i="4"/>
  <c r="U292" i="4" s="1"/>
  <c r="V292" i="4" s="1"/>
  <c r="M252" i="4"/>
  <c r="M348" i="4"/>
  <c r="U348" i="4" s="1"/>
  <c r="V348" i="4" s="1"/>
  <c r="M304" i="4"/>
  <c r="U304" i="4" s="1"/>
  <c r="V304" i="4" s="1"/>
  <c r="M34" i="4"/>
  <c r="M35" i="4" s="1"/>
  <c r="M203" i="4"/>
  <c r="U203" i="4" s="1"/>
  <c r="V203" i="4" s="1"/>
  <c r="M231" i="4"/>
  <c r="U231" i="4" s="1"/>
  <c r="V231" i="4" s="1"/>
  <c r="M15" i="4"/>
  <c r="U15" i="4" s="1"/>
  <c r="V15" i="4" s="1"/>
  <c r="M221" i="4"/>
  <c r="M219" i="4"/>
  <c r="U219" i="4" s="1"/>
  <c r="V219" i="4" s="1"/>
  <c r="M220" i="4"/>
  <c r="U220" i="4" s="1"/>
  <c r="V220" i="4" s="1"/>
  <c r="M208" i="4"/>
  <c r="M212" i="4"/>
  <c r="U212" i="4" s="1"/>
  <c r="V212" i="4" s="1"/>
  <c r="M242" i="4"/>
  <c r="M19" i="4"/>
  <c r="M286" i="4"/>
  <c r="M20" i="4"/>
  <c r="U20" i="4" s="1"/>
  <c r="V20" i="4" s="1"/>
  <c r="M14" i="4"/>
  <c r="M218" i="4"/>
  <c r="M228" i="4"/>
  <c r="U228" i="4" s="1"/>
  <c r="V228" i="4" s="1"/>
  <c r="M330" i="4"/>
  <c r="M27" i="4"/>
  <c r="L478" i="4"/>
  <c r="I286" i="1"/>
  <c r="I448" i="1"/>
  <c r="I277" i="1"/>
  <c r="I449" i="1"/>
  <c r="I284" i="1"/>
  <c r="I453" i="1"/>
  <c r="I275" i="1"/>
  <c r="I456" i="1"/>
  <c r="I450" i="1"/>
  <c r="I281" i="1"/>
  <c r="I278" i="1"/>
  <c r="I280" i="1"/>
  <c r="I452" i="1"/>
  <c r="I447" i="1"/>
  <c r="I276" i="1"/>
  <c r="I458" i="1"/>
  <c r="T450" i="1"/>
  <c r="T278" i="1"/>
  <c r="T276" i="1"/>
  <c r="T452" i="1"/>
  <c r="T448" i="1"/>
  <c r="T458" i="1"/>
  <c r="T281" i="1"/>
  <c r="T456" i="1"/>
  <c r="T286" i="1"/>
  <c r="T277" i="1"/>
  <c r="T453" i="1"/>
  <c r="T447" i="1"/>
  <c r="T449" i="1"/>
  <c r="T275" i="1"/>
  <c r="T280" i="1"/>
  <c r="T284" i="1"/>
  <c r="K276" i="1"/>
  <c r="K450" i="1"/>
  <c r="K281" i="1"/>
  <c r="K456" i="1"/>
  <c r="K452" i="1"/>
  <c r="K447" i="1"/>
  <c r="K277" i="1"/>
  <c r="K284" i="1"/>
  <c r="K286" i="1"/>
  <c r="K448" i="1"/>
  <c r="K280" i="1"/>
  <c r="K453" i="1"/>
  <c r="K458" i="1"/>
  <c r="K275" i="1"/>
  <c r="K278" i="1"/>
  <c r="K449" i="1"/>
  <c r="G35" i="4"/>
  <c r="U31" i="4"/>
  <c r="V31" i="4" s="1"/>
  <c r="K314" i="4"/>
  <c r="K325" i="4" s="1"/>
  <c r="K225" i="4"/>
  <c r="G30" i="34" s="1"/>
  <c r="H30" i="34" s="1"/>
  <c r="K358" i="4"/>
  <c r="K369" i="4" s="1"/>
  <c r="K270" i="4"/>
  <c r="K38" i="4"/>
  <c r="J225" i="4"/>
  <c r="G28" i="31" s="1"/>
  <c r="H28" i="31" s="1"/>
  <c r="J270" i="4"/>
  <c r="J314" i="4"/>
  <c r="J325" i="4" s="1"/>
  <c r="J358" i="4"/>
  <c r="J369" i="4" s="1"/>
  <c r="J38" i="4"/>
  <c r="U621" i="4"/>
  <c r="V621" i="4" s="1"/>
  <c r="G598" i="4"/>
  <c r="P458" i="1"/>
  <c r="P281" i="1"/>
  <c r="P452" i="1"/>
  <c r="P278" i="1"/>
  <c r="P453" i="1"/>
  <c r="P456" i="1"/>
  <c r="P450" i="1"/>
  <c r="P280" i="1"/>
  <c r="P286" i="1"/>
  <c r="P277" i="1"/>
  <c r="P447" i="1"/>
  <c r="P275" i="1"/>
  <c r="P284" i="1"/>
  <c r="P276" i="1"/>
  <c r="P449" i="1"/>
  <c r="P448" i="1"/>
  <c r="F485" i="4"/>
  <c r="F236" i="4"/>
  <c r="K427" i="4"/>
  <c r="J23" i="34" s="1"/>
  <c r="I427" i="4"/>
  <c r="J23" i="30" s="1"/>
  <c r="T427" i="4"/>
  <c r="U9" i="4"/>
  <c r="V9" i="4" s="1"/>
  <c r="S284" i="1"/>
  <c r="S450" i="1"/>
  <c r="S453" i="1"/>
  <c r="S280" i="1"/>
  <c r="S277" i="1"/>
  <c r="S286" i="1"/>
  <c r="S456" i="1"/>
  <c r="S458" i="1"/>
  <c r="S448" i="1"/>
  <c r="S449" i="1"/>
  <c r="S276" i="1"/>
  <c r="S275" i="1"/>
  <c r="S447" i="1"/>
  <c r="S278" i="1"/>
  <c r="S281" i="1"/>
  <c r="S452" i="1"/>
  <c r="L284" i="1"/>
  <c r="L453" i="1"/>
  <c r="L281" i="1"/>
  <c r="L280" i="1"/>
  <c r="L277" i="1"/>
  <c r="L448" i="1"/>
  <c r="L447" i="1"/>
  <c r="L275" i="1"/>
  <c r="L286" i="1"/>
  <c r="L449" i="1"/>
  <c r="L276" i="1"/>
  <c r="L450" i="1"/>
  <c r="L278" i="1"/>
  <c r="L456" i="1"/>
  <c r="L452" i="1"/>
  <c r="L458" i="1"/>
  <c r="H448" i="1"/>
  <c r="H453" i="1"/>
  <c r="H447" i="1"/>
  <c r="H277" i="1"/>
  <c r="H286" i="1"/>
  <c r="H458" i="1"/>
  <c r="H280" i="1"/>
  <c r="H450" i="1"/>
  <c r="H456" i="1"/>
  <c r="H276" i="1"/>
  <c r="H449" i="1"/>
  <c r="H452" i="1"/>
  <c r="H278" i="1"/>
  <c r="H284" i="1"/>
  <c r="H275" i="1"/>
  <c r="H281" i="1"/>
  <c r="W246" i="1"/>
  <c r="X246" i="1" s="1"/>
  <c r="G633" i="1"/>
  <c r="G641" i="1"/>
  <c r="N458" i="1"/>
  <c r="N452" i="1"/>
  <c r="N450" i="1"/>
  <c r="N280" i="1"/>
  <c r="N447" i="1"/>
  <c r="N277" i="1"/>
  <c r="N284" i="1"/>
  <c r="N448" i="1"/>
  <c r="N276" i="1"/>
  <c r="N286" i="1"/>
  <c r="N453" i="1"/>
  <c r="N449" i="1"/>
  <c r="N275" i="1"/>
  <c r="N456" i="1"/>
  <c r="N281" i="1"/>
  <c r="N278" i="1"/>
  <c r="U32" i="4"/>
  <c r="V32" i="4" s="1"/>
  <c r="I35" i="4"/>
  <c r="N35" i="4"/>
  <c r="R35" i="4"/>
  <c r="S35" i="4"/>
  <c r="U24" i="4"/>
  <c r="V24" i="4" s="1"/>
  <c r="U44" i="4"/>
  <c r="V44" i="4" s="1"/>
  <c r="F421" i="4"/>
  <c r="V286" i="1"/>
  <c r="V284" i="1"/>
  <c r="V458" i="1"/>
  <c r="V281" i="1"/>
  <c r="V276" i="1"/>
  <c r="V456" i="1"/>
  <c r="V453" i="1"/>
  <c r="V449" i="1"/>
  <c r="V277" i="1"/>
  <c r="V448" i="1"/>
  <c r="V278" i="1"/>
  <c r="V447" i="1"/>
  <c r="V280" i="1"/>
  <c r="V450" i="1"/>
  <c r="V452" i="1"/>
  <c r="V275" i="1"/>
  <c r="K458" i="4"/>
  <c r="I314" i="4"/>
  <c r="I325" i="4" s="1"/>
  <c r="I358" i="4"/>
  <c r="I369" i="4" s="1"/>
  <c r="I225" i="4"/>
  <c r="G30" i="30" s="1"/>
  <c r="I270" i="4"/>
  <c r="I38" i="4"/>
  <c r="L225" i="4"/>
  <c r="L358" i="4"/>
  <c r="L270" i="4"/>
  <c r="L314" i="4"/>
  <c r="L38" i="4"/>
  <c r="R314" i="4"/>
  <c r="R325" i="4" s="1"/>
  <c r="S314" i="4"/>
  <c r="S325" i="4" s="1"/>
  <c r="R225" i="4"/>
  <c r="N225" i="4"/>
  <c r="T358" i="4"/>
  <c r="T369" i="4" s="1"/>
  <c r="S358" i="4"/>
  <c r="S369" i="4" s="1"/>
  <c r="T270" i="4"/>
  <c r="T281" i="4" s="1"/>
  <c r="N314" i="4"/>
  <c r="N325" i="4" s="1"/>
  <c r="T314" i="4"/>
  <c r="T325" i="4" s="1"/>
  <c r="S225" i="4"/>
  <c r="T225" i="4"/>
  <c r="R358" i="4"/>
  <c r="R369" i="4" s="1"/>
  <c r="N358" i="4"/>
  <c r="N369" i="4" s="1"/>
  <c r="N270" i="4"/>
  <c r="N281" i="4" s="1"/>
  <c r="R270" i="4"/>
  <c r="R281" i="4" s="1"/>
  <c r="S270" i="4"/>
  <c r="S281" i="4" s="1"/>
  <c r="R38" i="4"/>
  <c r="S38" i="4"/>
  <c r="T38" i="4"/>
  <c r="N38" i="4"/>
  <c r="M314" i="4"/>
  <c r="M225" i="4"/>
  <c r="M270" i="4"/>
  <c r="M358" i="4"/>
  <c r="M38" i="4"/>
  <c r="O358" i="4"/>
  <c r="O270" i="4"/>
  <c r="O314" i="4"/>
  <c r="O225" i="4"/>
  <c r="O38" i="4"/>
  <c r="H314" i="4"/>
  <c r="H325" i="4" s="1"/>
  <c r="H225" i="4"/>
  <c r="G29" i="29" s="1"/>
  <c r="H358" i="4"/>
  <c r="H369" i="4" s="1"/>
  <c r="H270" i="4"/>
  <c r="H38" i="4"/>
  <c r="O447" i="1"/>
  <c r="O284" i="1"/>
  <c r="O280" i="1"/>
  <c r="O277" i="1"/>
  <c r="O456" i="1"/>
  <c r="O278" i="1"/>
  <c r="O281" i="1"/>
  <c r="O275" i="1"/>
  <c r="O449" i="1"/>
  <c r="O453" i="1"/>
  <c r="O286" i="1"/>
  <c r="O450" i="1"/>
  <c r="O276" i="1"/>
  <c r="O448" i="1"/>
  <c r="O458" i="1"/>
  <c r="O452" i="1"/>
  <c r="U281" i="1"/>
  <c r="U449" i="1"/>
  <c r="U456" i="1"/>
  <c r="U277" i="1"/>
  <c r="U450" i="1"/>
  <c r="U284" i="1"/>
  <c r="U278" i="1"/>
  <c r="U447" i="1"/>
  <c r="U453" i="1"/>
  <c r="U458" i="1"/>
  <c r="U286" i="1"/>
  <c r="U276" i="1"/>
  <c r="U452" i="1"/>
  <c r="U448" i="1"/>
  <c r="U275" i="1"/>
  <c r="U280" i="1"/>
  <c r="G642" i="1"/>
  <c r="W642" i="1" s="1"/>
  <c r="X642" i="1" s="1"/>
  <c r="H199" i="4"/>
  <c r="M29" i="29"/>
  <c r="G199" i="4"/>
  <c r="U197" i="4"/>
  <c r="V197" i="4" s="1"/>
  <c r="M30" i="27"/>
  <c r="M456" i="1"/>
  <c r="M276" i="1"/>
  <c r="M281" i="1"/>
  <c r="M453" i="1"/>
  <c r="M449" i="1"/>
  <c r="M448" i="1"/>
  <c r="M284" i="1"/>
  <c r="M286" i="1"/>
  <c r="M277" i="1"/>
  <c r="M450" i="1"/>
  <c r="M458" i="1"/>
  <c r="M278" i="1"/>
  <c r="M280" i="1"/>
  <c r="M452" i="1"/>
  <c r="M447" i="1"/>
  <c r="M275" i="1"/>
  <c r="X108" i="1"/>
  <c r="Y108" i="1"/>
  <c r="J450" i="1"/>
  <c r="J458" i="1"/>
  <c r="J277" i="1"/>
  <c r="J447" i="1"/>
  <c r="J276" i="1"/>
  <c r="J286" i="1"/>
  <c r="J453" i="1"/>
  <c r="J448" i="1"/>
  <c r="J456" i="1"/>
  <c r="J281" i="1"/>
  <c r="J275" i="1"/>
  <c r="J278" i="1"/>
  <c r="J280" i="1"/>
  <c r="J452" i="1"/>
  <c r="J449" i="1"/>
  <c r="J284" i="1"/>
  <c r="X387" i="1"/>
  <c r="W418" i="1"/>
  <c r="Q458" i="1"/>
  <c r="Q277" i="1"/>
  <c r="Q286" i="1"/>
  <c r="Q280" i="1"/>
  <c r="Q276" i="1"/>
  <c r="Q450" i="1"/>
  <c r="Q278" i="1"/>
  <c r="Q456" i="1"/>
  <c r="Q452" i="1"/>
  <c r="Q281" i="1"/>
  <c r="Q453" i="1"/>
  <c r="Q284" i="1"/>
  <c r="Q448" i="1"/>
  <c r="Q447" i="1"/>
  <c r="Q275" i="1"/>
  <c r="Q449" i="1"/>
  <c r="K35" i="4"/>
  <c r="J35" i="4"/>
  <c r="L35" i="4"/>
  <c r="H35" i="4"/>
  <c r="T35" i="4"/>
  <c r="U41" i="4"/>
  <c r="V41" i="4" s="1"/>
  <c r="L427" i="4" l="1"/>
  <c r="R427" i="4"/>
  <c r="G427" i="4"/>
  <c r="J23" i="27" s="1"/>
  <c r="J427" i="4"/>
  <c r="J21" i="31" s="1"/>
  <c r="O427" i="4"/>
  <c r="N427" i="4"/>
  <c r="H427" i="4"/>
  <c r="J22" i="29" s="1"/>
  <c r="M427" i="4"/>
  <c r="I458" i="4"/>
  <c r="M458" i="4"/>
  <c r="T458" i="4"/>
  <c r="S458" i="4"/>
  <c r="H458" i="4"/>
  <c r="J458" i="4"/>
  <c r="O458" i="4"/>
  <c r="R458" i="4"/>
  <c r="N422" i="4"/>
  <c r="G458" i="4"/>
  <c r="L458" i="4"/>
  <c r="N30" i="30"/>
  <c r="O476" i="4"/>
  <c r="O474" i="4"/>
  <c r="V474" i="4"/>
  <c r="Y474" i="4"/>
  <c r="K281" i="4"/>
  <c r="K485" i="4" s="1"/>
  <c r="G32" i="34"/>
  <c r="N30" i="34"/>
  <c r="G32" i="30"/>
  <c r="H32" i="30" s="1"/>
  <c r="G30" i="31"/>
  <c r="N28" i="31"/>
  <c r="H30" i="30"/>
  <c r="J431" i="4"/>
  <c r="I444" i="4"/>
  <c r="K444" i="4"/>
  <c r="L444" i="4"/>
  <c r="J444" i="4"/>
  <c r="H444" i="4"/>
  <c r="O444" i="4"/>
  <c r="M444" i="4"/>
  <c r="N444" i="4"/>
  <c r="N431" i="4"/>
  <c r="L436" i="4"/>
  <c r="E13" i="26"/>
  <c r="I422" i="4"/>
  <c r="T422" i="4"/>
  <c r="O422" i="4"/>
  <c r="L422" i="4"/>
  <c r="R422" i="4"/>
  <c r="M422" i="4"/>
  <c r="K422" i="4"/>
  <c r="S422" i="4"/>
  <c r="J422" i="4"/>
  <c r="G422" i="4"/>
  <c r="J449" i="4"/>
  <c r="K449" i="4"/>
  <c r="S449" i="4"/>
  <c r="N449" i="4"/>
  <c r="R449" i="4"/>
  <c r="T449" i="4"/>
  <c r="M449" i="4"/>
  <c r="W633" i="1"/>
  <c r="X633" i="1" s="1"/>
  <c r="L449" i="4"/>
  <c r="I449" i="4"/>
  <c r="R275" i="1"/>
  <c r="R456" i="1"/>
  <c r="R281" i="1"/>
  <c r="R453" i="1"/>
  <c r="R276" i="1"/>
  <c r="R284" i="1"/>
  <c r="R452" i="1"/>
  <c r="R277" i="1"/>
  <c r="R449" i="1"/>
  <c r="R447" i="1"/>
  <c r="R280" i="1"/>
  <c r="R286" i="1"/>
  <c r="R458" i="1"/>
  <c r="R448" i="1"/>
  <c r="R450" i="1"/>
  <c r="N426" i="4"/>
  <c r="N443" i="4"/>
  <c r="R426" i="4"/>
  <c r="R436" i="4"/>
  <c r="N436" i="4"/>
  <c r="M436" i="4"/>
  <c r="O436" i="4"/>
  <c r="H436" i="4"/>
  <c r="K22" i="29" s="1"/>
  <c r="J436" i="4"/>
  <c r="I436" i="4"/>
  <c r="G436" i="4"/>
  <c r="K436" i="4"/>
  <c r="T436" i="4"/>
  <c r="G431" i="4"/>
  <c r="H431" i="4"/>
  <c r="I431" i="4"/>
  <c r="M431" i="4"/>
  <c r="T431" i="4"/>
  <c r="S431" i="4"/>
  <c r="K431" i="4"/>
  <c r="R431" i="4"/>
  <c r="J445" i="4"/>
  <c r="F21" i="31" s="1"/>
  <c r="G445" i="4"/>
  <c r="F23" i="27" s="1"/>
  <c r="L445" i="4"/>
  <c r="H445" i="4"/>
  <c r="F22" i="29" s="1"/>
  <c r="N445" i="4"/>
  <c r="M445" i="4"/>
  <c r="K445" i="4"/>
  <c r="F23" i="34" s="1"/>
  <c r="U10" i="4"/>
  <c r="V10" i="4" s="1"/>
  <c r="N442" i="4"/>
  <c r="M442" i="4"/>
  <c r="I11" i="4"/>
  <c r="I49" i="4" s="1"/>
  <c r="I501" i="4" s="1"/>
  <c r="T442" i="4"/>
  <c r="J442" i="4"/>
  <c r="L21" i="31" s="1"/>
  <c r="K442" i="4"/>
  <c r="L23" i="34" s="1"/>
  <c r="W279" i="1"/>
  <c r="X279" i="1" s="1"/>
  <c r="W285" i="1"/>
  <c r="X285" i="1" s="1"/>
  <c r="K426" i="4"/>
  <c r="J426" i="4"/>
  <c r="S426" i="4"/>
  <c r="S428" i="4" s="1"/>
  <c r="H426" i="4"/>
  <c r="I426" i="4"/>
  <c r="L426" i="4"/>
  <c r="F428" i="4"/>
  <c r="G428" i="4"/>
  <c r="T426" i="4"/>
  <c r="T428" i="4" s="1"/>
  <c r="M426" i="4"/>
  <c r="J443" i="4"/>
  <c r="E21" i="31" s="1"/>
  <c r="M443" i="4"/>
  <c r="I443" i="4"/>
  <c r="E23" i="30" s="1"/>
  <c r="L443" i="4"/>
  <c r="S443" i="4"/>
  <c r="K443" i="4"/>
  <c r="E23" i="34" s="1"/>
  <c r="G443" i="4"/>
  <c r="E23" i="27" s="1"/>
  <c r="T443" i="4"/>
  <c r="O443" i="4"/>
  <c r="H443" i="4"/>
  <c r="E22" i="29" s="1"/>
  <c r="W287" i="1"/>
  <c r="X287" i="1" s="1"/>
  <c r="U47" i="4"/>
  <c r="V47" i="4" s="1"/>
  <c r="O442" i="4"/>
  <c r="F446" i="4"/>
  <c r="H442" i="4"/>
  <c r="R442" i="4"/>
  <c r="R446" i="4" s="1"/>
  <c r="I442" i="4"/>
  <c r="L23" i="30" s="1"/>
  <c r="G442" i="4"/>
  <c r="S442" i="4"/>
  <c r="U27" i="4"/>
  <c r="V27" i="4" s="1"/>
  <c r="W282" i="1"/>
  <c r="X282" i="1" s="1"/>
  <c r="W455" i="1"/>
  <c r="X455" i="1" s="1"/>
  <c r="W459" i="1"/>
  <c r="X459" i="1" s="1"/>
  <c r="W457" i="1"/>
  <c r="X457" i="1" s="1"/>
  <c r="W538" i="1"/>
  <c r="X538" i="1" s="1"/>
  <c r="T236" i="4"/>
  <c r="T484" i="4" s="1"/>
  <c r="S455" i="4"/>
  <c r="W451" i="1"/>
  <c r="X451" i="1" s="1"/>
  <c r="I455" i="4"/>
  <c r="J455" i="4"/>
  <c r="M455" i="4"/>
  <c r="K455" i="4"/>
  <c r="N455" i="4"/>
  <c r="G455" i="4"/>
  <c r="R455" i="4"/>
  <c r="H455" i="4"/>
  <c r="O455" i="4"/>
  <c r="T455" i="4"/>
  <c r="W283" i="1"/>
  <c r="X283" i="1" s="1"/>
  <c r="W97" i="1"/>
  <c r="X97" i="1" s="1"/>
  <c r="T432" i="4"/>
  <c r="H432" i="4"/>
  <c r="N432" i="4"/>
  <c r="K432" i="4"/>
  <c r="J432" i="4"/>
  <c r="I432" i="4"/>
  <c r="G432" i="4"/>
  <c r="I23" i="27" s="1"/>
  <c r="M432" i="4"/>
  <c r="L432" i="4"/>
  <c r="L433" i="4" s="1"/>
  <c r="S432" i="4"/>
  <c r="R432" i="4"/>
  <c r="F433" i="4"/>
  <c r="W537" i="1"/>
  <c r="X537" i="1" s="1"/>
  <c r="H452" i="4"/>
  <c r="R452" i="4"/>
  <c r="N452" i="4"/>
  <c r="G452" i="4"/>
  <c r="J452" i="4"/>
  <c r="W454" i="1"/>
  <c r="X454" i="1" s="1"/>
  <c r="T452" i="4"/>
  <c r="W541" i="1"/>
  <c r="X541" i="1" s="1"/>
  <c r="M452" i="4"/>
  <c r="I452" i="4"/>
  <c r="O452" i="4"/>
  <c r="S452" i="4"/>
  <c r="L452" i="4"/>
  <c r="W547" i="1"/>
  <c r="X547" i="1" s="1"/>
  <c r="K236" i="4"/>
  <c r="K496" i="4" s="1"/>
  <c r="W542" i="1"/>
  <c r="X542" i="1" s="1"/>
  <c r="R236" i="4"/>
  <c r="R496" i="4" s="1"/>
  <c r="U439" i="4"/>
  <c r="V439" i="4" s="1"/>
  <c r="N236" i="4"/>
  <c r="N496" i="4" s="1"/>
  <c r="S236" i="4"/>
  <c r="S484" i="4" s="1"/>
  <c r="J49" i="4"/>
  <c r="J501" i="4" s="1"/>
  <c r="M337" i="4"/>
  <c r="U337" i="4" s="1"/>
  <c r="V337" i="4" s="1"/>
  <c r="J236" i="4"/>
  <c r="J524" i="4" s="1"/>
  <c r="L369" i="4"/>
  <c r="L281" i="4"/>
  <c r="L236" i="4"/>
  <c r="L524" i="4" s="1"/>
  <c r="L49" i="4"/>
  <c r="L501" i="4" s="1"/>
  <c r="L325" i="4"/>
  <c r="U198" i="4"/>
  <c r="V198" i="4" s="1"/>
  <c r="H49" i="4"/>
  <c r="H501" i="4" s="1"/>
  <c r="I236" i="4"/>
  <c r="I484" i="4" s="1"/>
  <c r="T49" i="4"/>
  <c r="T501" i="4" s="1"/>
  <c r="K49" i="4"/>
  <c r="K501" i="4" s="1"/>
  <c r="N49" i="4"/>
  <c r="N501" i="4" s="1"/>
  <c r="S49" i="4"/>
  <c r="S501" i="4" s="1"/>
  <c r="M254" i="4"/>
  <c r="U254" i="4" s="1"/>
  <c r="V254" i="4" s="1"/>
  <c r="R49" i="4"/>
  <c r="R501" i="4" s="1"/>
  <c r="J564" i="4"/>
  <c r="H236" i="4"/>
  <c r="H524" i="4" s="1"/>
  <c r="I281" i="4"/>
  <c r="I485" i="4" s="1"/>
  <c r="J281" i="4"/>
  <c r="J485" i="4" s="1"/>
  <c r="M332" i="4"/>
  <c r="U332" i="4" s="1"/>
  <c r="V332" i="4" s="1"/>
  <c r="U330" i="4"/>
  <c r="V330" i="4" s="1"/>
  <c r="U218" i="4"/>
  <c r="V218" i="4" s="1"/>
  <c r="M222" i="4"/>
  <c r="U222" i="4" s="1"/>
  <c r="V222" i="4" s="1"/>
  <c r="M21" i="4"/>
  <c r="U21" i="4" s="1"/>
  <c r="V21" i="4" s="1"/>
  <c r="U19" i="4"/>
  <c r="V19" i="4" s="1"/>
  <c r="M529" i="4"/>
  <c r="U466" i="4"/>
  <c r="V466" i="4" s="1"/>
  <c r="M355" i="4"/>
  <c r="U355" i="4" s="1"/>
  <c r="V355" i="4" s="1"/>
  <c r="M342" i="4"/>
  <c r="U342" i="4" s="1"/>
  <c r="V342" i="4" s="1"/>
  <c r="M249" i="4"/>
  <c r="U249" i="4" s="1"/>
  <c r="V249" i="4" s="1"/>
  <c r="M478" i="4"/>
  <c r="U478" i="4" s="1"/>
  <c r="V478" i="4" s="1"/>
  <c r="U335" i="4"/>
  <c r="V335" i="4" s="1"/>
  <c r="U247" i="4"/>
  <c r="V247" i="4" s="1"/>
  <c r="U14" i="4"/>
  <c r="V14" i="4" s="1"/>
  <c r="M16" i="4"/>
  <c r="U16" i="4" s="1"/>
  <c r="V16" i="4" s="1"/>
  <c r="M288" i="4"/>
  <c r="U288" i="4" s="1"/>
  <c r="V288" i="4" s="1"/>
  <c r="U286" i="4"/>
  <c r="V286" i="4" s="1"/>
  <c r="M244" i="4"/>
  <c r="U244" i="4" s="1"/>
  <c r="V244" i="4" s="1"/>
  <c r="U242" i="4"/>
  <c r="V242" i="4" s="1"/>
  <c r="M209" i="4"/>
  <c r="U209" i="4" s="1"/>
  <c r="V209" i="4" s="1"/>
  <c r="U208" i="4"/>
  <c r="V208" i="4" s="1"/>
  <c r="O566" i="4"/>
  <c r="O565" i="4"/>
  <c r="O466" i="4"/>
  <c r="O468" i="4"/>
  <c r="O495" i="4"/>
  <c r="O469" i="4"/>
  <c r="O467" i="4"/>
  <c r="O475" i="4"/>
  <c r="P2" i="4"/>
  <c r="O477" i="4"/>
  <c r="O504" i="4"/>
  <c r="O317" i="4"/>
  <c r="O202" i="4"/>
  <c r="O309" i="4"/>
  <c r="O257" i="4"/>
  <c r="O331" i="4"/>
  <c r="O307" i="4"/>
  <c r="O320" i="4"/>
  <c r="O243" i="4"/>
  <c r="O264" i="4"/>
  <c r="O248" i="4"/>
  <c r="O354" i="4"/>
  <c r="O310" i="4"/>
  <c r="O340" i="4"/>
  <c r="O234" i="4"/>
  <c r="O353" i="4"/>
  <c r="O265" i="4"/>
  <c r="O273" i="4"/>
  <c r="O335" i="4"/>
  <c r="O351" i="4"/>
  <c r="O341" i="4"/>
  <c r="O297" i="4"/>
  <c r="O260" i="4"/>
  <c r="O279" i="4"/>
  <c r="O247" i="4"/>
  <c r="O291" i="4"/>
  <c r="O345" i="4"/>
  <c r="O301" i="4"/>
  <c r="O361" i="4"/>
  <c r="O308" i="4"/>
  <c r="O287" i="4"/>
  <c r="O352" i="4"/>
  <c r="O253" i="4"/>
  <c r="O336" i="4"/>
  <c r="O266" i="4"/>
  <c r="O296" i="4"/>
  <c r="O323" i="4"/>
  <c r="O198" i="4"/>
  <c r="O263" i="4"/>
  <c r="O364" i="4"/>
  <c r="O276" i="4"/>
  <c r="O292" i="4"/>
  <c r="O207" i="4"/>
  <c r="O252" i="4"/>
  <c r="O367" i="4"/>
  <c r="O215" i="4"/>
  <c r="O348" i="4"/>
  <c r="O304" i="4"/>
  <c r="O19" i="4"/>
  <c r="O34" i="4"/>
  <c r="O286" i="4"/>
  <c r="O20" i="4"/>
  <c r="O203" i="4"/>
  <c r="O228" i="4"/>
  <c r="O220" i="4"/>
  <c r="O27" i="4"/>
  <c r="O208" i="4"/>
  <c r="O212" i="4"/>
  <c r="O242" i="4"/>
  <c r="O14" i="4"/>
  <c r="O231" i="4"/>
  <c r="O218" i="4"/>
  <c r="O15" i="4"/>
  <c r="O330" i="4"/>
  <c r="O221" i="4"/>
  <c r="O219" i="4"/>
  <c r="O24" i="4"/>
  <c r="O10" i="4"/>
  <c r="O9" i="4"/>
  <c r="O431" i="4"/>
  <c r="O33" i="4"/>
  <c r="O31" i="4"/>
  <c r="O32" i="4"/>
  <c r="O44" i="4"/>
  <c r="O426" i="4"/>
  <c r="O432" i="4"/>
  <c r="O445" i="4"/>
  <c r="O41" i="4"/>
  <c r="O47" i="4"/>
  <c r="O439" i="4"/>
  <c r="O197" i="4"/>
  <c r="O449" i="4"/>
  <c r="L480" i="4"/>
  <c r="M204" i="4"/>
  <c r="M267" i="4"/>
  <c r="M298" i="4"/>
  <c r="U298" i="4" s="1"/>
  <c r="V298" i="4" s="1"/>
  <c r="M311" i="4"/>
  <c r="U311" i="4" s="1"/>
  <c r="V311" i="4" s="1"/>
  <c r="M293" i="4"/>
  <c r="U293" i="4" s="1"/>
  <c r="V293" i="4" s="1"/>
  <c r="U291" i="4"/>
  <c r="V291" i="4" s="1"/>
  <c r="U340" i="4"/>
  <c r="V340" i="4" s="1"/>
  <c r="U202" i="4"/>
  <c r="V202" i="4" s="1"/>
  <c r="U307" i="4"/>
  <c r="V307" i="4" s="1"/>
  <c r="U296" i="4"/>
  <c r="V296" i="4" s="1"/>
  <c r="U351" i="4"/>
  <c r="V351" i="4" s="1"/>
  <c r="U252" i="4"/>
  <c r="V252" i="4" s="1"/>
  <c r="C27" i="28"/>
  <c r="Q290" i="1"/>
  <c r="Q292" i="1" s="1"/>
  <c r="Q632" i="1" s="1"/>
  <c r="M290" i="1"/>
  <c r="M292" i="1" s="1"/>
  <c r="M632" i="1" s="1"/>
  <c r="V290" i="1"/>
  <c r="V292" i="1" s="1"/>
  <c r="V632" i="1" s="1"/>
  <c r="L290" i="1"/>
  <c r="L292" i="1" s="1"/>
  <c r="L540" i="1" s="1"/>
  <c r="U290" i="1"/>
  <c r="U292" i="1" s="1"/>
  <c r="U539" i="1" s="1"/>
  <c r="K290" i="1"/>
  <c r="K292" i="1" s="1"/>
  <c r="K540" i="1" s="1"/>
  <c r="N29" i="29"/>
  <c r="H29" i="29"/>
  <c r="Q462" i="1"/>
  <c r="Q464" i="1" s="1"/>
  <c r="J462" i="1"/>
  <c r="J464" i="1" s="1"/>
  <c r="M462" i="1"/>
  <c r="M464" i="1" s="1"/>
  <c r="U462" i="1"/>
  <c r="U464" i="1" s="1"/>
  <c r="O290" i="1"/>
  <c r="O292" i="1" s="1"/>
  <c r="G31" i="29"/>
  <c r="N485" i="4"/>
  <c r="V462" i="1"/>
  <c r="V464" i="1" s="1"/>
  <c r="H281" i="4"/>
  <c r="H485" i="4" s="1"/>
  <c r="N290" i="1"/>
  <c r="N292" i="1" s="1"/>
  <c r="N462" i="1"/>
  <c r="N464" i="1" s="1"/>
  <c r="S290" i="1"/>
  <c r="S292" i="1" s="1"/>
  <c r="P462" i="1"/>
  <c r="P464" i="1" s="1"/>
  <c r="K462" i="1"/>
  <c r="K464" i="1" s="1"/>
  <c r="T290" i="1"/>
  <c r="T292" i="1" s="1"/>
  <c r="T462" i="1"/>
  <c r="T464" i="1" s="1"/>
  <c r="I462" i="1"/>
  <c r="I464" i="1" s="1"/>
  <c r="U199" i="4"/>
  <c r="V199" i="4" s="1"/>
  <c r="O421" i="4"/>
  <c r="P421" i="4"/>
  <c r="N421" i="4"/>
  <c r="H421" i="4"/>
  <c r="R421" i="4"/>
  <c r="G421" i="4"/>
  <c r="F423" i="4"/>
  <c r="K421" i="4"/>
  <c r="T421" i="4"/>
  <c r="L421" i="4"/>
  <c r="S421" i="4"/>
  <c r="I421" i="4"/>
  <c r="J421" i="4"/>
  <c r="M421" i="4"/>
  <c r="G276" i="1"/>
  <c r="G278" i="1"/>
  <c r="W278" i="1" s="1"/>
  <c r="X278" i="1" s="1"/>
  <c r="G284" i="1"/>
  <c r="G281" i="1"/>
  <c r="W641" i="1"/>
  <c r="X641" i="1" s="1"/>
  <c r="G452" i="1"/>
  <c r="G449" i="1"/>
  <c r="G286" i="1"/>
  <c r="G456" i="1"/>
  <c r="G453" i="1"/>
  <c r="W453" i="1" s="1"/>
  <c r="X453" i="1" s="1"/>
  <c r="G275" i="1"/>
  <c r="G447" i="1"/>
  <c r="G277" i="1"/>
  <c r="G280" i="1"/>
  <c r="G458" i="1"/>
  <c r="G450" i="1"/>
  <c r="G448" i="1"/>
  <c r="F484" i="4"/>
  <c r="U598" i="4"/>
  <c r="V598" i="4" s="1"/>
  <c r="G314" i="4"/>
  <c r="G270" i="4"/>
  <c r="G225" i="4"/>
  <c r="G358" i="4"/>
  <c r="G38" i="4"/>
  <c r="U38" i="4" s="1"/>
  <c r="V38" i="4" s="1"/>
  <c r="G449" i="4"/>
  <c r="J290" i="1"/>
  <c r="J292" i="1" s="1"/>
  <c r="O462" i="1"/>
  <c r="O464" i="1" s="1"/>
  <c r="H290" i="1"/>
  <c r="H292" i="1" s="1"/>
  <c r="H462" i="1"/>
  <c r="H464" i="1" s="1"/>
  <c r="L462" i="1"/>
  <c r="L464" i="1" s="1"/>
  <c r="S462" i="1"/>
  <c r="S464" i="1" s="1"/>
  <c r="P290" i="1"/>
  <c r="P292" i="1" s="1"/>
  <c r="U35" i="4"/>
  <c r="V35" i="4" s="1"/>
  <c r="I290" i="1"/>
  <c r="I292" i="1" s="1"/>
  <c r="O428" i="4" l="1"/>
  <c r="U458" i="4"/>
  <c r="V458" i="4" s="1"/>
  <c r="N428" i="4"/>
  <c r="R428" i="4"/>
  <c r="U427" i="4"/>
  <c r="V427" i="4" s="1"/>
  <c r="M428" i="4"/>
  <c r="N423" i="4"/>
  <c r="R524" i="4"/>
  <c r="M23" i="34"/>
  <c r="M21" i="31"/>
  <c r="P476" i="4"/>
  <c r="P474" i="4"/>
  <c r="J433" i="4"/>
  <c r="M23" i="30"/>
  <c r="G23" i="34"/>
  <c r="K428" i="4"/>
  <c r="I23" i="34"/>
  <c r="K23" i="34"/>
  <c r="H32" i="34"/>
  <c r="K21" i="31"/>
  <c r="G21" i="31"/>
  <c r="H21" i="31" s="1"/>
  <c r="I21" i="31"/>
  <c r="H30" i="31"/>
  <c r="I23" i="30"/>
  <c r="K23" i="30"/>
  <c r="G23" i="30"/>
  <c r="H23" i="30" s="1"/>
  <c r="I22" i="29"/>
  <c r="U444" i="4"/>
  <c r="V444" i="4" s="1"/>
  <c r="T423" i="4"/>
  <c r="N433" i="4"/>
  <c r="W450" i="1"/>
  <c r="X450" i="1" s="1"/>
  <c r="W452" i="1"/>
  <c r="X452" i="1" s="1"/>
  <c r="O423" i="4"/>
  <c r="K23" i="27"/>
  <c r="W456" i="1"/>
  <c r="X456" i="1" s="1"/>
  <c r="M423" i="4"/>
  <c r="L423" i="4"/>
  <c r="R423" i="4"/>
  <c r="W449" i="1"/>
  <c r="X449" i="1" s="1"/>
  <c r="W281" i="1"/>
  <c r="X281" i="1" s="1"/>
  <c r="K423" i="4"/>
  <c r="W280" i="1"/>
  <c r="X280" i="1" s="1"/>
  <c r="S423" i="4"/>
  <c r="W286" i="1"/>
  <c r="X286" i="1" s="1"/>
  <c r="U422" i="4"/>
  <c r="V422" i="4" s="1"/>
  <c r="W276" i="1"/>
  <c r="X276" i="1" s="1"/>
  <c r="W458" i="1"/>
  <c r="X458" i="1" s="1"/>
  <c r="J428" i="4"/>
  <c r="H433" i="4"/>
  <c r="G446" i="4"/>
  <c r="W284" i="1"/>
  <c r="X284" i="1" s="1"/>
  <c r="W448" i="1"/>
  <c r="X448" i="1" s="1"/>
  <c r="R290" i="1"/>
  <c r="R292" i="1" s="1"/>
  <c r="F174" i="4" s="1"/>
  <c r="T524" i="4"/>
  <c r="T496" i="4"/>
  <c r="M433" i="4"/>
  <c r="W277" i="1"/>
  <c r="X277" i="1" s="1"/>
  <c r="L23" i="27"/>
  <c r="T512" i="4"/>
  <c r="R462" i="1"/>
  <c r="R464" i="1" s="1"/>
  <c r="T466" i="1" s="1"/>
  <c r="S433" i="4"/>
  <c r="U436" i="4"/>
  <c r="V436" i="4" s="1"/>
  <c r="T433" i="4"/>
  <c r="N446" i="4"/>
  <c r="I433" i="4"/>
  <c r="L446" i="4"/>
  <c r="U431" i="4"/>
  <c r="V431" i="4" s="1"/>
  <c r="T446" i="4"/>
  <c r="H446" i="4"/>
  <c r="K433" i="4"/>
  <c r="M446" i="4"/>
  <c r="R433" i="4"/>
  <c r="U445" i="4"/>
  <c r="V445" i="4" s="1"/>
  <c r="K524" i="4"/>
  <c r="U455" i="4"/>
  <c r="V455" i="4" s="1"/>
  <c r="L22" i="29"/>
  <c r="S446" i="4"/>
  <c r="J446" i="4"/>
  <c r="U11" i="4"/>
  <c r="V11" i="4" s="1"/>
  <c r="O446" i="4"/>
  <c r="I446" i="4"/>
  <c r="G22" i="29"/>
  <c r="H22" i="29" s="1"/>
  <c r="I428" i="4"/>
  <c r="U426" i="4"/>
  <c r="V426" i="4" s="1"/>
  <c r="U442" i="4"/>
  <c r="V442" i="4" s="1"/>
  <c r="H428" i="4"/>
  <c r="U443" i="4"/>
  <c r="V443" i="4" s="1"/>
  <c r="R484" i="4"/>
  <c r="R512" i="4"/>
  <c r="L428" i="4"/>
  <c r="K446" i="4"/>
  <c r="H496" i="4"/>
  <c r="H512" i="4"/>
  <c r="H484" i="4"/>
  <c r="K512" i="4"/>
  <c r="K484" i="4"/>
  <c r="U432" i="4"/>
  <c r="V432" i="4" s="1"/>
  <c r="S512" i="4"/>
  <c r="S496" i="4"/>
  <c r="S524" i="4"/>
  <c r="G433" i="4"/>
  <c r="J512" i="4"/>
  <c r="U452" i="4"/>
  <c r="V452" i="4" s="1"/>
  <c r="I512" i="4"/>
  <c r="N524" i="4"/>
  <c r="N512" i="4"/>
  <c r="N484" i="4"/>
  <c r="I524" i="4"/>
  <c r="I496" i="4"/>
  <c r="O244" i="4"/>
  <c r="J484" i="4"/>
  <c r="J496" i="4"/>
  <c r="M281" i="4"/>
  <c r="L485" i="4"/>
  <c r="K632" i="1"/>
  <c r="F160" i="4"/>
  <c r="J160" i="4" s="1"/>
  <c r="K539" i="1"/>
  <c r="K544" i="1" s="1"/>
  <c r="F384" i="4" s="1"/>
  <c r="F173" i="4"/>
  <c r="O173" i="4" s="1"/>
  <c r="F184" i="4"/>
  <c r="L184" i="4" s="1"/>
  <c r="F165" i="4"/>
  <c r="L165" i="4" s="1"/>
  <c r="O298" i="4"/>
  <c r="M540" i="1"/>
  <c r="O199" i="4"/>
  <c r="M539" i="1"/>
  <c r="O332" i="4"/>
  <c r="F161" i="4"/>
  <c r="J161" i="4" s="1"/>
  <c r="L632" i="1"/>
  <c r="L496" i="4"/>
  <c r="L484" i="4"/>
  <c r="L512" i="4"/>
  <c r="O288" i="4"/>
  <c r="F187" i="4"/>
  <c r="O187" i="4" s="1"/>
  <c r="Q539" i="1"/>
  <c r="U632" i="1"/>
  <c r="Q540" i="1"/>
  <c r="O249" i="4"/>
  <c r="U540" i="1"/>
  <c r="U544" i="1" s="1"/>
  <c r="F408" i="4" s="1"/>
  <c r="I408" i="4" s="1"/>
  <c r="L539" i="1"/>
  <c r="L544" i="1" s="1"/>
  <c r="F385" i="4" s="1"/>
  <c r="J385" i="4" s="1"/>
  <c r="M236" i="4"/>
  <c r="M496" i="4" s="1"/>
  <c r="U267" i="4"/>
  <c r="V267" i="4" s="1"/>
  <c r="V539" i="1"/>
  <c r="V540" i="1"/>
  <c r="O267" i="4"/>
  <c r="J423" i="4"/>
  <c r="I423" i="4"/>
  <c r="O254" i="4"/>
  <c r="O11" i="4"/>
  <c r="M369" i="4"/>
  <c r="L562" i="4"/>
  <c r="P469" i="4"/>
  <c r="P495" i="4"/>
  <c r="P566" i="4"/>
  <c r="P565" i="4"/>
  <c r="P466" i="4"/>
  <c r="P475" i="4"/>
  <c r="P504" i="4"/>
  <c r="P468" i="4"/>
  <c r="P477" i="4"/>
  <c r="Q2" i="4"/>
  <c r="P467" i="4"/>
  <c r="P317" i="4"/>
  <c r="P345" i="4"/>
  <c r="P361" i="4"/>
  <c r="P257" i="4"/>
  <c r="P307" i="4"/>
  <c r="P320" i="4"/>
  <c r="P243" i="4"/>
  <c r="P287" i="4"/>
  <c r="P264" i="4"/>
  <c r="P296" i="4"/>
  <c r="P323" i="4"/>
  <c r="P273" i="4"/>
  <c r="P335" i="4"/>
  <c r="P351" i="4"/>
  <c r="P364" i="4"/>
  <c r="P276" i="4"/>
  <c r="P292" i="4"/>
  <c r="P252" i="4"/>
  <c r="P367" i="4"/>
  <c r="P348" i="4"/>
  <c r="P279" i="4"/>
  <c r="P202" i="4"/>
  <c r="P247" i="4"/>
  <c r="P291" i="4"/>
  <c r="P301" i="4"/>
  <c r="P309" i="4"/>
  <c r="P308" i="4"/>
  <c r="P331" i="4"/>
  <c r="P352" i="4"/>
  <c r="P253" i="4"/>
  <c r="P336" i="4"/>
  <c r="P248" i="4"/>
  <c r="P266" i="4"/>
  <c r="P354" i="4"/>
  <c r="P310" i="4"/>
  <c r="P340" i="4"/>
  <c r="P234" i="4"/>
  <c r="P353" i="4"/>
  <c r="P198" i="4"/>
  <c r="P265" i="4"/>
  <c r="P263" i="4"/>
  <c r="P341" i="4"/>
  <c r="P297" i="4"/>
  <c r="P207" i="4"/>
  <c r="P215" i="4"/>
  <c r="P260" i="4"/>
  <c r="P304" i="4"/>
  <c r="P19" i="4"/>
  <c r="P20" i="4"/>
  <c r="P14" i="4"/>
  <c r="P231" i="4"/>
  <c r="P228" i="4"/>
  <c r="P330" i="4"/>
  <c r="P221" i="4"/>
  <c r="P27" i="4"/>
  <c r="P34" i="4"/>
  <c r="P286" i="4"/>
  <c r="P203" i="4"/>
  <c r="P218" i="4"/>
  <c r="P15" i="4"/>
  <c r="P219" i="4"/>
  <c r="P220" i="4"/>
  <c r="P208" i="4"/>
  <c r="P212" i="4"/>
  <c r="P242" i="4"/>
  <c r="P426" i="4"/>
  <c r="P432" i="4"/>
  <c r="P24" i="4"/>
  <c r="P431" i="4"/>
  <c r="P44" i="4"/>
  <c r="P445" i="4"/>
  <c r="P41" i="4"/>
  <c r="P10" i="4"/>
  <c r="P47" i="4"/>
  <c r="P9" i="4"/>
  <c r="P439" i="4"/>
  <c r="P197" i="4"/>
  <c r="P33" i="4"/>
  <c r="P31" i="4"/>
  <c r="P32" i="4"/>
  <c r="P449" i="4"/>
  <c r="P270" i="4"/>
  <c r="P225" i="4"/>
  <c r="P444" i="4"/>
  <c r="P458" i="4"/>
  <c r="P443" i="4"/>
  <c r="P422" i="4"/>
  <c r="P423" i="4" s="1"/>
  <c r="P436" i="4"/>
  <c r="P358" i="4"/>
  <c r="P314" i="4"/>
  <c r="P38" i="4"/>
  <c r="P427" i="4"/>
  <c r="P452" i="4"/>
  <c r="P455" i="4"/>
  <c r="P442" i="4"/>
  <c r="M325" i="4"/>
  <c r="O21" i="4"/>
  <c r="O209" i="4"/>
  <c r="O337" i="4"/>
  <c r="O311" i="4"/>
  <c r="O204" i="4"/>
  <c r="O471" i="4"/>
  <c r="U204" i="4"/>
  <c r="V204" i="4" s="1"/>
  <c r="O35" i="4"/>
  <c r="O433" i="4"/>
  <c r="O222" i="4"/>
  <c r="O16" i="4"/>
  <c r="O293" i="4"/>
  <c r="O355" i="4"/>
  <c r="O342" i="4"/>
  <c r="O478" i="4"/>
  <c r="M49" i="4"/>
  <c r="M501" i="4" s="1"/>
  <c r="F155" i="4"/>
  <c r="I540" i="1"/>
  <c r="I632" i="1"/>
  <c r="I539" i="1"/>
  <c r="F132" i="4"/>
  <c r="S124" i="1"/>
  <c r="S133" i="1" s="1"/>
  <c r="F86" i="4" s="1"/>
  <c r="S629" i="1"/>
  <c r="H124" i="1"/>
  <c r="H133" i="1" s="1"/>
  <c r="F58" i="4" s="1"/>
  <c r="H629" i="1"/>
  <c r="F105" i="4"/>
  <c r="O629" i="1"/>
  <c r="O124" i="1"/>
  <c r="O133" i="1" s="1"/>
  <c r="F79" i="4" s="1"/>
  <c r="F125" i="4"/>
  <c r="J540" i="1"/>
  <c r="J539" i="1"/>
  <c r="F156" i="4"/>
  <c r="J632" i="1"/>
  <c r="G30" i="27"/>
  <c r="U225" i="4"/>
  <c r="V225" i="4" s="1"/>
  <c r="G290" i="1"/>
  <c r="W275" i="1"/>
  <c r="X275" i="1" s="1"/>
  <c r="T124" i="1"/>
  <c r="T133" i="1" s="1"/>
  <c r="F89" i="4" s="1"/>
  <c r="F135" i="4"/>
  <c r="T629" i="1"/>
  <c r="K124" i="1"/>
  <c r="K133" i="1" s="1"/>
  <c r="F67" i="4" s="1"/>
  <c r="F114" i="4"/>
  <c r="K629" i="1"/>
  <c r="P124" i="1"/>
  <c r="P133" i="1" s="1"/>
  <c r="F80" i="4" s="1"/>
  <c r="P629" i="1"/>
  <c r="F126" i="4"/>
  <c r="S632" i="1"/>
  <c r="S540" i="1"/>
  <c r="S539" i="1"/>
  <c r="F178" i="4"/>
  <c r="F168" i="4"/>
  <c r="N540" i="1"/>
  <c r="N632" i="1"/>
  <c r="N539" i="1"/>
  <c r="H31" i="29"/>
  <c r="F138" i="4"/>
  <c r="U629" i="1"/>
  <c r="U124" i="1"/>
  <c r="U133" i="1" s="1"/>
  <c r="F92" i="4" s="1"/>
  <c r="M629" i="1"/>
  <c r="F119" i="4"/>
  <c r="M124" i="1"/>
  <c r="M133" i="1" s="1"/>
  <c r="F72" i="4" s="1"/>
  <c r="Q124" i="1"/>
  <c r="Q133" i="1" s="1"/>
  <c r="F81" i="4" s="1"/>
  <c r="Q629" i="1"/>
  <c r="F127" i="4"/>
  <c r="U314" i="4"/>
  <c r="V314" i="4" s="1"/>
  <c r="G325" i="4"/>
  <c r="P632" i="1"/>
  <c r="P539" i="1"/>
  <c r="F172" i="4"/>
  <c r="P540" i="1"/>
  <c r="F115" i="4"/>
  <c r="L124" i="1"/>
  <c r="L133" i="1" s="1"/>
  <c r="F68" i="4" s="1"/>
  <c r="L629" i="1"/>
  <c r="H540" i="1"/>
  <c r="H632" i="1"/>
  <c r="H539" i="1"/>
  <c r="F151" i="4"/>
  <c r="U449" i="4"/>
  <c r="V449" i="4" s="1"/>
  <c r="G23" i="27"/>
  <c r="H23" i="27" s="1"/>
  <c r="U358" i="4"/>
  <c r="V358" i="4" s="1"/>
  <c r="G369" i="4"/>
  <c r="U270" i="4"/>
  <c r="V270" i="4" s="1"/>
  <c r="G32" i="27"/>
  <c r="G281" i="4"/>
  <c r="W447" i="1"/>
  <c r="X447" i="1" s="1"/>
  <c r="G462" i="1"/>
  <c r="F460" i="4"/>
  <c r="G423" i="4"/>
  <c r="M23" i="27"/>
  <c r="U421" i="4"/>
  <c r="V421" i="4" s="1"/>
  <c r="H423" i="4"/>
  <c r="M22" i="29"/>
  <c r="I629" i="1"/>
  <c r="I124" i="1"/>
  <c r="I133" i="1" s="1"/>
  <c r="F62" i="4" s="1"/>
  <c r="F109" i="4"/>
  <c r="T540" i="1"/>
  <c r="T632" i="1"/>
  <c r="T539" i="1"/>
  <c r="F181" i="4"/>
  <c r="N124" i="1"/>
  <c r="N133" i="1" s="1"/>
  <c r="F75" i="4" s="1"/>
  <c r="N629" i="1"/>
  <c r="F122" i="4"/>
  <c r="V629" i="1"/>
  <c r="V124" i="1"/>
  <c r="V133" i="1" s="1"/>
  <c r="F95" i="4" s="1"/>
  <c r="F141" i="4"/>
  <c r="O539" i="1"/>
  <c r="F171" i="4"/>
  <c r="O632" i="1"/>
  <c r="O540" i="1"/>
  <c r="F110" i="4"/>
  <c r="J629" i="1"/>
  <c r="J124" i="1"/>
  <c r="J133" i="1" s="1"/>
  <c r="F63" i="4" s="1"/>
  <c r="G49" i="4"/>
  <c r="G236" i="4"/>
  <c r="Q476" i="4" l="1"/>
  <c r="Q474" i="4"/>
  <c r="N23" i="34"/>
  <c r="H23" i="34"/>
  <c r="N23" i="30"/>
  <c r="N21" i="31"/>
  <c r="N460" i="4"/>
  <c r="N612" i="4" s="1"/>
  <c r="R629" i="1"/>
  <c r="F128" i="4"/>
  <c r="R124" i="1"/>
  <c r="R133" i="1" s="1"/>
  <c r="F82" i="4" s="1"/>
  <c r="M67" i="4"/>
  <c r="P67" i="4"/>
  <c r="K67" i="4"/>
  <c r="S67" i="4"/>
  <c r="G67" i="4"/>
  <c r="L67" i="4"/>
  <c r="I67" i="4"/>
  <c r="T67" i="4"/>
  <c r="Q67" i="4"/>
  <c r="N67" i="4"/>
  <c r="J67" i="4"/>
  <c r="H67" i="4"/>
  <c r="R67" i="4"/>
  <c r="O67" i="4"/>
  <c r="M68" i="4"/>
  <c r="P68" i="4"/>
  <c r="Q68" i="4"/>
  <c r="R68" i="4"/>
  <c r="S68" i="4"/>
  <c r="T68" i="4"/>
  <c r="G68" i="4"/>
  <c r="O68" i="4"/>
  <c r="N68" i="4"/>
  <c r="K68" i="4"/>
  <c r="J68" i="4"/>
  <c r="I68" i="4"/>
  <c r="H68" i="4"/>
  <c r="L68" i="4"/>
  <c r="L460" i="4"/>
  <c r="L612" i="4" s="1"/>
  <c r="I173" i="4"/>
  <c r="M460" i="4"/>
  <c r="M612" i="4" s="1"/>
  <c r="R460" i="4"/>
  <c r="R510" i="4" s="1"/>
  <c r="R540" i="1"/>
  <c r="R539" i="1"/>
  <c r="R632" i="1"/>
  <c r="K460" i="4"/>
  <c r="K612" i="4" s="1"/>
  <c r="S460" i="4"/>
  <c r="S510" i="4" s="1"/>
  <c r="U433" i="4"/>
  <c r="V433" i="4" s="1"/>
  <c r="T460" i="4"/>
  <c r="T510" i="4" s="1"/>
  <c r="Q160" i="4"/>
  <c r="I160" i="4"/>
  <c r="N160" i="4"/>
  <c r="O460" i="4"/>
  <c r="O612" i="4" s="1"/>
  <c r="I460" i="4"/>
  <c r="I612" i="4" s="1"/>
  <c r="P160" i="4"/>
  <c r="T160" i="4"/>
  <c r="G160" i="4"/>
  <c r="S160" i="4"/>
  <c r="H184" i="4"/>
  <c r="U446" i="4"/>
  <c r="V446" i="4" s="1"/>
  <c r="J460" i="4"/>
  <c r="J612" i="4" s="1"/>
  <c r="H460" i="4"/>
  <c r="H510" i="4" s="1"/>
  <c r="N22" i="29"/>
  <c r="O160" i="4"/>
  <c r="M160" i="4"/>
  <c r="H160" i="4"/>
  <c r="L187" i="4"/>
  <c r="U428" i="4"/>
  <c r="V428" i="4" s="1"/>
  <c r="I184" i="4"/>
  <c r="P173" i="4"/>
  <c r="Q187" i="4"/>
  <c r="M187" i="4"/>
  <c r="I161" i="4"/>
  <c r="S161" i="4"/>
  <c r="J184" i="4"/>
  <c r="G184" i="4"/>
  <c r="G161" i="4"/>
  <c r="N161" i="4"/>
  <c r="R184" i="4"/>
  <c r="O161" i="4"/>
  <c r="K161" i="4"/>
  <c r="H161" i="4"/>
  <c r="Q184" i="4"/>
  <c r="T161" i="4"/>
  <c r="P184" i="4"/>
  <c r="T184" i="4"/>
  <c r="R161" i="4"/>
  <c r="Q161" i="4"/>
  <c r="S184" i="4"/>
  <c r="K184" i="4"/>
  <c r="P161" i="4"/>
  <c r="M161" i="4"/>
  <c r="N184" i="4"/>
  <c r="O184" i="4"/>
  <c r="L161" i="4"/>
  <c r="M184" i="4"/>
  <c r="H165" i="4"/>
  <c r="M485" i="4"/>
  <c r="U369" i="4"/>
  <c r="V369" i="4" s="1"/>
  <c r="M544" i="1"/>
  <c r="F389" i="4" s="1"/>
  <c r="I389" i="4" s="1"/>
  <c r="L160" i="4"/>
  <c r="R160" i="4"/>
  <c r="F162" i="4"/>
  <c r="K160" i="4"/>
  <c r="O325" i="4"/>
  <c r="R165" i="4"/>
  <c r="K165" i="4"/>
  <c r="M165" i="4"/>
  <c r="I165" i="4"/>
  <c r="J165" i="4"/>
  <c r="S165" i="4"/>
  <c r="P288" i="4"/>
  <c r="N165" i="4"/>
  <c r="O165" i="4"/>
  <c r="U325" i="4"/>
  <c r="V325" i="4" s="1"/>
  <c r="T165" i="4"/>
  <c r="Q165" i="4"/>
  <c r="P165" i="4"/>
  <c r="G165" i="4"/>
  <c r="I385" i="4"/>
  <c r="O385" i="4"/>
  <c r="G385" i="4"/>
  <c r="T385" i="4"/>
  <c r="H385" i="4"/>
  <c r="K385" i="4"/>
  <c r="O281" i="4"/>
  <c r="L385" i="4"/>
  <c r="N385" i="4"/>
  <c r="R385" i="4"/>
  <c r="P385" i="4"/>
  <c r="S385" i="4"/>
  <c r="M385" i="4"/>
  <c r="Q385" i="4"/>
  <c r="O384" i="4"/>
  <c r="R384" i="4"/>
  <c r="H384" i="4"/>
  <c r="Q384" i="4"/>
  <c r="M384" i="4"/>
  <c r="L384" i="4"/>
  <c r="I384" i="4"/>
  <c r="J384" i="4"/>
  <c r="J386" i="4" s="1"/>
  <c r="G384" i="4"/>
  <c r="K173" i="4"/>
  <c r="M173" i="4"/>
  <c r="G187" i="4"/>
  <c r="J173" i="4"/>
  <c r="H173" i="4"/>
  <c r="P187" i="4"/>
  <c r="I187" i="4"/>
  <c r="J187" i="4"/>
  <c r="G173" i="4"/>
  <c r="L173" i="4"/>
  <c r="H187" i="4"/>
  <c r="S187" i="4"/>
  <c r="R187" i="4"/>
  <c r="N173" i="4"/>
  <c r="K187" i="4"/>
  <c r="N187" i="4"/>
  <c r="Q173" i="4"/>
  <c r="T187" i="4"/>
  <c r="K408" i="4"/>
  <c r="N408" i="4"/>
  <c r="M524" i="4"/>
  <c r="P332" i="4"/>
  <c r="F386" i="4"/>
  <c r="Q544" i="1"/>
  <c r="F397" i="4" s="1"/>
  <c r="I397" i="4" s="1"/>
  <c r="T408" i="4"/>
  <c r="V544" i="1"/>
  <c r="F411" i="4" s="1"/>
  <c r="N411" i="4" s="1"/>
  <c r="P199" i="4"/>
  <c r="P244" i="4"/>
  <c r="T384" i="4"/>
  <c r="M512" i="4"/>
  <c r="S384" i="4"/>
  <c r="N384" i="4"/>
  <c r="P384" i="4"/>
  <c r="K384" i="4"/>
  <c r="M484" i="4"/>
  <c r="H408" i="4"/>
  <c r="G408" i="4"/>
  <c r="P408" i="4"/>
  <c r="M408" i="4"/>
  <c r="T544" i="1"/>
  <c r="F405" i="4" s="1"/>
  <c r="Q405" i="4" s="1"/>
  <c r="L408" i="4"/>
  <c r="J408" i="4"/>
  <c r="S408" i="4"/>
  <c r="J162" i="4"/>
  <c r="R408" i="4"/>
  <c r="Q408" i="4"/>
  <c r="O408" i="4"/>
  <c r="P433" i="4"/>
  <c r="N544" i="1"/>
  <c r="F392" i="4" s="1"/>
  <c r="N392" i="4" s="1"/>
  <c r="P11" i="4"/>
  <c r="H544" i="1"/>
  <c r="F375" i="4" s="1"/>
  <c r="I375" i="4" s="1"/>
  <c r="I544" i="1"/>
  <c r="F379" i="4" s="1"/>
  <c r="L379" i="4" s="1"/>
  <c r="P293" i="4"/>
  <c r="P21" i="4"/>
  <c r="P446" i="4"/>
  <c r="O480" i="4"/>
  <c r="O562" i="4" s="1"/>
  <c r="O564" i="4" s="1"/>
  <c r="O369" i="4"/>
  <c r="L564" i="4"/>
  <c r="O236" i="4"/>
  <c r="P428" i="4"/>
  <c r="P16" i="4"/>
  <c r="P209" i="4"/>
  <c r="P342" i="4"/>
  <c r="P204" i="4"/>
  <c r="P254" i="4"/>
  <c r="P355" i="4"/>
  <c r="P298" i="4"/>
  <c r="P471" i="4"/>
  <c r="Q566" i="4"/>
  <c r="Q565" i="4"/>
  <c r="Q467" i="4"/>
  <c r="Q475" i="4"/>
  <c r="Q504" i="4"/>
  <c r="R2" i="4"/>
  <c r="S2" i="4" s="1"/>
  <c r="T2" i="4" s="1"/>
  <c r="U2" i="4" s="1"/>
  <c r="V2" i="4" s="1"/>
  <c r="Q495" i="4"/>
  <c r="Q477" i="4"/>
  <c r="Q468" i="4"/>
  <c r="M468" i="4" s="1"/>
  <c r="Q466" i="4"/>
  <c r="Q469" i="4"/>
  <c r="M469" i="4" s="1"/>
  <c r="U469" i="4" s="1"/>
  <c r="V469" i="4" s="1"/>
  <c r="Q279" i="4"/>
  <c r="Q247" i="4"/>
  <c r="Q291" i="4"/>
  <c r="Q345" i="4"/>
  <c r="Q301" i="4"/>
  <c r="Q309" i="4"/>
  <c r="Q308" i="4"/>
  <c r="Q331" i="4"/>
  <c r="Q307" i="4"/>
  <c r="Q320" i="4"/>
  <c r="Q243" i="4"/>
  <c r="Q264" i="4"/>
  <c r="Q352" i="4"/>
  <c r="Q336" i="4"/>
  <c r="Q266" i="4"/>
  <c r="Q354" i="4"/>
  <c r="Q323" i="4"/>
  <c r="Q353" i="4"/>
  <c r="Q198" i="4"/>
  <c r="Q265" i="4"/>
  <c r="Q364" i="4"/>
  <c r="Q341" i="4"/>
  <c r="Q252" i="4"/>
  <c r="Q367" i="4"/>
  <c r="Q215" i="4"/>
  <c r="Q348" i="4"/>
  <c r="Q260" i="4"/>
  <c r="Q317" i="4"/>
  <c r="Q202" i="4"/>
  <c r="Q361" i="4"/>
  <c r="Q257" i="4"/>
  <c r="Q287" i="4"/>
  <c r="Q253" i="4"/>
  <c r="Q248" i="4"/>
  <c r="Q310" i="4"/>
  <c r="Q296" i="4"/>
  <c r="Q340" i="4"/>
  <c r="Q234" i="4"/>
  <c r="Q273" i="4"/>
  <c r="Q335" i="4"/>
  <c r="Q263" i="4"/>
  <c r="Q351" i="4"/>
  <c r="Q276" i="4"/>
  <c r="Q297" i="4"/>
  <c r="Q292" i="4"/>
  <c r="Q207" i="4"/>
  <c r="Q304" i="4"/>
  <c r="Q19" i="4"/>
  <c r="Q286" i="4"/>
  <c r="Q231" i="4"/>
  <c r="Q218" i="4"/>
  <c r="Q330" i="4"/>
  <c r="Q208" i="4"/>
  <c r="Q242" i="4"/>
  <c r="Q34" i="4"/>
  <c r="Q20" i="4"/>
  <c r="Q14" i="4"/>
  <c r="Q203" i="4"/>
  <c r="Q228" i="4"/>
  <c r="Q15" i="4"/>
  <c r="Q221" i="4"/>
  <c r="Q219" i="4"/>
  <c r="Q220" i="4"/>
  <c r="Q27" i="4"/>
  <c r="Q212" i="4"/>
  <c r="Q44" i="4"/>
  <c r="Q426" i="4"/>
  <c r="Q432" i="4"/>
  <c r="Q41" i="4"/>
  <c r="Q10" i="4"/>
  <c r="Q47" i="4"/>
  <c r="Q9" i="4"/>
  <c r="Q439" i="4"/>
  <c r="Q31" i="4"/>
  <c r="Q32" i="4"/>
  <c r="Q445" i="4"/>
  <c r="Q24" i="4"/>
  <c r="Q197" i="4"/>
  <c r="Q431" i="4"/>
  <c r="Q33" i="4"/>
  <c r="Q449" i="4"/>
  <c r="Q427" i="4"/>
  <c r="Q452" i="4"/>
  <c r="Q314" i="4"/>
  <c r="Q358" i="4"/>
  <c r="Q38" i="4"/>
  <c r="Q442" i="4"/>
  <c r="Q422" i="4"/>
  <c r="Q436" i="4"/>
  <c r="Q444" i="4"/>
  <c r="Q458" i="4"/>
  <c r="Q225" i="4"/>
  <c r="Q270" i="4"/>
  <c r="Q455" i="4"/>
  <c r="Q443" i="4"/>
  <c r="Q421" i="4"/>
  <c r="C29" i="28"/>
  <c r="C14" i="28"/>
  <c r="O49" i="4"/>
  <c r="O501" i="4" s="1"/>
  <c r="P35" i="4"/>
  <c r="P222" i="4"/>
  <c r="P267" i="4"/>
  <c r="P249" i="4"/>
  <c r="P337" i="4"/>
  <c r="P311" i="4"/>
  <c r="P478" i="4"/>
  <c r="S544" i="1"/>
  <c r="F402" i="4" s="1"/>
  <c r="M402" i="4" s="1"/>
  <c r="O544" i="1"/>
  <c r="F395" i="4" s="1"/>
  <c r="J395" i="4" s="1"/>
  <c r="L29" i="31" s="1"/>
  <c r="G496" i="4"/>
  <c r="G524" i="4"/>
  <c r="U236" i="4"/>
  <c r="V236" i="4" s="1"/>
  <c r="G512" i="4"/>
  <c r="G484" i="4"/>
  <c r="G501" i="4"/>
  <c r="U501" i="4" s="1"/>
  <c r="V501" i="4" s="1"/>
  <c r="U49" i="4"/>
  <c r="V49" i="4" s="1"/>
  <c r="S171" i="4"/>
  <c r="R171" i="4"/>
  <c r="L171" i="4"/>
  <c r="N171" i="4"/>
  <c r="H171" i="4"/>
  <c r="M171" i="4"/>
  <c r="Q171" i="4"/>
  <c r="F175" i="4"/>
  <c r="O171" i="4"/>
  <c r="K171" i="4"/>
  <c r="I171" i="4"/>
  <c r="G171" i="4"/>
  <c r="T171" i="4"/>
  <c r="J171" i="4"/>
  <c r="P171" i="4"/>
  <c r="R141" i="4"/>
  <c r="H141" i="4"/>
  <c r="J141" i="4"/>
  <c r="M141" i="4"/>
  <c r="G141" i="4"/>
  <c r="S141" i="4"/>
  <c r="P141" i="4"/>
  <c r="N141" i="4"/>
  <c r="L141" i="4"/>
  <c r="O141" i="4"/>
  <c r="Q141" i="4"/>
  <c r="I141" i="4"/>
  <c r="K141" i="4"/>
  <c r="T141" i="4"/>
  <c r="O128" i="4"/>
  <c r="H128" i="4"/>
  <c r="F28" i="29" s="1"/>
  <c r="J128" i="4"/>
  <c r="F27" i="31" s="1"/>
  <c r="P128" i="4"/>
  <c r="N128" i="4"/>
  <c r="L128" i="4"/>
  <c r="G128" i="4"/>
  <c r="F29" i="27" s="1"/>
  <c r="K128" i="4"/>
  <c r="F29" i="34" s="1"/>
  <c r="M128" i="4"/>
  <c r="Q128" i="4"/>
  <c r="I128" i="4"/>
  <c r="F29" i="30" s="1"/>
  <c r="N122" i="4"/>
  <c r="S122" i="4"/>
  <c r="R122" i="4"/>
  <c r="H122" i="4"/>
  <c r="J122" i="4"/>
  <c r="M122" i="4"/>
  <c r="Q122" i="4"/>
  <c r="O122" i="4"/>
  <c r="K122" i="4"/>
  <c r="T122" i="4"/>
  <c r="G122" i="4"/>
  <c r="I122" i="4"/>
  <c r="L122" i="4"/>
  <c r="P122" i="4"/>
  <c r="O75" i="4"/>
  <c r="G75" i="4"/>
  <c r="I75" i="4"/>
  <c r="L75" i="4"/>
  <c r="K75" i="4"/>
  <c r="R75" i="4"/>
  <c r="P75" i="4"/>
  <c r="T75" i="4"/>
  <c r="J75" i="4"/>
  <c r="N75" i="4"/>
  <c r="Q75" i="4"/>
  <c r="H75" i="4"/>
  <c r="M75" i="4"/>
  <c r="S75" i="4"/>
  <c r="K62" i="4"/>
  <c r="S62" i="4"/>
  <c r="H62" i="4"/>
  <c r="J62" i="4"/>
  <c r="P62" i="4"/>
  <c r="R62" i="4"/>
  <c r="G62" i="4"/>
  <c r="L62" i="4"/>
  <c r="Q62" i="4"/>
  <c r="F64" i="4"/>
  <c r="M62" i="4"/>
  <c r="T62" i="4"/>
  <c r="N62" i="4"/>
  <c r="I62" i="4"/>
  <c r="O62" i="4"/>
  <c r="U423" i="4"/>
  <c r="V423" i="4" s="1"/>
  <c r="G460" i="4"/>
  <c r="F612" i="4"/>
  <c r="H32" i="27"/>
  <c r="H151" i="4"/>
  <c r="J151" i="4"/>
  <c r="M151" i="4"/>
  <c r="O151" i="4"/>
  <c r="K151" i="4"/>
  <c r="T151" i="4"/>
  <c r="P151" i="4"/>
  <c r="S151" i="4"/>
  <c r="I151" i="4"/>
  <c r="L151" i="4"/>
  <c r="Q151" i="4"/>
  <c r="N151" i="4"/>
  <c r="G151" i="4"/>
  <c r="R151" i="4"/>
  <c r="N115" i="4"/>
  <c r="S115" i="4"/>
  <c r="I115" i="4"/>
  <c r="P115" i="4"/>
  <c r="O115" i="4"/>
  <c r="T115" i="4"/>
  <c r="K115" i="4"/>
  <c r="G115" i="4"/>
  <c r="J115" i="4"/>
  <c r="R115" i="4"/>
  <c r="L115" i="4"/>
  <c r="H115" i="4"/>
  <c r="M115" i="4"/>
  <c r="Q115" i="4"/>
  <c r="G172" i="4"/>
  <c r="K172" i="4"/>
  <c r="L172" i="4"/>
  <c r="N172" i="4"/>
  <c r="S172" i="4"/>
  <c r="P172" i="4"/>
  <c r="Q172" i="4"/>
  <c r="M172" i="4"/>
  <c r="R172" i="4"/>
  <c r="I172" i="4"/>
  <c r="H172" i="4"/>
  <c r="T172" i="4"/>
  <c r="J172" i="4"/>
  <c r="O172" i="4"/>
  <c r="T72" i="4"/>
  <c r="S72" i="4"/>
  <c r="I72" i="4"/>
  <c r="L72" i="4"/>
  <c r="P72" i="4"/>
  <c r="G72" i="4"/>
  <c r="R72" i="4"/>
  <c r="K72" i="4"/>
  <c r="H72" i="4"/>
  <c r="J72" i="4"/>
  <c r="M72" i="4"/>
  <c r="O72" i="4"/>
  <c r="N72" i="4"/>
  <c r="Q72" i="4"/>
  <c r="R178" i="4"/>
  <c r="N178" i="4"/>
  <c r="T178" i="4"/>
  <c r="M178" i="4"/>
  <c r="O178" i="4"/>
  <c r="L178" i="4"/>
  <c r="H178" i="4"/>
  <c r="I178" i="4"/>
  <c r="J178" i="4"/>
  <c r="K178" i="4"/>
  <c r="G178" i="4"/>
  <c r="S178" i="4"/>
  <c r="Q178" i="4"/>
  <c r="P178" i="4"/>
  <c r="H126" i="4"/>
  <c r="E28" i="29" s="1"/>
  <c r="S126" i="4"/>
  <c r="G126" i="4"/>
  <c r="L126" i="4"/>
  <c r="T126" i="4"/>
  <c r="J126" i="4"/>
  <c r="E27" i="31" s="1"/>
  <c r="P126" i="4"/>
  <c r="O126" i="4"/>
  <c r="R126" i="4"/>
  <c r="I126" i="4"/>
  <c r="E29" i="30" s="1"/>
  <c r="N126" i="4"/>
  <c r="K126" i="4"/>
  <c r="E29" i="34" s="1"/>
  <c r="M126" i="4"/>
  <c r="Q126" i="4"/>
  <c r="O80" i="4"/>
  <c r="G80" i="4"/>
  <c r="J80" i="4"/>
  <c r="E13" i="31" s="1"/>
  <c r="P80" i="4"/>
  <c r="N80" i="4"/>
  <c r="L80" i="4"/>
  <c r="Q80" i="4"/>
  <c r="H80" i="4"/>
  <c r="K80" i="4"/>
  <c r="E15" i="34" s="1"/>
  <c r="M80" i="4"/>
  <c r="S80" i="4"/>
  <c r="T80" i="4"/>
  <c r="R80" i="4"/>
  <c r="I80" i="4"/>
  <c r="E15" i="30" s="1"/>
  <c r="O114" i="4"/>
  <c r="G114" i="4"/>
  <c r="F116" i="4"/>
  <c r="L114" i="4"/>
  <c r="R114" i="4"/>
  <c r="H114" i="4"/>
  <c r="M114" i="4"/>
  <c r="Q114" i="4"/>
  <c r="S114" i="4"/>
  <c r="K114" i="4"/>
  <c r="I114" i="4"/>
  <c r="N114" i="4"/>
  <c r="T114" i="4"/>
  <c r="J114" i="4"/>
  <c r="P114" i="4"/>
  <c r="G135" i="4"/>
  <c r="N135" i="4"/>
  <c r="R135" i="4"/>
  <c r="H135" i="4"/>
  <c r="J135" i="4"/>
  <c r="P135" i="4"/>
  <c r="Q135" i="4"/>
  <c r="M135" i="4"/>
  <c r="T135" i="4"/>
  <c r="S135" i="4"/>
  <c r="K135" i="4"/>
  <c r="I135" i="4"/>
  <c r="L135" i="4"/>
  <c r="O135" i="4"/>
  <c r="W290" i="1"/>
  <c r="X290" i="1" s="1"/>
  <c r="G292" i="1"/>
  <c r="H30" i="27"/>
  <c r="N30" i="27"/>
  <c r="O156" i="4"/>
  <c r="S156" i="4"/>
  <c r="R156" i="4"/>
  <c r="N156" i="4"/>
  <c r="G156" i="4"/>
  <c r="H156" i="4"/>
  <c r="J156" i="4"/>
  <c r="P156" i="4"/>
  <c r="Q156" i="4"/>
  <c r="K156" i="4"/>
  <c r="T156" i="4"/>
  <c r="I156" i="4"/>
  <c r="L156" i="4"/>
  <c r="M156" i="4"/>
  <c r="K79" i="4"/>
  <c r="L15" i="34" s="1"/>
  <c r="S79" i="4"/>
  <c r="M79" i="4"/>
  <c r="G79" i="4"/>
  <c r="N79" i="4"/>
  <c r="I79" i="4"/>
  <c r="L15" i="30" s="1"/>
  <c r="P79" i="4"/>
  <c r="T79" i="4"/>
  <c r="H79" i="4"/>
  <c r="J79" i="4"/>
  <c r="L13" i="31" s="1"/>
  <c r="O79" i="4"/>
  <c r="R79" i="4"/>
  <c r="F83" i="4"/>
  <c r="L79" i="4"/>
  <c r="Q79" i="4"/>
  <c r="R105" i="4"/>
  <c r="K105" i="4"/>
  <c r="J105" i="4"/>
  <c r="O105" i="4"/>
  <c r="S105" i="4"/>
  <c r="I105" i="4"/>
  <c r="P105" i="4"/>
  <c r="T105" i="4"/>
  <c r="H105" i="4"/>
  <c r="M105" i="4"/>
  <c r="G105" i="4"/>
  <c r="N105" i="4"/>
  <c r="L105" i="4"/>
  <c r="Q105" i="4"/>
  <c r="R58" i="4"/>
  <c r="T58" i="4"/>
  <c r="J58" i="4"/>
  <c r="O58" i="4"/>
  <c r="S58" i="4"/>
  <c r="I58" i="4"/>
  <c r="P58" i="4"/>
  <c r="N58" i="4"/>
  <c r="H58" i="4"/>
  <c r="M58" i="4"/>
  <c r="K58" i="4"/>
  <c r="G58" i="4"/>
  <c r="L58" i="4"/>
  <c r="Q58" i="4"/>
  <c r="R86" i="4"/>
  <c r="T86" i="4"/>
  <c r="N86" i="4"/>
  <c r="M86" i="4"/>
  <c r="O86" i="4"/>
  <c r="P86" i="4"/>
  <c r="K86" i="4"/>
  <c r="S86" i="4"/>
  <c r="Q86" i="4"/>
  <c r="L86" i="4"/>
  <c r="H86" i="4"/>
  <c r="I86" i="4"/>
  <c r="J86" i="4"/>
  <c r="G86" i="4"/>
  <c r="S379" i="4"/>
  <c r="R544" i="1"/>
  <c r="F398" i="4" s="1"/>
  <c r="N23" i="27"/>
  <c r="O63" i="4"/>
  <c r="K63" i="4"/>
  <c r="J15" i="34" s="1"/>
  <c r="H63" i="4"/>
  <c r="J14" i="29" s="1"/>
  <c r="J63" i="4"/>
  <c r="J13" i="31" s="1"/>
  <c r="T63" i="4"/>
  <c r="R63" i="4"/>
  <c r="L63" i="4"/>
  <c r="Q63" i="4"/>
  <c r="N63" i="4"/>
  <c r="S63" i="4"/>
  <c r="P63" i="4"/>
  <c r="G63" i="4"/>
  <c r="M63" i="4"/>
  <c r="I63" i="4"/>
  <c r="J15" i="30" s="1"/>
  <c r="R110" i="4"/>
  <c r="H110" i="4"/>
  <c r="J28" i="29" s="1"/>
  <c r="J110" i="4"/>
  <c r="J27" i="31" s="1"/>
  <c r="M110" i="4"/>
  <c r="O110" i="4"/>
  <c r="N110" i="4"/>
  <c r="L110" i="4"/>
  <c r="Q110" i="4"/>
  <c r="T110" i="4"/>
  <c r="K110" i="4"/>
  <c r="J29" i="34" s="1"/>
  <c r="P110" i="4"/>
  <c r="G110" i="4"/>
  <c r="S110" i="4"/>
  <c r="I110" i="4"/>
  <c r="J29" i="30" s="1"/>
  <c r="G95" i="4"/>
  <c r="K95" i="4"/>
  <c r="H95" i="4"/>
  <c r="J95" i="4"/>
  <c r="M95" i="4"/>
  <c r="R95" i="4"/>
  <c r="P95" i="4"/>
  <c r="N95" i="4"/>
  <c r="L95" i="4"/>
  <c r="O95" i="4"/>
  <c r="T95" i="4"/>
  <c r="I95" i="4"/>
  <c r="S95" i="4"/>
  <c r="Q95" i="4"/>
  <c r="O82" i="4"/>
  <c r="H82" i="4"/>
  <c r="F14" i="29" s="1"/>
  <c r="J82" i="4"/>
  <c r="F13" i="31" s="1"/>
  <c r="Q82" i="4"/>
  <c r="I82" i="4"/>
  <c r="F15" i="30" s="1"/>
  <c r="L82" i="4"/>
  <c r="G82" i="4"/>
  <c r="F15" i="27" s="1"/>
  <c r="K82" i="4"/>
  <c r="F15" i="34" s="1"/>
  <c r="M82" i="4"/>
  <c r="N82" i="4"/>
  <c r="P82" i="4"/>
  <c r="T181" i="4"/>
  <c r="H181" i="4"/>
  <c r="J181" i="4"/>
  <c r="M181" i="4"/>
  <c r="G181" i="4"/>
  <c r="N181" i="4"/>
  <c r="Q181" i="4"/>
  <c r="O181" i="4"/>
  <c r="S181" i="4"/>
  <c r="I181" i="4"/>
  <c r="L181" i="4"/>
  <c r="P181" i="4"/>
  <c r="K181" i="4"/>
  <c r="R181" i="4"/>
  <c r="S109" i="4"/>
  <c r="N109" i="4"/>
  <c r="M109" i="4"/>
  <c r="T109" i="4"/>
  <c r="K109" i="4"/>
  <c r="I109" i="4"/>
  <c r="O109" i="4"/>
  <c r="G109" i="4"/>
  <c r="H109" i="4"/>
  <c r="J109" i="4"/>
  <c r="P109" i="4"/>
  <c r="R109" i="4"/>
  <c r="F111" i="4"/>
  <c r="L109" i="4"/>
  <c r="Q109" i="4"/>
  <c r="W462" i="1"/>
  <c r="X462" i="1" s="1"/>
  <c r="G464" i="1"/>
  <c r="U281" i="4"/>
  <c r="V281" i="4" s="1"/>
  <c r="G485" i="4"/>
  <c r="H127" i="4"/>
  <c r="M127" i="4"/>
  <c r="G127" i="4"/>
  <c r="I127" i="4"/>
  <c r="P127" i="4"/>
  <c r="N127" i="4"/>
  <c r="J127" i="4"/>
  <c r="O127" i="4"/>
  <c r="K127" i="4"/>
  <c r="L127" i="4"/>
  <c r="Q127" i="4"/>
  <c r="P81" i="4"/>
  <c r="K81" i="4"/>
  <c r="N81" i="4"/>
  <c r="I81" i="4"/>
  <c r="L81" i="4"/>
  <c r="Q81" i="4"/>
  <c r="O81" i="4"/>
  <c r="H81" i="4"/>
  <c r="M81" i="4"/>
  <c r="F631" i="4"/>
  <c r="G81" i="4"/>
  <c r="J81" i="4"/>
  <c r="O119" i="4"/>
  <c r="K119" i="4"/>
  <c r="S119" i="4"/>
  <c r="J119" i="4"/>
  <c r="N119" i="4"/>
  <c r="T119" i="4"/>
  <c r="L119" i="4"/>
  <c r="Q119" i="4"/>
  <c r="R119" i="4"/>
  <c r="H119" i="4"/>
  <c r="M119" i="4"/>
  <c r="G119" i="4"/>
  <c r="I119" i="4"/>
  <c r="P119" i="4"/>
  <c r="R92" i="4"/>
  <c r="I92" i="4"/>
  <c r="L92" i="4"/>
  <c r="N92" i="4"/>
  <c r="K92" i="4"/>
  <c r="S92" i="4"/>
  <c r="O92" i="4"/>
  <c r="H92" i="4"/>
  <c r="J92" i="4"/>
  <c r="M92" i="4"/>
  <c r="G92" i="4"/>
  <c r="P92" i="4"/>
  <c r="T92" i="4"/>
  <c r="Q92" i="4"/>
  <c r="M138" i="4"/>
  <c r="R138" i="4"/>
  <c r="K138" i="4"/>
  <c r="I138" i="4"/>
  <c r="L138" i="4"/>
  <c r="G138" i="4"/>
  <c r="P138" i="4"/>
  <c r="T138" i="4"/>
  <c r="N138" i="4"/>
  <c r="H138" i="4"/>
  <c r="J138" i="4"/>
  <c r="S138" i="4"/>
  <c r="O138" i="4"/>
  <c r="Q138" i="4"/>
  <c r="P174" i="4"/>
  <c r="O174" i="4"/>
  <c r="H174" i="4"/>
  <c r="I174" i="4"/>
  <c r="L174" i="4"/>
  <c r="K174" i="4"/>
  <c r="Q174" i="4"/>
  <c r="G174" i="4"/>
  <c r="N174" i="4"/>
  <c r="J174" i="4"/>
  <c r="M174" i="4"/>
  <c r="S168" i="4"/>
  <c r="G168" i="4"/>
  <c r="K168" i="4"/>
  <c r="H168" i="4"/>
  <c r="J168" i="4"/>
  <c r="M168" i="4"/>
  <c r="Q168" i="4"/>
  <c r="O168" i="4"/>
  <c r="T168" i="4"/>
  <c r="N168" i="4"/>
  <c r="R168" i="4"/>
  <c r="I168" i="4"/>
  <c r="L168" i="4"/>
  <c r="P168" i="4"/>
  <c r="F69" i="4"/>
  <c r="K89" i="4"/>
  <c r="T89" i="4"/>
  <c r="G89" i="4"/>
  <c r="J89" i="4"/>
  <c r="I89" i="4"/>
  <c r="O89" i="4"/>
  <c r="Q89" i="4"/>
  <c r="M89" i="4"/>
  <c r="N89" i="4"/>
  <c r="R89" i="4"/>
  <c r="H89" i="4"/>
  <c r="S89" i="4"/>
  <c r="L89" i="4"/>
  <c r="P89" i="4"/>
  <c r="O125" i="4"/>
  <c r="K125" i="4"/>
  <c r="L29" i="34" s="1"/>
  <c r="H125" i="4"/>
  <c r="J125" i="4"/>
  <c r="L27" i="31" s="1"/>
  <c r="S125" i="4"/>
  <c r="R125" i="4"/>
  <c r="I125" i="4"/>
  <c r="L29" i="30" s="1"/>
  <c r="P125" i="4"/>
  <c r="T125" i="4"/>
  <c r="N125" i="4"/>
  <c r="M125" i="4"/>
  <c r="G125" i="4"/>
  <c r="F129" i="4"/>
  <c r="L125" i="4"/>
  <c r="Q125" i="4"/>
  <c r="O132" i="4"/>
  <c r="H132" i="4"/>
  <c r="I132" i="4"/>
  <c r="P132" i="4"/>
  <c r="J132" i="4"/>
  <c r="K132" i="4"/>
  <c r="R132" i="4"/>
  <c r="T132" i="4"/>
  <c r="S132" i="4"/>
  <c r="N132" i="4"/>
  <c r="M132" i="4"/>
  <c r="Q132" i="4"/>
  <c r="L132" i="4"/>
  <c r="G132" i="4"/>
  <c r="P155" i="4"/>
  <c r="R155" i="4"/>
  <c r="J155" i="4"/>
  <c r="T155" i="4"/>
  <c r="F157" i="4"/>
  <c r="G155" i="4"/>
  <c r="L155" i="4"/>
  <c r="Q155" i="4"/>
  <c r="K155" i="4"/>
  <c r="M155" i="4"/>
  <c r="S155" i="4"/>
  <c r="O155" i="4"/>
  <c r="H155" i="4"/>
  <c r="N155" i="4"/>
  <c r="I155" i="4"/>
  <c r="P544" i="1"/>
  <c r="F396" i="4" s="1"/>
  <c r="J544" i="1"/>
  <c r="F380" i="4" s="1"/>
  <c r="U173" i="4" l="1"/>
  <c r="V173" i="4" s="1"/>
  <c r="U127" i="4"/>
  <c r="V127" i="4" s="1"/>
  <c r="U81" i="4"/>
  <c r="V81" i="4" s="1"/>
  <c r="I28" i="29"/>
  <c r="N510" i="4"/>
  <c r="I15" i="30"/>
  <c r="I13" i="31"/>
  <c r="I29" i="34"/>
  <c r="I27" i="31"/>
  <c r="I15" i="34"/>
  <c r="K15" i="30"/>
  <c r="G29" i="30"/>
  <c r="H29" i="30" s="1"/>
  <c r="K15" i="34"/>
  <c r="G29" i="34"/>
  <c r="H29" i="34" s="1"/>
  <c r="I29" i="30"/>
  <c r="D9" i="26"/>
  <c r="G15" i="34"/>
  <c r="H15" i="34" s="1"/>
  <c r="K29" i="34"/>
  <c r="D12" i="26"/>
  <c r="G27" i="31"/>
  <c r="H27" i="31" s="1"/>
  <c r="K13" i="31"/>
  <c r="K27" i="31"/>
  <c r="I162" i="4"/>
  <c r="G13" i="31"/>
  <c r="H13" i="31" s="1"/>
  <c r="K29" i="30"/>
  <c r="K31" i="30"/>
  <c r="K32" i="30"/>
  <c r="N32" i="30" s="1"/>
  <c r="G15" i="30"/>
  <c r="H15" i="30" s="1"/>
  <c r="I14" i="29"/>
  <c r="K28" i="29"/>
  <c r="E14" i="29"/>
  <c r="H99" i="4"/>
  <c r="I15" i="27"/>
  <c r="K29" i="27"/>
  <c r="I29" i="27"/>
  <c r="K162" i="4"/>
  <c r="R162" i="4"/>
  <c r="M510" i="4"/>
  <c r="L510" i="4"/>
  <c r="U68" i="4"/>
  <c r="V68" i="4" s="1"/>
  <c r="U67" i="4"/>
  <c r="V67" i="4" s="1"/>
  <c r="T379" i="4"/>
  <c r="Q423" i="4"/>
  <c r="K510" i="4"/>
  <c r="K379" i="4"/>
  <c r="I31" i="34" s="1"/>
  <c r="M379" i="4"/>
  <c r="J379" i="4"/>
  <c r="I29" i="31" s="1"/>
  <c r="N379" i="4"/>
  <c r="H379" i="4"/>
  <c r="I30" i="29" s="1"/>
  <c r="R379" i="4"/>
  <c r="G379" i="4"/>
  <c r="P379" i="4"/>
  <c r="O379" i="4"/>
  <c r="Q379" i="4"/>
  <c r="I379" i="4"/>
  <c r="I31" i="30" s="1"/>
  <c r="L162" i="4"/>
  <c r="Q162" i="4"/>
  <c r="S162" i="4"/>
  <c r="N162" i="4"/>
  <c r="J510" i="4"/>
  <c r="I510" i="4"/>
  <c r="I613" i="4"/>
  <c r="M162" i="4"/>
  <c r="T386" i="4"/>
  <c r="H162" i="4"/>
  <c r="O510" i="4"/>
  <c r="H612" i="4"/>
  <c r="H613" i="4" s="1"/>
  <c r="S389" i="4"/>
  <c r="T389" i="4"/>
  <c r="T162" i="4"/>
  <c r="R375" i="4"/>
  <c r="P162" i="4"/>
  <c r="K386" i="4"/>
  <c r="O162" i="4"/>
  <c r="G162" i="4"/>
  <c r="U512" i="4"/>
  <c r="V512" i="4" s="1"/>
  <c r="L395" i="4"/>
  <c r="U485" i="4"/>
  <c r="V485" i="4" s="1"/>
  <c r="U184" i="4"/>
  <c r="V184" i="4" s="1"/>
  <c r="L389" i="4"/>
  <c r="R389" i="4"/>
  <c r="G389" i="4"/>
  <c r="O389" i="4"/>
  <c r="H389" i="4"/>
  <c r="J389" i="4"/>
  <c r="P389" i="4"/>
  <c r="K389" i="4"/>
  <c r="N389" i="4"/>
  <c r="Q389" i="4"/>
  <c r="M389" i="4"/>
  <c r="S375" i="4"/>
  <c r="U161" i="4"/>
  <c r="V161" i="4" s="1"/>
  <c r="H386" i="4"/>
  <c r="U160" i="4"/>
  <c r="V160" i="4" s="1"/>
  <c r="N386" i="4"/>
  <c r="I386" i="4"/>
  <c r="U165" i="4"/>
  <c r="V165" i="4" s="1"/>
  <c r="T395" i="4"/>
  <c r="S395" i="4"/>
  <c r="G395" i="4"/>
  <c r="L31" i="27" s="1"/>
  <c r="H395" i="4"/>
  <c r="L30" i="29" s="1"/>
  <c r="R395" i="4"/>
  <c r="I395" i="4"/>
  <c r="L31" i="30" s="1"/>
  <c r="N395" i="4"/>
  <c r="Q386" i="4"/>
  <c r="O386" i="4"/>
  <c r="O485" i="4"/>
  <c r="Q397" i="4"/>
  <c r="M386" i="4"/>
  <c r="M395" i="4"/>
  <c r="P395" i="4"/>
  <c r="K395" i="4"/>
  <c r="L31" i="34" s="1"/>
  <c r="O395" i="4"/>
  <c r="Q395" i="4"/>
  <c r="P386" i="4"/>
  <c r="G386" i="4"/>
  <c r="L613" i="4"/>
  <c r="M613" i="4"/>
  <c r="K613" i="4"/>
  <c r="R386" i="4"/>
  <c r="U385" i="4"/>
  <c r="V385" i="4" s="1"/>
  <c r="J157" i="4"/>
  <c r="P116" i="4"/>
  <c r="L386" i="4"/>
  <c r="T405" i="4"/>
  <c r="S402" i="4"/>
  <c r="N405" i="4"/>
  <c r="S386" i="4"/>
  <c r="U384" i="4"/>
  <c r="V384" i="4" s="1"/>
  <c r="M631" i="4"/>
  <c r="J397" i="4"/>
  <c r="S157" i="4"/>
  <c r="N397" i="4"/>
  <c r="U187" i="4"/>
  <c r="V187" i="4" s="1"/>
  <c r="T375" i="4"/>
  <c r="O375" i="4"/>
  <c r="Q375" i="4"/>
  <c r="L375" i="4"/>
  <c r="J375" i="4"/>
  <c r="H375" i="4"/>
  <c r="N375" i="4"/>
  <c r="K375" i="4"/>
  <c r="G375" i="4"/>
  <c r="P375" i="4"/>
  <c r="R157" i="4"/>
  <c r="M375" i="4"/>
  <c r="T157" i="4"/>
  <c r="M69" i="4"/>
  <c r="Q69" i="4"/>
  <c r="P69" i="4"/>
  <c r="P405" i="4"/>
  <c r="M405" i="4"/>
  <c r="L405" i="4"/>
  <c r="J405" i="4"/>
  <c r="I405" i="4"/>
  <c r="H405" i="4"/>
  <c r="S405" i="4"/>
  <c r="J402" i="4"/>
  <c r="K405" i="4"/>
  <c r="G405" i="4"/>
  <c r="L402" i="4"/>
  <c r="O405" i="4"/>
  <c r="R405" i="4"/>
  <c r="K402" i="4"/>
  <c r="Q157" i="4"/>
  <c r="Q116" i="4"/>
  <c r="T116" i="4"/>
  <c r="M411" i="4"/>
  <c r="O157" i="4"/>
  <c r="M397" i="4"/>
  <c r="P397" i="4"/>
  <c r="H397" i="4"/>
  <c r="M157" i="4"/>
  <c r="G397" i="4"/>
  <c r="K397" i="4"/>
  <c r="O397" i="4"/>
  <c r="L397" i="4"/>
  <c r="H69" i="4"/>
  <c r="S129" i="4"/>
  <c r="L157" i="4"/>
  <c r="Q111" i="4"/>
  <c r="S411" i="4"/>
  <c r="R411" i="4"/>
  <c r="H411" i="4"/>
  <c r="J411" i="4"/>
  <c r="T411" i="4"/>
  <c r="N69" i="4"/>
  <c r="G411" i="4"/>
  <c r="P411" i="4"/>
  <c r="K411" i="4"/>
  <c r="Q411" i="4"/>
  <c r="O411" i="4"/>
  <c r="I411" i="4"/>
  <c r="S392" i="4"/>
  <c r="Q392" i="4"/>
  <c r="U484" i="4"/>
  <c r="V484" i="4" s="1"/>
  <c r="H116" i="4"/>
  <c r="P392" i="4"/>
  <c r="M392" i="4"/>
  <c r="Q332" i="4"/>
  <c r="K129" i="4"/>
  <c r="K617" i="4" s="1"/>
  <c r="I392" i="4"/>
  <c r="J392" i="4"/>
  <c r="R392" i="4"/>
  <c r="H392" i="4"/>
  <c r="O392" i="4"/>
  <c r="K392" i="4"/>
  <c r="L392" i="4"/>
  <c r="T392" i="4"/>
  <c r="G392" i="4"/>
  <c r="L411" i="4"/>
  <c r="K157" i="4"/>
  <c r="K111" i="4"/>
  <c r="O116" i="4"/>
  <c r="I69" i="4"/>
  <c r="M116" i="4"/>
  <c r="K631" i="4"/>
  <c r="K14" i="29"/>
  <c r="U408" i="4"/>
  <c r="V408" i="4" s="1"/>
  <c r="M111" i="4"/>
  <c r="K69" i="4"/>
  <c r="P236" i="4"/>
  <c r="P484" i="4" s="1"/>
  <c r="P49" i="4"/>
  <c r="P501" i="4" s="1"/>
  <c r="T129" i="4"/>
  <c r="L116" i="4"/>
  <c r="I116" i="4"/>
  <c r="P157" i="4"/>
  <c r="P129" i="4"/>
  <c r="P617" i="4" s="1"/>
  <c r="H631" i="4"/>
  <c r="Q337" i="4"/>
  <c r="R129" i="4"/>
  <c r="T402" i="4"/>
  <c r="R402" i="4"/>
  <c r="N402" i="4"/>
  <c r="L111" i="4"/>
  <c r="I157" i="4"/>
  <c r="G402" i="4"/>
  <c r="K116" i="4"/>
  <c r="P369" i="4"/>
  <c r="S83" i="4"/>
  <c r="S116" i="4"/>
  <c r="P402" i="4"/>
  <c r="Q199" i="4"/>
  <c r="Q244" i="4"/>
  <c r="N157" i="4"/>
  <c r="N129" i="4"/>
  <c r="N617" i="4" s="1"/>
  <c r="Q402" i="4"/>
  <c r="O129" i="4"/>
  <c r="O617" i="4" s="1"/>
  <c r="J69" i="4"/>
  <c r="I402" i="4"/>
  <c r="O402" i="4"/>
  <c r="H402" i="4"/>
  <c r="N613" i="4"/>
  <c r="J116" i="4"/>
  <c r="M129" i="4"/>
  <c r="M617" i="4" s="1"/>
  <c r="R111" i="4"/>
  <c r="T111" i="4"/>
  <c r="O613" i="4"/>
  <c r="H157" i="4"/>
  <c r="N116" i="4"/>
  <c r="Q355" i="4"/>
  <c r="G631" i="4"/>
  <c r="R83" i="4"/>
  <c r="O69" i="4"/>
  <c r="J613" i="4"/>
  <c r="Q11" i="4"/>
  <c r="L129" i="4"/>
  <c r="L617" i="4" s="1"/>
  <c r="T69" i="4"/>
  <c r="L69" i="4"/>
  <c r="J631" i="4"/>
  <c r="I631" i="4"/>
  <c r="P111" i="4"/>
  <c r="O111" i="4"/>
  <c r="S111" i="4"/>
  <c r="G28" i="29"/>
  <c r="H28" i="29" s="1"/>
  <c r="Q129" i="4"/>
  <c r="Q617" i="4" s="1"/>
  <c r="R69" i="4"/>
  <c r="S69" i="4"/>
  <c r="L631" i="4"/>
  <c r="N111" i="4"/>
  <c r="R116" i="4"/>
  <c r="T83" i="4"/>
  <c r="P460" i="4"/>
  <c r="P612" i="4" s="1"/>
  <c r="P613" i="4" s="1"/>
  <c r="Q288" i="4"/>
  <c r="Q267" i="4"/>
  <c r="Q342" i="4"/>
  <c r="I129" i="4"/>
  <c r="I617" i="4" s="1"/>
  <c r="J111" i="4"/>
  <c r="I111" i="4"/>
  <c r="J129" i="4"/>
  <c r="J617" i="4" s="1"/>
  <c r="P281" i="4"/>
  <c r="Q433" i="4"/>
  <c r="P325" i="4"/>
  <c r="O484" i="4"/>
  <c r="O512" i="4"/>
  <c r="O496" i="4"/>
  <c r="O524" i="4"/>
  <c r="Q446" i="4"/>
  <c r="Q428" i="4"/>
  <c r="Q16" i="4"/>
  <c r="Q222" i="4"/>
  <c r="Q204" i="4"/>
  <c r="Q254" i="4"/>
  <c r="Q311" i="4"/>
  <c r="Q293" i="4"/>
  <c r="Q471" i="4"/>
  <c r="Q478" i="4"/>
  <c r="P480" i="4"/>
  <c r="P562" i="4" s="1"/>
  <c r="P564" i="4" s="1"/>
  <c r="U468" i="4"/>
  <c r="V468" i="4" s="1"/>
  <c r="M471" i="4"/>
  <c r="Q35" i="4"/>
  <c r="Q21" i="4"/>
  <c r="Q209" i="4"/>
  <c r="Q298" i="4"/>
  <c r="Q249" i="4"/>
  <c r="U92" i="4"/>
  <c r="V92" i="4" s="1"/>
  <c r="U178" i="4"/>
  <c r="V178" i="4" s="1"/>
  <c r="S380" i="4"/>
  <c r="S381" i="4" s="1"/>
  <c r="J380" i="4"/>
  <c r="J29" i="31" s="1"/>
  <c r="O380" i="4"/>
  <c r="T380" i="4"/>
  <c r="K380" i="4"/>
  <c r="J31" i="34" s="1"/>
  <c r="M380" i="4"/>
  <c r="R380" i="4"/>
  <c r="G380" i="4"/>
  <c r="J32" i="27" s="1"/>
  <c r="L380" i="4"/>
  <c r="L381" i="4" s="1"/>
  <c r="P380" i="4"/>
  <c r="N380" i="4"/>
  <c r="H380" i="4"/>
  <c r="J30" i="29" s="1"/>
  <c r="I380" i="4"/>
  <c r="J31" i="30" s="1"/>
  <c r="Q380" i="4"/>
  <c r="S396" i="4"/>
  <c r="K396" i="4"/>
  <c r="E31" i="34" s="1"/>
  <c r="L396" i="4"/>
  <c r="T396" i="4"/>
  <c r="P396" i="4"/>
  <c r="I396" i="4"/>
  <c r="E31" i="30" s="1"/>
  <c r="H396" i="4"/>
  <c r="E30" i="29" s="1"/>
  <c r="O396" i="4"/>
  <c r="G396" i="4"/>
  <c r="J396" i="4"/>
  <c r="E29" i="31" s="1"/>
  <c r="Q396" i="4"/>
  <c r="N396" i="4"/>
  <c r="R396" i="4"/>
  <c r="M396" i="4"/>
  <c r="G129" i="4"/>
  <c r="G617" i="4" s="1"/>
  <c r="L29" i="27"/>
  <c r="U125" i="4"/>
  <c r="V125" i="4" s="1"/>
  <c r="U132" i="4"/>
  <c r="V132" i="4" s="1"/>
  <c r="G29" i="27"/>
  <c r="U119" i="4"/>
  <c r="V119" i="4" s="1"/>
  <c r="W464" i="1"/>
  <c r="X464" i="1" s="1"/>
  <c r="G124" i="1"/>
  <c r="F104" i="4"/>
  <c r="G629" i="1"/>
  <c r="W629" i="1" s="1"/>
  <c r="X629" i="1" s="1"/>
  <c r="G111" i="4"/>
  <c r="U109" i="4"/>
  <c r="V109" i="4" s="1"/>
  <c r="U63" i="4"/>
  <c r="V63" i="4" s="1"/>
  <c r="J15" i="27"/>
  <c r="G15" i="27"/>
  <c r="U86" i="4"/>
  <c r="V86" i="4" s="1"/>
  <c r="K15" i="27"/>
  <c r="U58" i="4"/>
  <c r="V58" i="4" s="1"/>
  <c r="U105" i="4"/>
  <c r="V105" i="4" s="1"/>
  <c r="F150" i="4"/>
  <c r="G632" i="1"/>
  <c r="W632" i="1" s="1"/>
  <c r="X632" i="1" s="1"/>
  <c r="G539" i="1"/>
  <c r="W292" i="1"/>
  <c r="X292" i="1" s="1"/>
  <c r="G540" i="1"/>
  <c r="W540" i="1" s="1"/>
  <c r="X540" i="1" s="1"/>
  <c r="U80" i="4"/>
  <c r="V80" i="4" s="1"/>
  <c r="E15" i="27"/>
  <c r="U126" i="4"/>
  <c r="V126" i="4" s="1"/>
  <c r="E29" i="27"/>
  <c r="G64" i="4"/>
  <c r="U62" i="4"/>
  <c r="V62" i="4" s="1"/>
  <c r="H64" i="4"/>
  <c r="G175" i="4"/>
  <c r="U171" i="4"/>
  <c r="V171" i="4" s="1"/>
  <c r="U496" i="4"/>
  <c r="V496" i="4" s="1"/>
  <c r="U89" i="4"/>
  <c r="V89" i="4" s="1"/>
  <c r="F617" i="4"/>
  <c r="U181" i="4"/>
  <c r="V181" i="4" s="1"/>
  <c r="U95" i="4"/>
  <c r="V95" i="4" s="1"/>
  <c r="L83" i="4"/>
  <c r="J83" i="4"/>
  <c r="P83" i="4"/>
  <c r="N83" i="4"/>
  <c r="M83" i="4"/>
  <c r="K83" i="4"/>
  <c r="U135" i="4"/>
  <c r="V135" i="4" s="1"/>
  <c r="U72" i="4"/>
  <c r="V72" i="4" s="1"/>
  <c r="U172" i="4"/>
  <c r="V172" i="4" s="1"/>
  <c r="U115" i="4"/>
  <c r="V115" i="4" s="1"/>
  <c r="U151" i="4"/>
  <c r="V151" i="4" s="1"/>
  <c r="I64" i="4"/>
  <c r="T64" i="4"/>
  <c r="Q64" i="4"/>
  <c r="P64" i="4"/>
  <c r="K64" i="4"/>
  <c r="U122" i="4"/>
  <c r="V122" i="4" s="1"/>
  <c r="J175" i="4"/>
  <c r="K175" i="4"/>
  <c r="M175" i="4"/>
  <c r="N175" i="4"/>
  <c r="R175" i="4"/>
  <c r="U155" i="4"/>
  <c r="V155" i="4" s="1"/>
  <c r="G157" i="4"/>
  <c r="L28" i="29"/>
  <c r="H129" i="4"/>
  <c r="H617" i="4" s="1"/>
  <c r="G69" i="4"/>
  <c r="H111" i="4"/>
  <c r="J29" i="27"/>
  <c r="U110" i="4"/>
  <c r="V110" i="4" s="1"/>
  <c r="I398" i="4"/>
  <c r="F31" i="30" s="1"/>
  <c r="Q398" i="4"/>
  <c r="K398" i="4"/>
  <c r="F31" i="34" s="1"/>
  <c r="M398" i="4"/>
  <c r="G398" i="4"/>
  <c r="F31" i="27" s="1"/>
  <c r="L398" i="4"/>
  <c r="H398" i="4"/>
  <c r="F30" i="29" s="1"/>
  <c r="P398" i="4"/>
  <c r="N398" i="4"/>
  <c r="O398" i="4"/>
  <c r="J398" i="4"/>
  <c r="F29" i="31" s="1"/>
  <c r="L14" i="29"/>
  <c r="H83" i="4"/>
  <c r="L15" i="27"/>
  <c r="U79" i="4"/>
  <c r="V79" i="4" s="1"/>
  <c r="G83" i="4"/>
  <c r="U114" i="4"/>
  <c r="V114" i="4" s="1"/>
  <c r="G116" i="4"/>
  <c r="G612" i="4"/>
  <c r="U460" i="4"/>
  <c r="V460" i="4" s="1"/>
  <c r="G510" i="4"/>
  <c r="U524" i="4"/>
  <c r="V524" i="4" s="1"/>
  <c r="U168" i="4"/>
  <c r="V168" i="4" s="1"/>
  <c r="U138" i="4"/>
  <c r="V138" i="4" s="1"/>
  <c r="F399" i="4"/>
  <c r="F381" i="4"/>
  <c r="G14" i="29"/>
  <c r="Q83" i="4"/>
  <c r="O83" i="4"/>
  <c r="I83" i="4"/>
  <c r="U156" i="4"/>
  <c r="V156" i="4" s="1"/>
  <c r="O64" i="4"/>
  <c r="N64" i="4"/>
  <c r="M64" i="4"/>
  <c r="L64" i="4"/>
  <c r="R64" i="4"/>
  <c r="J64" i="4"/>
  <c r="S64" i="4"/>
  <c r="U75" i="4"/>
  <c r="V75" i="4" s="1"/>
  <c r="U141" i="4"/>
  <c r="V141" i="4" s="1"/>
  <c r="P175" i="4"/>
  <c r="T175" i="4"/>
  <c r="I175" i="4"/>
  <c r="O175" i="4"/>
  <c r="Q175" i="4"/>
  <c r="H175" i="4"/>
  <c r="L175" i="4"/>
  <c r="S175" i="4"/>
  <c r="H14" i="29" l="1"/>
  <c r="G31" i="34"/>
  <c r="H31" i="34" s="1"/>
  <c r="I31" i="27"/>
  <c r="D14" i="26"/>
  <c r="E14" i="26" s="1"/>
  <c r="K31" i="34"/>
  <c r="K32" i="34"/>
  <c r="N32" i="34" s="1"/>
  <c r="G31" i="30"/>
  <c r="H31" i="30" s="1"/>
  <c r="K29" i="31"/>
  <c r="K30" i="31"/>
  <c r="N30" i="31" s="1"/>
  <c r="G29" i="31"/>
  <c r="H29" i="31" s="1"/>
  <c r="K30" i="29"/>
  <c r="K31" i="29"/>
  <c r="N31" i="29" s="1"/>
  <c r="K31" i="27"/>
  <c r="K32" i="27"/>
  <c r="N32" i="27" s="1"/>
  <c r="T381" i="4"/>
  <c r="K381" i="4"/>
  <c r="O381" i="4"/>
  <c r="Q381" i="4"/>
  <c r="M381" i="4"/>
  <c r="N381" i="4"/>
  <c r="R381" i="4"/>
  <c r="U510" i="4"/>
  <c r="V510" i="4" s="1"/>
  <c r="U379" i="4"/>
  <c r="V379" i="4" s="1"/>
  <c r="G381" i="4"/>
  <c r="P381" i="4"/>
  <c r="U162" i="4"/>
  <c r="V162" i="4" s="1"/>
  <c r="T399" i="4"/>
  <c r="U389" i="4"/>
  <c r="V389" i="4" s="1"/>
  <c r="S399" i="4"/>
  <c r="U386" i="4"/>
  <c r="V386" i="4" s="1"/>
  <c r="R399" i="4"/>
  <c r="U395" i="4"/>
  <c r="V395" i="4" s="1"/>
  <c r="G30" i="29"/>
  <c r="H30" i="29" s="1"/>
  <c r="U405" i="4"/>
  <c r="V405" i="4" s="1"/>
  <c r="G31" i="27"/>
  <c r="U375" i="4"/>
  <c r="V375" i="4" s="1"/>
  <c r="U157" i="4"/>
  <c r="V157" i="4" s="1"/>
  <c r="U402" i="4"/>
  <c r="V402" i="4" s="1"/>
  <c r="U411" i="4"/>
  <c r="V411" i="4" s="1"/>
  <c r="P524" i="4"/>
  <c r="P512" i="4"/>
  <c r="P496" i="4"/>
  <c r="U392" i="4"/>
  <c r="V392" i="4" s="1"/>
  <c r="P510" i="4"/>
  <c r="J381" i="4"/>
  <c r="Q369" i="4"/>
  <c r="U116" i="4"/>
  <c r="V116" i="4" s="1"/>
  <c r="K399" i="4"/>
  <c r="U631" i="4"/>
  <c r="H381" i="4"/>
  <c r="U69" i="4"/>
  <c r="V69" i="4" s="1"/>
  <c r="O399" i="4"/>
  <c r="L399" i="4"/>
  <c r="Q236" i="4"/>
  <c r="Q484" i="4" s="1"/>
  <c r="P399" i="4"/>
  <c r="Q49" i="4"/>
  <c r="Q501" i="4" s="1"/>
  <c r="Q281" i="4"/>
  <c r="Q460" i="4"/>
  <c r="Q510" i="4" s="1"/>
  <c r="E12" i="26"/>
  <c r="Q399" i="4"/>
  <c r="I381" i="4"/>
  <c r="J399" i="4"/>
  <c r="M399" i="4"/>
  <c r="N399" i="4"/>
  <c r="I399" i="4"/>
  <c r="Q325" i="4"/>
  <c r="P485" i="4"/>
  <c r="M480" i="4"/>
  <c r="U471" i="4"/>
  <c r="V471" i="4" s="1"/>
  <c r="Q480" i="4"/>
  <c r="Q562" i="4" s="1"/>
  <c r="Q564" i="4" s="1"/>
  <c r="U612" i="4"/>
  <c r="V612" i="4" s="1"/>
  <c r="G613" i="4"/>
  <c r="U613" i="4" s="1"/>
  <c r="V613" i="4" s="1"/>
  <c r="Q104" i="4"/>
  <c r="Q106" i="4" s="1"/>
  <c r="Q143" i="4" s="1"/>
  <c r="T104" i="4"/>
  <c r="T106" i="4" s="1"/>
  <c r="T143" i="4" s="1"/>
  <c r="O104" i="4"/>
  <c r="O106" i="4" s="1"/>
  <c r="O143" i="4" s="1"/>
  <c r="P104" i="4"/>
  <c r="P106" i="4" s="1"/>
  <c r="P143" i="4" s="1"/>
  <c r="K104" i="4"/>
  <c r="N104" i="4"/>
  <c r="N106" i="4" s="1"/>
  <c r="N143" i="4" s="1"/>
  <c r="G104" i="4"/>
  <c r="R104" i="4"/>
  <c r="R106" i="4" s="1"/>
  <c r="R143" i="4" s="1"/>
  <c r="S104" i="4"/>
  <c r="S106" i="4" s="1"/>
  <c r="S143" i="4" s="1"/>
  <c r="F106" i="4"/>
  <c r="H104" i="4"/>
  <c r="I104" i="4"/>
  <c r="M29" i="30" s="1"/>
  <c r="J104" i="4"/>
  <c r="M27" i="31" s="1"/>
  <c r="L104" i="4"/>
  <c r="L106" i="4" s="1"/>
  <c r="L143" i="4" s="1"/>
  <c r="M104" i="4"/>
  <c r="M106" i="4" s="1"/>
  <c r="M143" i="4" s="1"/>
  <c r="J31" i="27"/>
  <c r="U380" i="4"/>
  <c r="V380" i="4" s="1"/>
  <c r="U83" i="4"/>
  <c r="V83" i="4" s="1"/>
  <c r="U64" i="4"/>
  <c r="V64" i="4" s="1"/>
  <c r="G399" i="4"/>
  <c r="U111" i="4"/>
  <c r="V111" i="4" s="1"/>
  <c r="U129" i="4"/>
  <c r="V129" i="4" s="1"/>
  <c r="E9" i="26"/>
  <c r="H29" i="27"/>
  <c r="H15" i="27"/>
  <c r="W539" i="1"/>
  <c r="X539" i="1" s="1"/>
  <c r="G544" i="1"/>
  <c r="N150" i="4"/>
  <c r="N152" i="4" s="1"/>
  <c r="N189" i="4" s="1"/>
  <c r="T150" i="4"/>
  <c r="T152" i="4" s="1"/>
  <c r="T189" i="4" s="1"/>
  <c r="I150" i="4"/>
  <c r="I152" i="4" s="1"/>
  <c r="I189" i="4" s="1"/>
  <c r="M150" i="4"/>
  <c r="M152" i="4" s="1"/>
  <c r="M189" i="4" s="1"/>
  <c r="O150" i="4"/>
  <c r="O152" i="4" s="1"/>
  <c r="O189" i="4" s="1"/>
  <c r="F152" i="4"/>
  <c r="P150" i="4"/>
  <c r="P152" i="4" s="1"/>
  <c r="P189" i="4" s="1"/>
  <c r="L150" i="4"/>
  <c r="L152" i="4" s="1"/>
  <c r="L189" i="4" s="1"/>
  <c r="K150" i="4"/>
  <c r="K152" i="4" s="1"/>
  <c r="K189" i="4" s="1"/>
  <c r="S150" i="4"/>
  <c r="S152" i="4" s="1"/>
  <c r="S189" i="4" s="1"/>
  <c r="Q150" i="4"/>
  <c r="Q152" i="4" s="1"/>
  <c r="Q189" i="4" s="1"/>
  <c r="R150" i="4"/>
  <c r="R152" i="4" s="1"/>
  <c r="R189" i="4" s="1"/>
  <c r="G150" i="4"/>
  <c r="J150" i="4"/>
  <c r="J152" i="4" s="1"/>
  <c r="J189" i="4" s="1"/>
  <c r="H150" i="4"/>
  <c r="H152" i="4" s="1"/>
  <c r="H189" i="4" s="1"/>
  <c r="W124" i="1"/>
  <c r="X124" i="1" s="1"/>
  <c r="G133" i="1"/>
  <c r="U396" i="4"/>
  <c r="V396" i="4" s="1"/>
  <c r="E31" i="27"/>
  <c r="H399" i="4"/>
  <c r="U175" i="4"/>
  <c r="V175" i="4" s="1"/>
  <c r="U617" i="4"/>
  <c r="K106" i="4" l="1"/>
  <c r="K143" i="4" s="1"/>
  <c r="K483" i="4" s="1"/>
  <c r="M29" i="34"/>
  <c r="N27" i="31"/>
  <c r="N29" i="30"/>
  <c r="Q612" i="4"/>
  <c r="Q613" i="4" s="1"/>
  <c r="U381" i="4"/>
  <c r="V381" i="4" s="1"/>
  <c r="Q512" i="4"/>
  <c r="Q524" i="4"/>
  <c r="Q496" i="4"/>
  <c r="Q485" i="4"/>
  <c r="J106" i="4"/>
  <c r="J143" i="4" s="1"/>
  <c r="J483" i="4" s="1"/>
  <c r="I106" i="4"/>
  <c r="I143" i="4" s="1"/>
  <c r="I483" i="4" s="1"/>
  <c r="M562" i="4"/>
  <c r="U480" i="4"/>
  <c r="V480" i="4" s="1"/>
  <c r="F189" i="4"/>
  <c r="T497" i="4" s="1"/>
  <c r="F374" i="4"/>
  <c r="W544" i="1"/>
  <c r="X544" i="1" s="1"/>
  <c r="M483" i="4"/>
  <c r="M28" i="29"/>
  <c r="H106" i="4"/>
  <c r="H143" i="4" s="1"/>
  <c r="S483" i="4"/>
  <c r="U104" i="4"/>
  <c r="V104" i="4" s="1"/>
  <c r="M29" i="27"/>
  <c r="N29" i="27" s="1"/>
  <c r="G106" i="4"/>
  <c r="O483" i="4"/>
  <c r="Q483" i="4"/>
  <c r="H31" i="27"/>
  <c r="W133" i="1"/>
  <c r="X133" i="1" s="1"/>
  <c r="F57" i="4"/>
  <c r="G152" i="4"/>
  <c r="U150" i="4"/>
  <c r="V150" i="4" s="1"/>
  <c r="L483" i="4"/>
  <c r="F143" i="4"/>
  <c r="M525" i="4" s="1"/>
  <c r="R483" i="4"/>
  <c r="N483" i="4"/>
  <c r="P483" i="4"/>
  <c r="T483" i="4"/>
  <c r="U399" i="4"/>
  <c r="V399" i="4" s="1"/>
  <c r="N29" i="34" l="1"/>
  <c r="T525" i="4"/>
  <c r="N506" i="4"/>
  <c r="I498" i="4"/>
  <c r="N498" i="4"/>
  <c r="N497" i="4"/>
  <c r="O497" i="4"/>
  <c r="I497" i="4"/>
  <c r="I506" i="4"/>
  <c r="O506" i="4"/>
  <c r="O498" i="4"/>
  <c r="P497" i="4"/>
  <c r="P498" i="4"/>
  <c r="K498" i="4"/>
  <c r="N502" i="4"/>
  <c r="R525" i="4"/>
  <c r="R497" i="4"/>
  <c r="R506" i="4"/>
  <c r="J497" i="4"/>
  <c r="P502" i="4"/>
  <c r="P506" i="4"/>
  <c r="J506" i="4"/>
  <c r="K497" i="4"/>
  <c r="J498" i="4"/>
  <c r="K506" i="4"/>
  <c r="R498" i="4"/>
  <c r="M498" i="4"/>
  <c r="M497" i="4"/>
  <c r="M506" i="4"/>
  <c r="T502" i="4"/>
  <c r="P525" i="4"/>
  <c r="S497" i="4"/>
  <c r="N525" i="4"/>
  <c r="R502" i="4"/>
  <c r="I502" i="4"/>
  <c r="S498" i="4"/>
  <c r="S506" i="4"/>
  <c r="L502" i="4"/>
  <c r="T506" i="4"/>
  <c r="M564" i="4"/>
  <c r="U564" i="4" s="1"/>
  <c r="V564" i="4" s="1"/>
  <c r="U562" i="4"/>
  <c r="V562" i="4" s="1"/>
  <c r="T498" i="4"/>
  <c r="L525" i="4"/>
  <c r="O57" i="4"/>
  <c r="O59" i="4" s="1"/>
  <c r="O97" i="4" s="1"/>
  <c r="F59" i="4"/>
  <c r="L57" i="4"/>
  <c r="L59" i="4" s="1"/>
  <c r="L97" i="4" s="1"/>
  <c r="H57" i="4"/>
  <c r="S57" i="4"/>
  <c r="S59" i="4" s="1"/>
  <c r="S97" i="4" s="1"/>
  <c r="T57" i="4"/>
  <c r="T59" i="4" s="1"/>
  <c r="T97" i="4" s="1"/>
  <c r="I57" i="4"/>
  <c r="M15" i="30" s="1"/>
  <c r="K57" i="4"/>
  <c r="J57" i="4"/>
  <c r="M13" i="31" s="1"/>
  <c r="P57" i="4"/>
  <c r="P59" i="4" s="1"/>
  <c r="P97" i="4" s="1"/>
  <c r="Q57" i="4"/>
  <c r="Q59" i="4" s="1"/>
  <c r="Q97" i="4" s="1"/>
  <c r="N57" i="4"/>
  <c r="N59" i="4" s="1"/>
  <c r="N97" i="4" s="1"/>
  <c r="R57" i="4"/>
  <c r="R59" i="4" s="1"/>
  <c r="R97" i="4" s="1"/>
  <c r="G57" i="4"/>
  <c r="M57" i="4"/>
  <c r="M59" i="4" s="1"/>
  <c r="M97" i="4" s="1"/>
  <c r="N28" i="29"/>
  <c r="T374" i="4"/>
  <c r="T376" i="4" s="1"/>
  <c r="T413" i="4" s="1"/>
  <c r="T486" i="4" s="1"/>
  <c r="T487" i="4" s="1"/>
  <c r="F376" i="4"/>
  <c r="J374" i="4"/>
  <c r="M29" i="31" s="1"/>
  <c r="N29" i="31" s="1"/>
  <c r="L374" i="4"/>
  <c r="L376" i="4" s="1"/>
  <c r="L413" i="4" s="1"/>
  <c r="L486" i="4" s="1"/>
  <c r="L487" i="4" s="1"/>
  <c r="M374" i="4"/>
  <c r="M376" i="4" s="1"/>
  <c r="M413" i="4" s="1"/>
  <c r="M486" i="4" s="1"/>
  <c r="M487" i="4" s="1"/>
  <c r="P374" i="4"/>
  <c r="P376" i="4" s="1"/>
  <c r="P413" i="4" s="1"/>
  <c r="P486" i="4" s="1"/>
  <c r="P487" i="4" s="1"/>
  <c r="Q374" i="4"/>
  <c r="Q376" i="4" s="1"/>
  <c r="Q413" i="4" s="1"/>
  <c r="Q486" i="4" s="1"/>
  <c r="Q487" i="4" s="1"/>
  <c r="N374" i="4"/>
  <c r="N376" i="4" s="1"/>
  <c r="N413" i="4" s="1"/>
  <c r="N486" i="4" s="1"/>
  <c r="N487" i="4" s="1"/>
  <c r="S374" i="4"/>
  <c r="S376" i="4" s="1"/>
  <c r="S413" i="4" s="1"/>
  <c r="S486" i="4" s="1"/>
  <c r="S487" i="4" s="1"/>
  <c r="R374" i="4"/>
  <c r="R376" i="4" s="1"/>
  <c r="R413" i="4" s="1"/>
  <c r="R486" i="4" s="1"/>
  <c r="R487" i="4" s="1"/>
  <c r="H374" i="4"/>
  <c r="G374" i="4"/>
  <c r="K374" i="4"/>
  <c r="I374" i="4"/>
  <c r="M31" i="30" s="1"/>
  <c r="N31" i="30" s="1"/>
  <c r="O374" i="4"/>
  <c r="O376" i="4" s="1"/>
  <c r="O413" i="4" s="1"/>
  <c r="O486" i="4" s="1"/>
  <c r="O487" i="4" s="1"/>
  <c r="Q502" i="4"/>
  <c r="O525" i="4"/>
  <c r="K525" i="4"/>
  <c r="S525" i="4"/>
  <c r="J525" i="4"/>
  <c r="M502" i="4"/>
  <c r="L506" i="4"/>
  <c r="L498" i="4"/>
  <c r="Q498" i="4"/>
  <c r="H497" i="4"/>
  <c r="H498" i="4"/>
  <c r="F483" i="4"/>
  <c r="U152" i="4"/>
  <c r="V152" i="4" s="1"/>
  <c r="G189" i="4"/>
  <c r="G143" i="4"/>
  <c r="U106" i="4"/>
  <c r="V106" i="4" s="1"/>
  <c r="H483" i="4"/>
  <c r="H502" i="4"/>
  <c r="H525" i="4"/>
  <c r="I525" i="4"/>
  <c r="Q525" i="4"/>
  <c r="O502" i="4"/>
  <c r="K502" i="4"/>
  <c r="S502" i="4"/>
  <c r="J502" i="4"/>
  <c r="L497" i="4"/>
  <c r="Q506" i="4"/>
  <c r="Q497" i="4"/>
  <c r="H506" i="4"/>
  <c r="K59" i="4" l="1"/>
  <c r="K97" i="4" s="1"/>
  <c r="K523" i="4" s="1"/>
  <c r="M15" i="34"/>
  <c r="K376" i="4"/>
  <c r="K413" i="4" s="1"/>
  <c r="K486" i="4" s="1"/>
  <c r="K487" i="4" s="1"/>
  <c r="M31" i="34"/>
  <c r="N31" i="34" s="1"/>
  <c r="N13" i="31"/>
  <c r="N15" i="30"/>
  <c r="J376" i="4"/>
  <c r="J413" i="4" s="1"/>
  <c r="J486" i="4" s="1"/>
  <c r="J487" i="4" s="1"/>
  <c r="J59" i="4"/>
  <c r="J97" i="4" s="1"/>
  <c r="J523" i="4" s="1"/>
  <c r="I59" i="4"/>
  <c r="I97" i="4" s="1"/>
  <c r="I523" i="4" s="1"/>
  <c r="I376" i="4"/>
  <c r="I413" i="4" s="1"/>
  <c r="I486" i="4" s="1"/>
  <c r="I487" i="4" s="1"/>
  <c r="H376" i="4"/>
  <c r="H413" i="4" s="1"/>
  <c r="H486" i="4" s="1"/>
  <c r="H487" i="4" s="1"/>
  <c r="M30" i="29"/>
  <c r="N30" i="29" s="1"/>
  <c r="M523" i="4"/>
  <c r="R523" i="4"/>
  <c r="Q523" i="4"/>
  <c r="S523" i="4"/>
  <c r="L523" i="4"/>
  <c r="O523" i="4"/>
  <c r="U143" i="4"/>
  <c r="V143" i="4" s="1"/>
  <c r="G483" i="4"/>
  <c r="G525" i="4"/>
  <c r="N16" i="34" s="1"/>
  <c r="G502" i="4"/>
  <c r="U502" i="4" s="1"/>
  <c r="V502" i="4" s="1"/>
  <c r="G506" i="4"/>
  <c r="U506" i="4" s="1"/>
  <c r="V506" i="4" s="1"/>
  <c r="G498" i="4"/>
  <c r="U498" i="4" s="1"/>
  <c r="V498" i="4" s="1"/>
  <c r="G497" i="4"/>
  <c r="U189" i="4"/>
  <c r="V189" i="4" s="1"/>
  <c r="G376" i="4"/>
  <c r="M31" i="27"/>
  <c r="N31" i="27" s="1"/>
  <c r="U374" i="4"/>
  <c r="V374" i="4" s="1"/>
  <c r="F413" i="4"/>
  <c r="M15" i="27"/>
  <c r="U57" i="4"/>
  <c r="V57" i="4" s="1"/>
  <c r="G59" i="4"/>
  <c r="N523" i="4"/>
  <c r="P523" i="4"/>
  <c r="T523" i="4"/>
  <c r="M14" i="29"/>
  <c r="H59" i="4"/>
  <c r="H97" i="4" s="1"/>
  <c r="F97" i="4"/>
  <c r="T503" i="4" s="1"/>
  <c r="N15" i="34" l="1"/>
  <c r="M16" i="34" s="1"/>
  <c r="M17" i="34" s="1"/>
  <c r="N16" i="30"/>
  <c r="M16" i="30" s="1"/>
  <c r="M17" i="30" s="1"/>
  <c r="N14" i="31"/>
  <c r="G14" i="31" s="1"/>
  <c r="G15" i="31" s="1"/>
  <c r="F523" i="4"/>
  <c r="N14" i="29"/>
  <c r="H511" i="4"/>
  <c r="H507" i="4"/>
  <c r="H500" i="4"/>
  <c r="H513" i="4"/>
  <c r="H499" i="4"/>
  <c r="N32" i="29" s="1"/>
  <c r="H505" i="4"/>
  <c r="H523" i="4"/>
  <c r="H508" i="4"/>
  <c r="H503" i="4"/>
  <c r="T570" i="4"/>
  <c r="T527" i="4"/>
  <c r="T526" i="4"/>
  <c r="K526" i="4"/>
  <c r="U59" i="4"/>
  <c r="V59" i="4" s="1"/>
  <c r="G97" i="4"/>
  <c r="N15" i="27"/>
  <c r="F486" i="4"/>
  <c r="U483" i="4"/>
  <c r="V483" i="4" s="1"/>
  <c r="L526" i="4"/>
  <c r="S570" i="4"/>
  <c r="S526" i="4"/>
  <c r="S527" i="4"/>
  <c r="I526" i="4"/>
  <c r="J526" i="4"/>
  <c r="R527" i="4"/>
  <c r="R570" i="4"/>
  <c r="R526" i="4"/>
  <c r="T513" i="4"/>
  <c r="T500" i="4"/>
  <c r="K503" i="4"/>
  <c r="K507" i="4"/>
  <c r="K499" i="4"/>
  <c r="N33" i="34" s="1"/>
  <c r="T508" i="4"/>
  <c r="T511" i="4"/>
  <c r="T499" i="4"/>
  <c r="T507" i="4"/>
  <c r="K508" i="4"/>
  <c r="K513" i="4"/>
  <c r="K505" i="4"/>
  <c r="P500" i="4"/>
  <c r="P505" i="4"/>
  <c r="P511" i="4"/>
  <c r="P503" i="4"/>
  <c r="P513" i="4"/>
  <c r="N511" i="4"/>
  <c r="N500" i="4"/>
  <c r="N499" i="4"/>
  <c r="N508" i="4"/>
  <c r="O508" i="4"/>
  <c r="O505" i="4"/>
  <c r="O511" i="4"/>
  <c r="O513" i="4"/>
  <c r="O507" i="4"/>
  <c r="L499" i="4"/>
  <c r="L508" i="4"/>
  <c r="L513" i="4"/>
  <c r="S508" i="4"/>
  <c r="S500" i="4"/>
  <c r="S503" i="4"/>
  <c r="S513" i="4"/>
  <c r="I505" i="4"/>
  <c r="I499" i="4"/>
  <c r="N33" i="30" s="1"/>
  <c r="I503" i="4"/>
  <c r="J508" i="4"/>
  <c r="J503" i="4"/>
  <c r="J513" i="4"/>
  <c r="J499" i="4"/>
  <c r="N31" i="31" s="1"/>
  <c r="Q505" i="4"/>
  <c r="Q503" i="4"/>
  <c r="Q507" i="4"/>
  <c r="Q500" i="4"/>
  <c r="R511" i="4"/>
  <c r="R507" i="4"/>
  <c r="R513" i="4"/>
  <c r="R503" i="4"/>
  <c r="M500" i="4"/>
  <c r="M505" i="4"/>
  <c r="M499" i="4"/>
  <c r="M513" i="4"/>
  <c r="P527" i="4"/>
  <c r="P526" i="4"/>
  <c r="P570" i="4"/>
  <c r="N570" i="4"/>
  <c r="N526" i="4"/>
  <c r="U376" i="4"/>
  <c r="V376" i="4" s="1"/>
  <c r="G413" i="4"/>
  <c r="U497" i="4"/>
  <c r="V497" i="4" s="1"/>
  <c r="U525" i="4"/>
  <c r="V525" i="4" s="1"/>
  <c r="N16" i="27"/>
  <c r="N15" i="29"/>
  <c r="O527" i="4"/>
  <c r="O526" i="4"/>
  <c r="O570" i="4"/>
  <c r="Q527" i="4"/>
  <c r="Q526" i="4"/>
  <c r="Q570" i="4"/>
  <c r="M526" i="4"/>
  <c r="M570" i="4" s="1"/>
  <c r="M527" i="4"/>
  <c r="T505" i="4"/>
  <c r="K511" i="4"/>
  <c r="K500" i="4"/>
  <c r="P508" i="4"/>
  <c r="P507" i="4"/>
  <c r="P499" i="4"/>
  <c r="N507" i="4"/>
  <c r="N505" i="4"/>
  <c r="N513" i="4"/>
  <c r="N503" i="4"/>
  <c r="O503" i="4"/>
  <c r="O500" i="4"/>
  <c r="O499" i="4"/>
  <c r="L511" i="4"/>
  <c r="L503" i="4"/>
  <c r="L500" i="4"/>
  <c r="L505" i="4"/>
  <c r="L507" i="4"/>
  <c r="S499" i="4"/>
  <c r="S507" i="4"/>
  <c r="S511" i="4"/>
  <c r="S505" i="4"/>
  <c r="I513" i="4"/>
  <c r="I507" i="4"/>
  <c r="I500" i="4"/>
  <c r="I511" i="4"/>
  <c r="I508" i="4"/>
  <c r="J500" i="4"/>
  <c r="J511" i="4"/>
  <c r="J505" i="4"/>
  <c r="J507" i="4"/>
  <c r="Q511" i="4"/>
  <c r="Q513" i="4"/>
  <c r="Q499" i="4"/>
  <c r="Q508" i="4"/>
  <c r="R508" i="4"/>
  <c r="R499" i="4"/>
  <c r="R505" i="4"/>
  <c r="R500" i="4"/>
  <c r="M503" i="4"/>
  <c r="M508" i="4"/>
  <c r="M511" i="4"/>
  <c r="M507" i="4"/>
  <c r="J14" i="31" l="1"/>
  <c r="J15" i="31" s="1"/>
  <c r="I14" i="31"/>
  <c r="I15" i="31" s="1"/>
  <c r="L14" i="31"/>
  <c r="L15" i="31" s="1"/>
  <c r="K14" i="31"/>
  <c r="K15" i="31" s="1"/>
  <c r="F14" i="31"/>
  <c r="F15" i="31" s="1"/>
  <c r="E14" i="31"/>
  <c r="E15" i="31" s="1"/>
  <c r="M14" i="31"/>
  <c r="M15" i="31" s="1"/>
  <c r="K33" i="34"/>
  <c r="F33" i="34"/>
  <c r="E33" i="34"/>
  <c r="M33" i="34"/>
  <c r="J33" i="34"/>
  <c r="G33" i="34"/>
  <c r="L33" i="34"/>
  <c r="I33" i="34"/>
  <c r="L16" i="30"/>
  <c r="L17" i="30" s="1"/>
  <c r="E16" i="34"/>
  <c r="I16" i="34"/>
  <c r="I17" i="34" s="1"/>
  <c r="K16" i="34"/>
  <c r="K17" i="34" s="1"/>
  <c r="F16" i="34"/>
  <c r="F17" i="34" s="1"/>
  <c r="L16" i="34"/>
  <c r="L17" i="34" s="1"/>
  <c r="J16" i="34"/>
  <c r="J17" i="34" s="1"/>
  <c r="G16" i="34"/>
  <c r="G17" i="34" s="1"/>
  <c r="G16" i="30"/>
  <c r="G17" i="30" s="1"/>
  <c r="I16" i="30"/>
  <c r="I17" i="30" s="1"/>
  <c r="K16" i="30"/>
  <c r="K17" i="30" s="1"/>
  <c r="J16" i="30"/>
  <c r="J17" i="30" s="1"/>
  <c r="F16" i="30"/>
  <c r="F17" i="30" s="1"/>
  <c r="E16" i="30"/>
  <c r="E17" i="30" s="1"/>
  <c r="I31" i="31"/>
  <c r="G31" i="31"/>
  <c r="E31" i="31"/>
  <c r="L31" i="31"/>
  <c r="F31" i="31"/>
  <c r="J31" i="31"/>
  <c r="K31" i="31"/>
  <c r="M31" i="31"/>
  <c r="M33" i="30"/>
  <c r="I33" i="30"/>
  <c r="E33" i="30"/>
  <c r="L33" i="30"/>
  <c r="G33" i="30"/>
  <c r="F33" i="30"/>
  <c r="J33" i="30"/>
  <c r="K33" i="30"/>
  <c r="M16" i="27"/>
  <c r="M17" i="27" s="1"/>
  <c r="Q629" i="4"/>
  <c r="Q509" i="4" s="1"/>
  <c r="Q515" i="4" s="1"/>
  <c r="Q517" i="4" s="1"/>
  <c r="O629" i="4"/>
  <c r="O509" i="4" s="1"/>
  <c r="O515" i="4" s="1"/>
  <c r="O517" i="4" s="1"/>
  <c r="M629" i="4"/>
  <c r="M509" i="4" s="1"/>
  <c r="M515" i="4" s="1"/>
  <c r="M517" i="4" s="1"/>
  <c r="I629" i="4"/>
  <c r="I509" i="4" s="1"/>
  <c r="I515" i="4" s="1"/>
  <c r="L629" i="4"/>
  <c r="L509" i="4" s="1"/>
  <c r="L515" i="4" s="1"/>
  <c r="K629" i="4"/>
  <c r="K509" i="4" s="1"/>
  <c r="K515" i="4" s="1"/>
  <c r="L570" i="4"/>
  <c r="F487" i="4"/>
  <c r="G505" i="4"/>
  <c r="U505" i="4" s="1"/>
  <c r="V505" i="4" s="1"/>
  <c r="G507" i="4"/>
  <c r="U507" i="4" s="1"/>
  <c r="V507" i="4" s="1"/>
  <c r="G503" i="4"/>
  <c r="U503" i="4" s="1"/>
  <c r="V503" i="4" s="1"/>
  <c r="G523" i="4"/>
  <c r="U97" i="4"/>
  <c r="V97" i="4" s="1"/>
  <c r="G511" i="4"/>
  <c r="U511" i="4" s="1"/>
  <c r="V511" i="4" s="1"/>
  <c r="G513" i="4"/>
  <c r="U513" i="4" s="1"/>
  <c r="V513" i="4" s="1"/>
  <c r="G499" i="4"/>
  <c r="N33" i="27" s="1"/>
  <c r="G500" i="4"/>
  <c r="U500" i="4" s="1"/>
  <c r="V500" i="4" s="1"/>
  <c r="G508" i="4"/>
  <c r="U508" i="4" s="1"/>
  <c r="V508" i="4" s="1"/>
  <c r="F15" i="29"/>
  <c r="F16" i="29" s="1"/>
  <c r="J15" i="29"/>
  <c r="J16" i="29" s="1"/>
  <c r="E15" i="29"/>
  <c r="K15" i="29"/>
  <c r="K16" i="29" s="1"/>
  <c r="L15" i="29"/>
  <c r="L16" i="29" s="1"/>
  <c r="G15" i="29"/>
  <c r="G16" i="29" s="1"/>
  <c r="I15" i="29"/>
  <c r="I16" i="29" s="1"/>
  <c r="F526" i="4"/>
  <c r="R515" i="4"/>
  <c r="R517" i="4" s="1"/>
  <c r="S515" i="4"/>
  <c r="S517" i="4" s="1"/>
  <c r="M15" i="29"/>
  <c r="M16" i="29" s="1"/>
  <c r="P629" i="4"/>
  <c r="P509" i="4" s="1"/>
  <c r="P515" i="4" s="1"/>
  <c r="P517" i="4" s="1"/>
  <c r="U413" i="4"/>
  <c r="V413" i="4" s="1"/>
  <c r="G486" i="4"/>
  <c r="J629" i="4"/>
  <c r="J509" i="4" s="1"/>
  <c r="J515" i="4" s="1"/>
  <c r="N629" i="4"/>
  <c r="N509" i="4" s="1"/>
  <c r="N515" i="4" s="1"/>
  <c r="N517" i="4" s="1"/>
  <c r="J570" i="4"/>
  <c r="F12" i="28"/>
  <c r="F11" i="28"/>
  <c r="I570" i="4"/>
  <c r="F26" i="28" s="1"/>
  <c r="F16" i="27"/>
  <c r="F17" i="27" s="1"/>
  <c r="J16" i="27"/>
  <c r="J17" i="27" s="1"/>
  <c r="E16" i="27"/>
  <c r="K16" i="27"/>
  <c r="K17" i="27" s="1"/>
  <c r="G16" i="27"/>
  <c r="G17" i="27" s="1"/>
  <c r="L16" i="27"/>
  <c r="L17" i="27" s="1"/>
  <c r="I16" i="27"/>
  <c r="I17" i="27" s="1"/>
  <c r="K570" i="4"/>
  <c r="F28" i="28" s="1"/>
  <c r="F13" i="28"/>
  <c r="H526" i="4"/>
  <c r="H629" i="4"/>
  <c r="H509" i="4" s="1"/>
  <c r="H515" i="4" s="1"/>
  <c r="T515" i="4"/>
  <c r="T517" i="4" s="1"/>
  <c r="F27" i="28" l="1"/>
  <c r="H16" i="30"/>
  <c r="P16" i="30" s="1"/>
  <c r="H14" i="31"/>
  <c r="P14" i="31" s="1"/>
  <c r="H33" i="34"/>
  <c r="P33" i="34" s="1"/>
  <c r="H16" i="34"/>
  <c r="P16" i="34" s="1"/>
  <c r="E17" i="34"/>
  <c r="N15" i="31"/>
  <c r="H15" i="31"/>
  <c r="H31" i="31"/>
  <c r="P31" i="31" s="1"/>
  <c r="H33" i="30"/>
  <c r="P33" i="30" s="1"/>
  <c r="H17" i="30"/>
  <c r="N17" i="30"/>
  <c r="N610" i="4"/>
  <c r="N615" i="4" s="1"/>
  <c r="K517" i="4"/>
  <c r="M610" i="4"/>
  <c r="M615" i="4" s="1"/>
  <c r="Q610" i="4"/>
  <c r="Q615" i="4" s="1"/>
  <c r="J517" i="4"/>
  <c r="L517" i="4"/>
  <c r="O610" i="4"/>
  <c r="O615" i="4" s="1"/>
  <c r="H517" i="4"/>
  <c r="H16" i="27"/>
  <c r="P16" i="27" s="1"/>
  <c r="E17" i="27"/>
  <c r="P610" i="4"/>
  <c r="P615" i="4" s="1"/>
  <c r="F570" i="4"/>
  <c r="U499" i="4"/>
  <c r="V499" i="4" s="1"/>
  <c r="G629" i="4"/>
  <c r="G526" i="4"/>
  <c r="U523" i="4"/>
  <c r="V523" i="4" s="1"/>
  <c r="F534" i="4"/>
  <c r="F517" i="4"/>
  <c r="M32" i="29"/>
  <c r="E32" i="29"/>
  <c r="F32" i="29"/>
  <c r="L32" i="29"/>
  <c r="G32" i="29"/>
  <c r="J32" i="29"/>
  <c r="K32" i="29"/>
  <c r="I32" i="29"/>
  <c r="H570" i="4"/>
  <c r="F25" i="28" s="1"/>
  <c r="F10" i="28"/>
  <c r="U486" i="4"/>
  <c r="V486" i="4" s="1"/>
  <c r="G487" i="4"/>
  <c r="H15" i="29"/>
  <c r="P15" i="29" s="1"/>
  <c r="E16" i="29"/>
  <c r="I517" i="4"/>
  <c r="H17" i="34" l="1"/>
  <c r="N17" i="34"/>
  <c r="H610" i="4"/>
  <c r="H615" i="4" s="1"/>
  <c r="L610" i="4"/>
  <c r="L615" i="4" s="1"/>
  <c r="J610" i="4"/>
  <c r="J615" i="4" s="1"/>
  <c r="K610" i="4"/>
  <c r="K615" i="4" s="1"/>
  <c r="F521" i="4"/>
  <c r="F610" i="4"/>
  <c r="G570" i="4"/>
  <c r="U526" i="4"/>
  <c r="V526" i="4" s="1"/>
  <c r="F9" i="28"/>
  <c r="F14" i="28" s="1"/>
  <c r="I610" i="4"/>
  <c r="I615" i="4" s="1"/>
  <c r="N16" i="29"/>
  <c r="H16" i="29"/>
  <c r="U487" i="4"/>
  <c r="V487" i="4" s="1"/>
  <c r="U629" i="4"/>
  <c r="G509" i="4"/>
  <c r="M33" i="27"/>
  <c r="F33" i="27"/>
  <c r="L33" i="27"/>
  <c r="I33" i="27"/>
  <c r="E33" i="27"/>
  <c r="J33" i="27"/>
  <c r="K33" i="27"/>
  <c r="G33" i="27"/>
  <c r="H17" i="27"/>
  <c r="N17" i="27"/>
  <c r="H32" i="29"/>
  <c r="P32" i="29" s="1"/>
  <c r="U509" i="4" l="1"/>
  <c r="V509" i="4" s="1"/>
  <c r="G515" i="4"/>
  <c r="F24" i="28"/>
  <c r="F29" i="28" s="1"/>
  <c r="U570" i="4"/>
  <c r="V570" i="4" s="1"/>
  <c r="F615" i="4"/>
  <c r="J519" i="4" s="1"/>
  <c r="F559" i="4"/>
  <c r="F527" i="4"/>
  <c r="K519" i="4"/>
  <c r="H33" i="27"/>
  <c r="P33" i="27" s="1"/>
  <c r="I519" i="4"/>
  <c r="H519" i="4" l="1"/>
  <c r="P26" i="29" s="1"/>
  <c r="L519" i="4"/>
  <c r="L521" i="4" s="1"/>
  <c r="P27" i="34"/>
  <c r="P25" i="31"/>
  <c r="P27" i="30"/>
  <c r="D13" i="28"/>
  <c r="D28" i="28" s="1"/>
  <c r="K521" i="4"/>
  <c r="F568" i="4"/>
  <c r="D11" i="28"/>
  <c r="D26" i="28" s="1"/>
  <c r="I521" i="4"/>
  <c r="D12" i="28"/>
  <c r="D27" i="28" s="1"/>
  <c r="J521" i="4"/>
  <c r="R519" i="4"/>
  <c r="R521" i="4" s="1"/>
  <c r="R559" i="4" s="1"/>
  <c r="R568" i="4" s="1"/>
  <c r="S519" i="4"/>
  <c r="S521" i="4" s="1"/>
  <c r="S559" i="4" s="1"/>
  <c r="S568" i="4" s="1"/>
  <c r="T519" i="4"/>
  <c r="T521" i="4" s="1"/>
  <c r="T559" i="4" s="1"/>
  <c r="T568" i="4" s="1"/>
  <c r="O519" i="4"/>
  <c r="O521" i="4" s="1"/>
  <c r="O559" i="4" s="1"/>
  <c r="O568" i="4" s="1"/>
  <c r="O572" i="4" s="1"/>
  <c r="N519" i="4"/>
  <c r="N521" i="4" s="1"/>
  <c r="M519" i="4"/>
  <c r="M521" i="4" s="1"/>
  <c r="M559" i="4" s="1"/>
  <c r="M568" i="4" s="1"/>
  <c r="M572" i="4" s="1"/>
  <c r="Q519" i="4"/>
  <c r="Q521" i="4" s="1"/>
  <c r="Q559" i="4" s="1"/>
  <c r="Q568" i="4" s="1"/>
  <c r="Q572" i="4" s="1"/>
  <c r="P519" i="4"/>
  <c r="P521" i="4" s="1"/>
  <c r="P559" i="4" s="1"/>
  <c r="P568" i="4" s="1"/>
  <c r="P572" i="4" s="1"/>
  <c r="U515" i="4"/>
  <c r="V515" i="4" s="1"/>
  <c r="G517" i="4"/>
  <c r="D10" i="28" l="1"/>
  <c r="D25" i="28" s="1"/>
  <c r="E25" i="28" s="1"/>
  <c r="G25" i="28" s="1"/>
  <c r="H521" i="4"/>
  <c r="H559" i="4" s="1"/>
  <c r="H568" i="4" s="1"/>
  <c r="N559" i="4"/>
  <c r="N568" i="4" s="1"/>
  <c r="N527" i="4"/>
  <c r="G610" i="4"/>
  <c r="U517" i="4"/>
  <c r="V517" i="4" s="1"/>
  <c r="J559" i="4"/>
  <c r="J568" i="4" s="1"/>
  <c r="J527" i="4"/>
  <c r="I559" i="4"/>
  <c r="I568" i="4" s="1"/>
  <c r="I572" i="4" s="1"/>
  <c r="E19" i="30" s="1"/>
  <c r="I527" i="4"/>
  <c r="L559" i="4"/>
  <c r="L568" i="4" s="1"/>
  <c r="L527" i="4"/>
  <c r="F572" i="4"/>
  <c r="E13" i="28"/>
  <c r="G13" i="28" s="1"/>
  <c r="E28" i="28"/>
  <c r="G28" i="28" s="1"/>
  <c r="E12" i="28"/>
  <c r="G12" i="28" s="1"/>
  <c r="E27" i="28"/>
  <c r="G27" i="28" s="1"/>
  <c r="E26" i="28"/>
  <c r="G26" i="28" s="1"/>
  <c r="E11" i="28"/>
  <c r="G11" i="28" s="1"/>
  <c r="K559" i="4"/>
  <c r="K568" i="4" s="1"/>
  <c r="B17" i="26" s="1"/>
  <c r="K527" i="4"/>
  <c r="E10" i="28" l="1"/>
  <c r="G10" i="28" s="1"/>
  <c r="H527" i="4"/>
  <c r="J572" i="4"/>
  <c r="E17" i="31" s="1"/>
  <c r="E19" i="31" s="1"/>
  <c r="K572" i="4"/>
  <c r="B11" i="26" s="1"/>
  <c r="C11" i="26" s="1"/>
  <c r="H19" i="30"/>
  <c r="G19" i="30"/>
  <c r="J19" i="30"/>
  <c r="J21" i="30" s="1"/>
  <c r="J25" i="30" s="1"/>
  <c r="I19" i="30"/>
  <c r="I21" i="30" s="1"/>
  <c r="I25" i="30" s="1"/>
  <c r="F19" i="30"/>
  <c r="K19" i="30"/>
  <c r="K21" i="30" s="1"/>
  <c r="K25" i="30" s="1"/>
  <c r="N19" i="30"/>
  <c r="E21" i="30"/>
  <c r="H572" i="4"/>
  <c r="E18" i="29" s="1"/>
  <c r="N18" i="29" s="1"/>
  <c r="U610" i="4"/>
  <c r="V610" i="4" s="1"/>
  <c r="G615" i="4"/>
  <c r="L572" i="4"/>
  <c r="K17" i="31" l="1"/>
  <c r="K19" i="31" s="1"/>
  <c r="K23" i="31" s="1"/>
  <c r="G17" i="31"/>
  <c r="G19" i="31" s="1"/>
  <c r="G23" i="31" s="1"/>
  <c r="F17" i="31"/>
  <c r="L17" i="31" s="1"/>
  <c r="L19" i="31" s="1"/>
  <c r="L23" i="31" s="1"/>
  <c r="H17" i="31"/>
  <c r="J17" i="31"/>
  <c r="J19" i="31" s="1"/>
  <c r="J23" i="31" s="1"/>
  <c r="N17" i="31"/>
  <c r="I17" i="31"/>
  <c r="I19" i="31" s="1"/>
  <c r="I23" i="31" s="1"/>
  <c r="E19" i="34"/>
  <c r="F19" i="34" s="1"/>
  <c r="D11" i="26"/>
  <c r="E11" i="26" s="1"/>
  <c r="E23" i="31"/>
  <c r="E25" i="30"/>
  <c r="L19" i="30"/>
  <c r="L21" i="30" s="1"/>
  <c r="L25" i="30" s="1"/>
  <c r="F21" i="30"/>
  <c r="F25" i="30" s="1"/>
  <c r="M19" i="30"/>
  <c r="M21" i="30" s="1"/>
  <c r="M25" i="30" s="1"/>
  <c r="G21" i="30"/>
  <c r="G25" i="30" s="1"/>
  <c r="E20" i="29"/>
  <c r="E24" i="29" s="1"/>
  <c r="J18" i="29"/>
  <c r="J20" i="29" s="1"/>
  <c r="J24" i="29" s="1"/>
  <c r="G18" i="29"/>
  <c r="M18" i="29" s="1"/>
  <c r="M20" i="29" s="1"/>
  <c r="K18" i="29"/>
  <c r="K20" i="29" s="1"/>
  <c r="K24" i="29" s="1"/>
  <c r="I18" i="29"/>
  <c r="I20" i="29" s="1"/>
  <c r="I24" i="29" s="1"/>
  <c r="H18" i="29"/>
  <c r="F18" i="29"/>
  <c r="F20" i="29" s="1"/>
  <c r="C17" i="26"/>
  <c r="G519" i="4"/>
  <c r="U615" i="4"/>
  <c r="V615" i="4" s="1"/>
  <c r="M17" i="31" l="1"/>
  <c r="M19" i="31" s="1"/>
  <c r="M23" i="31" s="1"/>
  <c r="F19" i="31"/>
  <c r="F23" i="31" s="1"/>
  <c r="J19" i="34"/>
  <c r="J21" i="34" s="1"/>
  <c r="J25" i="34" s="1"/>
  <c r="H19" i="34"/>
  <c r="E21" i="34"/>
  <c r="E25" i="34" s="1"/>
  <c r="I19" i="34"/>
  <c r="I21" i="34" s="1"/>
  <c r="I25" i="34" s="1"/>
  <c r="K19" i="34"/>
  <c r="K21" i="34" s="1"/>
  <c r="K25" i="34" s="1"/>
  <c r="N19" i="34"/>
  <c r="G19" i="34"/>
  <c r="M19" i="34" s="1"/>
  <c r="M21" i="34" s="1"/>
  <c r="M25" i="34" s="1"/>
  <c r="D17" i="26"/>
  <c r="D19" i="26" s="1"/>
  <c r="L19" i="34"/>
  <c r="L21" i="34" s="1"/>
  <c r="L25" i="34" s="1"/>
  <c r="F21" i="34"/>
  <c r="F25" i="34" s="1"/>
  <c r="N21" i="30"/>
  <c r="N25" i="30" s="1"/>
  <c r="H21" i="30"/>
  <c r="G20" i="29"/>
  <c r="G24" i="29" s="1"/>
  <c r="L18" i="29"/>
  <c r="L20" i="29" s="1"/>
  <c r="L24" i="29" s="1"/>
  <c r="P27" i="27"/>
  <c r="U519" i="4"/>
  <c r="V519" i="4" s="1"/>
  <c r="D9" i="28"/>
  <c r="D24" i="28" s="1"/>
  <c r="G521" i="4"/>
  <c r="M24" i="29"/>
  <c r="F24" i="29"/>
  <c r="C19" i="26"/>
  <c r="N19" i="31" l="1"/>
  <c r="N23" i="31" s="1"/>
  <c r="H19" i="31"/>
  <c r="H23" i="31" s="1"/>
  <c r="G21" i="34"/>
  <c r="G25" i="34" s="1"/>
  <c r="E17" i="26"/>
  <c r="E19" i="26" s="1"/>
  <c r="E23" i="26" s="1"/>
  <c r="E25" i="26" s="1"/>
  <c r="K27" i="30"/>
  <c r="K35" i="30" s="1"/>
  <c r="J27" i="30"/>
  <c r="J35" i="30" s="1"/>
  <c r="I27" i="30"/>
  <c r="I35" i="30" s="1"/>
  <c r="E27" i="30"/>
  <c r="H25" i="30"/>
  <c r="P21" i="30"/>
  <c r="M27" i="30"/>
  <c r="M35" i="30" s="1"/>
  <c r="G27" i="30"/>
  <c r="G35" i="30" s="1"/>
  <c r="L27" i="30"/>
  <c r="L35" i="30" s="1"/>
  <c r="F27" i="30"/>
  <c r="F35" i="30" s="1"/>
  <c r="H20" i="29"/>
  <c r="P20" i="29" s="1"/>
  <c r="N20" i="29"/>
  <c r="N24" i="29" s="1"/>
  <c r="M26" i="29" s="1"/>
  <c r="M34" i="29" s="1"/>
  <c r="G559" i="4"/>
  <c r="U521" i="4"/>
  <c r="V521" i="4" s="1"/>
  <c r="G527" i="4"/>
  <c r="D14" i="28"/>
  <c r="E9" i="28"/>
  <c r="G9" i="28" s="1"/>
  <c r="P19" i="31" l="1"/>
  <c r="H21" i="34"/>
  <c r="P21" i="34" s="1"/>
  <c r="N21" i="34"/>
  <c r="N25" i="34" s="1"/>
  <c r="E27" i="26"/>
  <c r="J25" i="31"/>
  <c r="J33" i="31" s="1"/>
  <c r="K25" i="31"/>
  <c r="K33" i="31" s="1"/>
  <c r="I25" i="31"/>
  <c r="I33" i="31" s="1"/>
  <c r="F25" i="31"/>
  <c r="F33" i="31" s="1"/>
  <c r="L25" i="31"/>
  <c r="L33" i="31" s="1"/>
  <c r="G25" i="31"/>
  <c r="G33" i="31" s="1"/>
  <c r="E25" i="31"/>
  <c r="M25" i="31"/>
  <c r="M33" i="31" s="1"/>
  <c r="N27" i="30"/>
  <c r="H27" i="30"/>
  <c r="H35" i="30" s="1"/>
  <c r="E35" i="30"/>
  <c r="H24" i="29"/>
  <c r="F26" i="29"/>
  <c r="F34" i="29" s="1"/>
  <c r="K26" i="29"/>
  <c r="K34" i="29" s="1"/>
  <c r="G26" i="29"/>
  <c r="G34" i="29" s="1"/>
  <c r="I26" i="29"/>
  <c r="I34" i="29" s="1"/>
  <c r="L26" i="29"/>
  <c r="L34" i="29" s="1"/>
  <c r="E26" i="29"/>
  <c r="J26" i="29"/>
  <c r="J34" i="29" s="1"/>
  <c r="E24" i="28"/>
  <c r="D29" i="28"/>
  <c r="G568" i="4"/>
  <c r="U559" i="4"/>
  <c r="V559" i="4" s="1"/>
  <c r="E14" i="28"/>
  <c r="G14" i="28" s="1"/>
  <c r="H25" i="34" l="1"/>
  <c r="I27" i="34"/>
  <c r="I35" i="34" s="1"/>
  <c r="K27" i="34"/>
  <c r="K35" i="34" s="1"/>
  <c r="J27" i="34"/>
  <c r="J35" i="34" s="1"/>
  <c r="F27" i="34"/>
  <c r="F35" i="34" s="1"/>
  <c r="E27" i="34"/>
  <c r="L27" i="34"/>
  <c r="L35" i="34" s="1"/>
  <c r="M27" i="34"/>
  <c r="M35" i="34" s="1"/>
  <c r="G27" i="34"/>
  <c r="G35" i="34" s="1"/>
  <c r="H25" i="31"/>
  <c r="H33" i="31" s="1"/>
  <c r="N25" i="31"/>
  <c r="E33" i="31"/>
  <c r="S27" i="30"/>
  <c r="N35" i="30"/>
  <c r="E37" i="30" s="1"/>
  <c r="H26" i="29"/>
  <c r="H34" i="29" s="1"/>
  <c r="E34" i="29"/>
  <c r="N26" i="29"/>
  <c r="S26" i="29" s="1"/>
  <c r="E29" i="28"/>
  <c r="G29" i="28" s="1"/>
  <c r="G24" i="28"/>
  <c r="U568" i="4"/>
  <c r="V568" i="4" s="1"/>
  <c r="G572" i="4"/>
  <c r="E19" i="27" s="1"/>
  <c r="N27" i="34" l="1"/>
  <c r="H27" i="34"/>
  <c r="H35" i="34" s="1"/>
  <c r="E35" i="34"/>
  <c r="S25" i="31"/>
  <c r="N33" i="31"/>
  <c r="E39" i="30"/>
  <c r="E43" i="30" s="1"/>
  <c r="N39" i="30"/>
  <c r="N47" i="30" s="1"/>
  <c r="G37" i="30"/>
  <c r="G39" i="30" s="1"/>
  <c r="G43" i="30" s="1"/>
  <c r="J37" i="30"/>
  <c r="J39" i="30" s="1"/>
  <c r="J43" i="30" s="1"/>
  <c r="L37" i="30"/>
  <c r="L39" i="30" s="1"/>
  <c r="L43" i="30" s="1"/>
  <c r="M37" i="30"/>
  <c r="M39" i="30" s="1"/>
  <c r="M43" i="30" s="1"/>
  <c r="I37" i="30"/>
  <c r="I39" i="30" s="1"/>
  <c r="I43" i="30" s="1"/>
  <c r="K37" i="30"/>
  <c r="K39" i="30" s="1"/>
  <c r="K43" i="30" s="1"/>
  <c r="F37" i="30"/>
  <c r="F39" i="30" s="1"/>
  <c r="F43" i="30" s="1"/>
  <c r="N34" i="29"/>
  <c r="I36" i="29" s="1"/>
  <c r="I38" i="29" s="1"/>
  <c r="I42" i="29" s="1"/>
  <c r="I19" i="27"/>
  <c r="I21" i="27" s="1"/>
  <c r="F19" i="27"/>
  <c r="J19" i="27"/>
  <c r="J21" i="27" s="1"/>
  <c r="H19" i="27"/>
  <c r="K19" i="27"/>
  <c r="K21" i="27" s="1"/>
  <c r="N19" i="27"/>
  <c r="G19" i="27"/>
  <c r="E21" i="27"/>
  <c r="N44" i="30" l="1"/>
  <c r="N45" i="30"/>
  <c r="I46" i="30"/>
  <c r="I48" i="30" s="1"/>
  <c r="S27" i="34"/>
  <c r="N35" i="34"/>
  <c r="N37" i="31"/>
  <c r="N45" i="31" s="1"/>
  <c r="M35" i="31"/>
  <c r="M37" i="31" s="1"/>
  <c r="M41" i="31" s="1"/>
  <c r="K35" i="31"/>
  <c r="K37" i="31" s="1"/>
  <c r="K41" i="31" s="1"/>
  <c r="L35" i="31"/>
  <c r="L37" i="31" s="1"/>
  <c r="L41" i="31" s="1"/>
  <c r="J35" i="31"/>
  <c r="J37" i="31" s="1"/>
  <c r="J41" i="31" s="1"/>
  <c r="F35" i="31"/>
  <c r="F37" i="31" s="1"/>
  <c r="F41" i="31" s="1"/>
  <c r="G35" i="31"/>
  <c r="G37" i="31" s="1"/>
  <c r="G41" i="31" s="1"/>
  <c r="I35" i="31"/>
  <c r="I37" i="31" s="1"/>
  <c r="E35" i="31"/>
  <c r="H37" i="30"/>
  <c r="L36" i="29"/>
  <c r="L38" i="29" s="1"/>
  <c r="G36" i="29"/>
  <c r="G38" i="29" s="1"/>
  <c r="G42" i="29" s="1"/>
  <c r="M36" i="29"/>
  <c r="M38" i="29" s="1"/>
  <c r="M42" i="29" s="1"/>
  <c r="N38" i="29"/>
  <c r="N46" i="29" s="1"/>
  <c r="F36" i="29"/>
  <c r="F38" i="29" s="1"/>
  <c r="F42" i="29" s="1"/>
  <c r="K36" i="29"/>
  <c r="K38" i="29" s="1"/>
  <c r="K42" i="29" s="1"/>
  <c r="E36" i="29"/>
  <c r="J36" i="29"/>
  <c r="J38" i="29" s="1"/>
  <c r="J42" i="29" s="1"/>
  <c r="E25" i="27"/>
  <c r="L19" i="27"/>
  <c r="L21" i="27" s="1"/>
  <c r="F21" i="27"/>
  <c r="M19" i="27"/>
  <c r="M21" i="27" s="1"/>
  <c r="G21" i="27"/>
  <c r="K25" i="27"/>
  <c r="J25" i="27"/>
  <c r="I25" i="27"/>
  <c r="N44" i="29" l="1"/>
  <c r="L42" i="29"/>
  <c r="N43" i="29" s="1"/>
  <c r="N39" i="34"/>
  <c r="N47" i="34" s="1"/>
  <c r="G37" i="34"/>
  <c r="G39" i="34" s="1"/>
  <c r="G43" i="34" s="1"/>
  <c r="K37" i="34"/>
  <c r="K39" i="34" s="1"/>
  <c r="K43" i="34" s="1"/>
  <c r="N45" i="34" s="1"/>
  <c r="M37" i="34"/>
  <c r="M39" i="34" s="1"/>
  <c r="M43" i="34" s="1"/>
  <c r="N44" i="34" s="1"/>
  <c r="I37" i="34"/>
  <c r="I39" i="34" s="1"/>
  <c r="I43" i="34" s="1"/>
  <c r="L37" i="34"/>
  <c r="L39" i="34" s="1"/>
  <c r="L43" i="34" s="1"/>
  <c r="F37" i="34"/>
  <c r="F39" i="34" s="1"/>
  <c r="F43" i="34" s="1"/>
  <c r="J37" i="34"/>
  <c r="J39" i="34" s="1"/>
  <c r="E37" i="34"/>
  <c r="H35" i="31"/>
  <c r="E37" i="31"/>
  <c r="E41" i="31" s="1"/>
  <c r="P37" i="30"/>
  <c r="H39" i="30"/>
  <c r="H36" i="29"/>
  <c r="P36" i="29" s="1"/>
  <c r="E38" i="29"/>
  <c r="E42" i="29" s="1"/>
  <c r="H21" i="27"/>
  <c r="H25" i="27" s="1"/>
  <c r="M25" i="27"/>
  <c r="L25" i="27"/>
  <c r="G25" i="27"/>
  <c r="F25" i="27"/>
  <c r="N21" i="27"/>
  <c r="I46" i="34" l="1"/>
  <c r="H37" i="34"/>
  <c r="E39" i="34"/>
  <c r="E43" i="34" s="1"/>
  <c r="P35" i="31"/>
  <c r="H37" i="31"/>
  <c r="H43" i="30"/>
  <c r="H38" i="29"/>
  <c r="H42" i="29" s="1"/>
  <c r="P21" i="27"/>
  <c r="N25" i="27"/>
  <c r="G27" i="27" s="1"/>
  <c r="G35" i="27" s="1"/>
  <c r="P37" i="34" l="1"/>
  <c r="H39" i="34"/>
  <c r="H43" i="34" s="1"/>
  <c r="H41" i="31"/>
  <c r="M27" i="27"/>
  <c r="M35" i="27" s="1"/>
  <c r="L27" i="27"/>
  <c r="L35" i="27" s="1"/>
  <c r="F27" i="27"/>
  <c r="F35" i="27" s="1"/>
  <c r="I27" i="27"/>
  <c r="I35" i="27" s="1"/>
  <c r="J27" i="27"/>
  <c r="J35" i="27" s="1"/>
  <c r="E27" i="27"/>
  <c r="K27" i="27"/>
  <c r="K35" i="27" s="1"/>
  <c r="N27" i="27" l="1"/>
  <c r="N35" i="27" s="1"/>
  <c r="N39" i="27" s="1"/>
  <c r="P39" i="34" s="1"/>
  <c r="H27" i="27"/>
  <c r="H35" i="27" s="1"/>
  <c r="E35" i="27"/>
  <c r="Q35" i="27" l="1"/>
  <c r="P39" i="30"/>
  <c r="P37" i="31"/>
  <c r="S27" i="27"/>
  <c r="G37" i="27" l="1"/>
  <c r="G39" i="27" s="1"/>
  <c r="G43" i="27" s="1"/>
  <c r="M37" i="27"/>
  <c r="M39" i="27" s="1"/>
  <c r="M43" i="27" s="1"/>
  <c r="L37" i="27"/>
  <c r="L39" i="27" s="1"/>
  <c r="L43" i="27" s="1"/>
  <c r="F37" i="27"/>
  <c r="F39" i="27" s="1"/>
  <c r="F43" i="27" s="1"/>
  <c r="K37" i="27"/>
  <c r="K39" i="27" s="1"/>
  <c r="K43" i="27" s="1"/>
  <c r="I37" i="27"/>
  <c r="I39" i="27" s="1"/>
  <c r="I43" i="27" s="1"/>
  <c r="J37" i="27"/>
  <c r="J39" i="27" s="1"/>
  <c r="E37" i="27"/>
  <c r="J43" i="27" l="1"/>
  <c r="H37" i="27"/>
  <c r="E39" i="27"/>
  <c r="E43" i="27" s="1"/>
  <c r="P38" i="29"/>
  <c r="P39" i="27"/>
  <c r="P37" i="27" l="1"/>
  <c r="H39" i="27"/>
  <c r="Q39" i="27" s="1"/>
  <c r="H43" i="27" l="1"/>
</calcChain>
</file>

<file path=xl/sharedStrings.xml><?xml version="1.0" encoding="utf-8"?>
<sst xmlns="http://schemas.openxmlformats.org/spreadsheetml/2006/main" count="2567" uniqueCount="934">
  <si>
    <t>ok</t>
  </si>
  <si>
    <t>Demand</t>
  </si>
  <si>
    <t>Commodity</t>
  </si>
  <si>
    <t>Storage</t>
  </si>
  <si>
    <t>Transmission</t>
  </si>
  <si>
    <t>Distribution</t>
  </si>
  <si>
    <t>Distribution Expenses</t>
  </si>
  <si>
    <t>Distribution Structures &amp; Equipment</t>
  </si>
  <si>
    <t>Distribution Mains</t>
  </si>
  <si>
    <t>Customer</t>
  </si>
  <si>
    <t>Services</t>
  </si>
  <si>
    <t>Meters</t>
  </si>
  <si>
    <t>Customer Accounts</t>
  </si>
  <si>
    <t>Customer Service</t>
  </si>
  <si>
    <t>Total</t>
  </si>
  <si>
    <t>Company</t>
  </si>
  <si>
    <t>Plant in Service</t>
  </si>
  <si>
    <t>Name</t>
  </si>
  <si>
    <t>Vector</t>
  </si>
  <si>
    <t>Description</t>
  </si>
  <si>
    <t>Check</t>
  </si>
  <si>
    <t>Status</t>
  </si>
  <si>
    <t>350-357</t>
  </si>
  <si>
    <t>F001</t>
  </si>
  <si>
    <t>PT350</t>
  </si>
  <si>
    <t>F003</t>
  </si>
  <si>
    <t>Land and Land Rights</t>
  </si>
  <si>
    <t>PT374</t>
  </si>
  <si>
    <t>F005</t>
  </si>
  <si>
    <t>Structures &amp; Improvements</t>
  </si>
  <si>
    <t>PT375</t>
  </si>
  <si>
    <t>Mains</t>
  </si>
  <si>
    <t>PT376</t>
  </si>
  <si>
    <t>Meas. &amp; Reg. Sta. Equip. - General</t>
  </si>
  <si>
    <t>PT378</t>
  </si>
  <si>
    <t>F007</t>
  </si>
  <si>
    <t>Meas. &amp; Reg. Sta. Equip. - City Gate</t>
  </si>
  <si>
    <t>PT379</t>
  </si>
  <si>
    <t>F008</t>
  </si>
  <si>
    <t>PT380</t>
  </si>
  <si>
    <t>F009</t>
  </si>
  <si>
    <t>PT381</t>
  </si>
  <si>
    <t>F010</t>
  </si>
  <si>
    <t>Meter Installations</t>
  </si>
  <si>
    <t>PT382</t>
  </si>
  <si>
    <t>F011</t>
  </si>
  <si>
    <t>House Regulators</t>
  </si>
  <si>
    <t>PT383</t>
  </si>
  <si>
    <t>F012</t>
  </si>
  <si>
    <t>House Regulator Installations</t>
  </si>
  <si>
    <t>PT384</t>
  </si>
  <si>
    <t>F013</t>
  </si>
  <si>
    <t>Industrial Meas. &amp; Reg. Equip.</t>
  </si>
  <si>
    <t>PT385</t>
  </si>
  <si>
    <t>Other Equipment</t>
  </si>
  <si>
    <t>PT387</t>
  </si>
  <si>
    <t>PTSUB</t>
  </si>
  <si>
    <t>301-303</t>
  </si>
  <si>
    <t>Intangible Plant</t>
  </si>
  <si>
    <t>PT301</t>
  </si>
  <si>
    <t>389-399</t>
  </si>
  <si>
    <t>General Plant</t>
  </si>
  <si>
    <t>PT389</t>
  </si>
  <si>
    <t>PTIS</t>
  </si>
  <si>
    <t>Distribution Plant</t>
  </si>
  <si>
    <t>Total Distribution Plant</t>
  </si>
  <si>
    <t>Storage-Transmission-Distribution Subtotal</t>
  </si>
  <si>
    <t>Total Plant in Service</t>
  </si>
  <si>
    <t>CWIPUS</t>
  </si>
  <si>
    <t>CWIPTR</t>
  </si>
  <si>
    <t>CWIPCO</t>
  </si>
  <si>
    <t>CWIP</t>
  </si>
  <si>
    <t>PTT</t>
  </si>
  <si>
    <t>Less:</t>
  </si>
  <si>
    <t>DEPRUS</t>
  </si>
  <si>
    <t>DEPRDI</t>
  </si>
  <si>
    <t>DEPRGE</t>
  </si>
  <si>
    <t>Total Depreciation Reserve</t>
  </si>
  <si>
    <t>DEPR</t>
  </si>
  <si>
    <t>Accum. Deferred Income Taxes</t>
  </si>
  <si>
    <t>DIT</t>
  </si>
  <si>
    <t>ITC</t>
  </si>
  <si>
    <t>Materials and Supplies</t>
  </si>
  <si>
    <t>MSP</t>
  </si>
  <si>
    <t>Prepayments</t>
  </si>
  <si>
    <t>PPY</t>
  </si>
  <si>
    <t>Gas Stored Underground</t>
  </si>
  <si>
    <t>GSU</t>
  </si>
  <si>
    <t>Cash Working Capital</t>
  </si>
  <si>
    <t>CWC</t>
  </si>
  <si>
    <t>OMT</t>
  </si>
  <si>
    <t>Net Cost Rate Base</t>
  </si>
  <si>
    <t>NCRB</t>
  </si>
  <si>
    <t>Reserve for Depreciation</t>
  </si>
  <si>
    <t>OM814</t>
  </si>
  <si>
    <t>OM815</t>
  </si>
  <si>
    <t>OM816</t>
  </si>
  <si>
    <t>Lines Expenses</t>
  </si>
  <si>
    <t>OM817</t>
  </si>
  <si>
    <t>OM818</t>
  </si>
  <si>
    <t>F002</t>
  </si>
  <si>
    <t>OM819</t>
  </si>
  <si>
    <t>OM820</t>
  </si>
  <si>
    <t>OM821</t>
  </si>
  <si>
    <t>OM823</t>
  </si>
  <si>
    <t>Other Expenses</t>
  </si>
  <si>
    <t>OM824</t>
  </si>
  <si>
    <t>OM825</t>
  </si>
  <si>
    <t>Rents</t>
  </si>
  <si>
    <t>OM826</t>
  </si>
  <si>
    <t>OM830</t>
  </si>
  <si>
    <t>Maintenance of Structures</t>
  </si>
  <si>
    <t>OM831</t>
  </si>
  <si>
    <t>OM832</t>
  </si>
  <si>
    <t>Maintenance of Lines</t>
  </si>
  <si>
    <t>OM833</t>
  </si>
  <si>
    <t>OM834</t>
  </si>
  <si>
    <t>OM835</t>
  </si>
  <si>
    <t>OM836</t>
  </si>
  <si>
    <t>OM837</t>
  </si>
  <si>
    <t>850-867</t>
  </si>
  <si>
    <t>OM850</t>
  </si>
  <si>
    <t>OM870</t>
  </si>
  <si>
    <t>OM871</t>
  </si>
  <si>
    <t>F004</t>
  </si>
  <si>
    <t>OM880</t>
  </si>
  <si>
    <t>OM881</t>
  </si>
  <si>
    <t>OM885</t>
  </si>
  <si>
    <t>OM886</t>
  </si>
  <si>
    <t>OM887</t>
  </si>
  <si>
    <t>OM888</t>
  </si>
  <si>
    <t>OM889</t>
  </si>
  <si>
    <t>OM890</t>
  </si>
  <si>
    <t>OM891</t>
  </si>
  <si>
    <t>OM892</t>
  </si>
  <si>
    <t>OM893</t>
  </si>
  <si>
    <t>OM894</t>
  </si>
  <si>
    <t>Supervision</t>
  </si>
  <si>
    <t>OM901</t>
  </si>
  <si>
    <t>Meter Reading</t>
  </si>
  <si>
    <t>OM902</t>
  </si>
  <si>
    <t>OM903</t>
  </si>
  <si>
    <t>Uncollectible Accounts</t>
  </si>
  <si>
    <t>OM904</t>
  </si>
  <si>
    <t>Miscellaneous</t>
  </si>
  <si>
    <t>OM905</t>
  </si>
  <si>
    <t>OMCA</t>
  </si>
  <si>
    <t>907-910</t>
  </si>
  <si>
    <t>Customer Service Expenses</t>
  </si>
  <si>
    <t>OM907</t>
  </si>
  <si>
    <t>911-916</t>
  </si>
  <si>
    <t>Sales Expenses</t>
  </si>
  <si>
    <t>OM911</t>
  </si>
  <si>
    <t>OM920</t>
  </si>
  <si>
    <t>LBSUB</t>
  </si>
  <si>
    <t>OM921</t>
  </si>
  <si>
    <t>OM922</t>
  </si>
  <si>
    <t>Outside Services Employed</t>
  </si>
  <si>
    <t>OM923</t>
  </si>
  <si>
    <t>OMSUB</t>
  </si>
  <si>
    <t>Property Insurance</t>
  </si>
  <si>
    <t>OM924</t>
  </si>
  <si>
    <t>Injuries and Damages</t>
  </si>
  <si>
    <t>OM925</t>
  </si>
  <si>
    <t>OM926</t>
  </si>
  <si>
    <t>OM927</t>
  </si>
  <si>
    <t>Regulatory Commission Fee</t>
  </si>
  <si>
    <t>OM928</t>
  </si>
  <si>
    <t>OM929</t>
  </si>
  <si>
    <t>OM931</t>
  </si>
  <si>
    <t>OM935</t>
  </si>
  <si>
    <t>Operation and Maintenance Expenses</t>
  </si>
  <si>
    <t>Administrative &amp; General</t>
  </si>
  <si>
    <t>Depreciation Expenses</t>
  </si>
  <si>
    <t>OTRE</t>
  </si>
  <si>
    <t>OTPP</t>
  </si>
  <si>
    <t>OTUN</t>
  </si>
  <si>
    <t>OTT</t>
  </si>
  <si>
    <t>Taxes Other Than Income Taxes</t>
  </si>
  <si>
    <t>Total Taxes Other Than Income Taxes</t>
  </si>
  <si>
    <t/>
  </si>
  <si>
    <t>PT365</t>
  </si>
  <si>
    <t>Total Storage Plant</t>
  </si>
  <si>
    <t>Adjustments:</t>
  </si>
  <si>
    <t>Unamortized Debt</t>
  </si>
  <si>
    <t>Depreciation Adjustment</t>
  </si>
  <si>
    <t>Total Transmission and Distribution Oper Exp</t>
  </si>
  <si>
    <t>Total Maintenance Labor</t>
  </si>
  <si>
    <t>Maintenance of General Plant</t>
  </si>
  <si>
    <t>Total Maintenance Expense</t>
  </si>
  <si>
    <t>Total Operation and Maintenance Expenses</t>
  </si>
  <si>
    <t>Functional Assignment Vectors</t>
  </si>
  <si>
    <t>Gas Supply Demand</t>
  </si>
  <si>
    <t>Gas Supply Commodity</t>
  </si>
  <si>
    <t>Storage Demand</t>
  </si>
  <si>
    <t>Storage Commodity</t>
  </si>
  <si>
    <t>Transmission Demand</t>
  </si>
  <si>
    <t>Distribution Expense Commodity</t>
  </si>
  <si>
    <t>PTST</t>
  </si>
  <si>
    <t>Sub-Total Distribution Plant</t>
  </si>
  <si>
    <t>PTDSUB</t>
  </si>
  <si>
    <t>Sub-Total CWIP</t>
  </si>
  <si>
    <t>Regulatory</t>
  </si>
  <si>
    <t>DEPREX</t>
  </si>
  <si>
    <t>Allocation</t>
  </si>
  <si>
    <t>System</t>
  </si>
  <si>
    <t>Total Check</t>
  </si>
  <si>
    <t xml:space="preserve">  Demand</t>
  </si>
  <si>
    <t xml:space="preserve">  Customer</t>
  </si>
  <si>
    <t>PLT</t>
  </si>
  <si>
    <t>RBCSC</t>
  </si>
  <si>
    <t>RBMC</t>
  </si>
  <si>
    <t>RBT</t>
  </si>
  <si>
    <t>OMCSC</t>
  </si>
  <si>
    <t>OMMC</t>
  </si>
  <si>
    <t>Other Taxes</t>
  </si>
  <si>
    <t>Operating Revenues</t>
  </si>
  <si>
    <t>REVMSR</t>
  </si>
  <si>
    <t>TOR</t>
  </si>
  <si>
    <t xml:space="preserve">   Operation and Maintenance Expenses</t>
  </si>
  <si>
    <t xml:space="preserve">   Depreciation and Amortization Expenses</t>
  </si>
  <si>
    <t xml:space="preserve">   Other Taxes</t>
  </si>
  <si>
    <t>Total Operating Expenses</t>
  </si>
  <si>
    <t>TOE</t>
  </si>
  <si>
    <t>TOM</t>
  </si>
  <si>
    <t>Allocation Factors</t>
  </si>
  <si>
    <t xml:space="preserve">  Commodity</t>
  </si>
  <si>
    <t>Total Storage</t>
  </si>
  <si>
    <t>Total Transmission</t>
  </si>
  <si>
    <t>Total Distribution Mains</t>
  </si>
  <si>
    <t>Ref</t>
  </si>
  <si>
    <t>PTISGSD</t>
  </si>
  <si>
    <t>PTISGSC</t>
  </si>
  <si>
    <t>PTISSD</t>
  </si>
  <si>
    <t>PTISSC</t>
  </si>
  <si>
    <t>PTISTD</t>
  </si>
  <si>
    <t>PTISTC</t>
  </si>
  <si>
    <t>PTISDEC</t>
  </si>
  <si>
    <t>PTISDSD</t>
  </si>
  <si>
    <t>PTISDMD</t>
  </si>
  <si>
    <t>PTISDMC</t>
  </si>
  <si>
    <t>PTISMC</t>
  </si>
  <si>
    <t>PTISCAC</t>
  </si>
  <si>
    <t>PTISCSC</t>
  </si>
  <si>
    <t>Other</t>
  </si>
  <si>
    <t>Rate Base</t>
  </si>
  <si>
    <t>RBGSC</t>
  </si>
  <si>
    <t>RBSD</t>
  </si>
  <si>
    <t>RBSC</t>
  </si>
  <si>
    <t>RBTD</t>
  </si>
  <si>
    <t>RBTC</t>
  </si>
  <si>
    <t>RBDEC</t>
  </si>
  <si>
    <t>RBDSD</t>
  </si>
  <si>
    <t>RBDMD</t>
  </si>
  <si>
    <t>RBDMC</t>
  </si>
  <si>
    <t>RBCAC</t>
  </si>
  <si>
    <t>RBGSD</t>
  </si>
  <si>
    <t>OMGSD</t>
  </si>
  <si>
    <t>OMSD</t>
  </si>
  <si>
    <t>OMSC</t>
  </si>
  <si>
    <t>OMTD</t>
  </si>
  <si>
    <t>OMTC</t>
  </si>
  <si>
    <t>OMDEC</t>
  </si>
  <si>
    <t>OMDSD</t>
  </si>
  <si>
    <t>OMDMD</t>
  </si>
  <si>
    <t>OMDMC</t>
  </si>
  <si>
    <t>OMCAC</t>
  </si>
  <si>
    <t>OMGSC</t>
  </si>
  <si>
    <t>DEGSC</t>
  </si>
  <si>
    <t>DESD</t>
  </si>
  <si>
    <t>DESC</t>
  </si>
  <si>
    <t>DETD</t>
  </si>
  <si>
    <t>DETC</t>
  </si>
  <si>
    <t>DEDEC</t>
  </si>
  <si>
    <t>DEDSD</t>
  </si>
  <si>
    <t>DEDMD</t>
  </si>
  <si>
    <t>DEDMC</t>
  </si>
  <si>
    <t>DEMC</t>
  </si>
  <si>
    <t>DECAC</t>
  </si>
  <si>
    <t>DECSC</t>
  </si>
  <si>
    <t>DEGSD</t>
  </si>
  <si>
    <t>OTTGSD</t>
  </si>
  <si>
    <t>OTTGSC</t>
  </si>
  <si>
    <t>OTTSD</t>
  </si>
  <si>
    <t>OTTSC</t>
  </si>
  <si>
    <t>OTTTD</t>
  </si>
  <si>
    <t>OTTTC</t>
  </si>
  <si>
    <t>OTTDEC</t>
  </si>
  <si>
    <t>OTTDSD</t>
  </si>
  <si>
    <t>OTTDMD</t>
  </si>
  <si>
    <t>OTTDMC</t>
  </si>
  <si>
    <t>OTTMC</t>
  </si>
  <si>
    <t>OTTCAC</t>
  </si>
  <si>
    <t>OTTCSC</t>
  </si>
  <si>
    <t>DET</t>
  </si>
  <si>
    <t>OTTT</t>
  </si>
  <si>
    <t>OMTT</t>
  </si>
  <si>
    <t>Income Taxes</t>
  </si>
  <si>
    <t>Transmission &amp; Distribution Mains</t>
  </si>
  <si>
    <t>TDMSUB</t>
  </si>
  <si>
    <t xml:space="preserve">  Sales and Transportation</t>
  </si>
  <si>
    <t>Residential</t>
  </si>
  <si>
    <t>Expenses</t>
  </si>
  <si>
    <t>Taxable Income</t>
  </si>
  <si>
    <t>Net Income Before Income Tax</t>
  </si>
  <si>
    <t>Net Income Before Income Taxes</t>
  </si>
  <si>
    <t>TXINC</t>
  </si>
  <si>
    <t>INT</t>
  </si>
  <si>
    <t>NIBIT</t>
  </si>
  <si>
    <t>Average Revenue per MCF ($/MCF)</t>
  </si>
  <si>
    <t>DEM01</t>
  </si>
  <si>
    <t>COM01</t>
  </si>
  <si>
    <t>DEM02</t>
  </si>
  <si>
    <t>COM02</t>
  </si>
  <si>
    <t>DEM03</t>
  </si>
  <si>
    <t>COM03</t>
  </si>
  <si>
    <t>COM04</t>
  </si>
  <si>
    <t>DEM04</t>
  </si>
  <si>
    <t>DEM05</t>
  </si>
  <si>
    <t>CUST01</t>
  </si>
  <si>
    <t>CUST02</t>
  </si>
  <si>
    <t>CUST03</t>
  </si>
  <si>
    <t>CUST04</t>
  </si>
  <si>
    <t>CUST05</t>
  </si>
  <si>
    <t>Distribution Structures</t>
  </si>
  <si>
    <t>Number of Customers</t>
  </si>
  <si>
    <t>Total Expense Adjustments</t>
  </si>
  <si>
    <t>EXADJ1</t>
  </si>
  <si>
    <t>EXADJ3</t>
  </si>
  <si>
    <t>EXADJ4</t>
  </si>
  <si>
    <t>EXADJ6</t>
  </si>
  <si>
    <t>EXADJ7</t>
  </si>
  <si>
    <t>EXADJ8</t>
  </si>
  <si>
    <t>EXADJ9</t>
  </si>
  <si>
    <t>EXADJ10</t>
  </si>
  <si>
    <t>ADJTOT</t>
  </si>
  <si>
    <t>OMGST</t>
  </si>
  <si>
    <t>OMST</t>
  </si>
  <si>
    <t>DEGST</t>
  </si>
  <si>
    <t>DEST</t>
  </si>
  <si>
    <t>DETT</t>
  </si>
  <si>
    <t>OTTGST</t>
  </si>
  <si>
    <t>OTTST</t>
  </si>
  <si>
    <t>OTTTT</t>
  </si>
  <si>
    <t>LBTOT</t>
  </si>
  <si>
    <t>Payroll Expenses</t>
  </si>
  <si>
    <t>LBGSC</t>
  </si>
  <si>
    <t>LBGST</t>
  </si>
  <si>
    <t>LBSD</t>
  </si>
  <si>
    <t>LBSC</t>
  </si>
  <si>
    <t>LBST</t>
  </si>
  <si>
    <t>LBTD</t>
  </si>
  <si>
    <t>LBTC</t>
  </si>
  <si>
    <t>LBTT</t>
  </si>
  <si>
    <t>LBDEC</t>
  </si>
  <si>
    <t>LBDSD</t>
  </si>
  <si>
    <t>LBDMD</t>
  </si>
  <si>
    <t>LBDMC</t>
  </si>
  <si>
    <t>LBMC</t>
  </si>
  <si>
    <t>LBCAC</t>
  </si>
  <si>
    <t>LBCSC</t>
  </si>
  <si>
    <t>LBGSD</t>
  </si>
  <si>
    <t>Test Year Operating Income</t>
  </si>
  <si>
    <t>Proposed Increase</t>
  </si>
  <si>
    <t>Net Operating Income Adjusted for Increase</t>
  </si>
  <si>
    <t>Rate of Return</t>
  </si>
  <si>
    <t>Load Factor</t>
  </si>
  <si>
    <t>Interest Expenses</t>
  </si>
  <si>
    <t>INTGSC</t>
  </si>
  <si>
    <t>INTGST</t>
  </si>
  <si>
    <t>INTSD</t>
  </si>
  <si>
    <t>INTSC</t>
  </si>
  <si>
    <t>INTST</t>
  </si>
  <si>
    <t>INTTD</t>
  </si>
  <si>
    <t>INTTC</t>
  </si>
  <si>
    <t>INTTT</t>
  </si>
  <si>
    <t>INTDEC</t>
  </si>
  <si>
    <t>INTDSD</t>
  </si>
  <si>
    <t>INTDMD</t>
  </si>
  <si>
    <t>INTDMC</t>
  </si>
  <si>
    <t>INTMC</t>
  </si>
  <si>
    <t>INTCAC</t>
  </si>
  <si>
    <t>INTCSC</t>
  </si>
  <si>
    <t>INTT</t>
  </si>
  <si>
    <t>INTGSD</t>
  </si>
  <si>
    <t>Billing Units</t>
  </si>
  <si>
    <t>Transmission Plant</t>
  </si>
  <si>
    <t>Total Labor Expenses</t>
  </si>
  <si>
    <t>Transmission and Distribution Payroll</t>
  </si>
  <si>
    <t>Transmission and Distribution Mains</t>
  </si>
  <si>
    <t>Internally Generated Functional Vectors</t>
  </si>
  <si>
    <t>Underground Storage Plant</t>
  </si>
  <si>
    <t>PT117</t>
  </si>
  <si>
    <t>Underground Storage</t>
  </si>
  <si>
    <t>Other Distribution</t>
  </si>
  <si>
    <t>Common</t>
  </si>
  <si>
    <t>DEPTR</t>
  </si>
  <si>
    <t>DEPRCO</t>
  </si>
  <si>
    <t>PTCP</t>
  </si>
  <si>
    <t>Customer Advances for Construction</t>
  </si>
  <si>
    <t>Operations Supervision and Engineer</t>
  </si>
  <si>
    <t>Maps and Records</t>
  </si>
  <si>
    <t>Well Expenses</t>
  </si>
  <si>
    <t>Compressor Station Fuel and Power</t>
  </si>
  <si>
    <t xml:space="preserve">Measurement and Regulator Station </t>
  </si>
  <si>
    <t>Gas losses</t>
  </si>
  <si>
    <t>Storage Well Royalities</t>
  </si>
  <si>
    <t>Maintenance Super and Eng.</t>
  </si>
  <si>
    <t>Maintenance of Resevoirs</t>
  </si>
  <si>
    <t>Main of Compressor Station Equipment</t>
  </si>
  <si>
    <t>Main of Meas and Reg Sta. Equip</t>
  </si>
  <si>
    <t>Main of Purification Equip</t>
  </si>
  <si>
    <t>Main of Other Equipment</t>
  </si>
  <si>
    <t>Operation Supr and Engr</t>
  </si>
  <si>
    <t>Dist Load Dispatching</t>
  </si>
  <si>
    <t>Compr. Station Fuel and Power</t>
  </si>
  <si>
    <t>Compr. Station Labor and Exp.</t>
  </si>
  <si>
    <t>Other Mains/Serv. Expenses</t>
  </si>
  <si>
    <t>Leak Survey-Mains</t>
  </si>
  <si>
    <t>Leak Survey - Service</t>
  </si>
  <si>
    <t>Locate Main per Request</t>
  </si>
  <si>
    <t>Check Stop Box Access</t>
  </si>
  <si>
    <t>Patrolling Mains</t>
  </si>
  <si>
    <t>Check/Grease Valves</t>
  </si>
  <si>
    <t>Opr. Odor Equipment</t>
  </si>
  <si>
    <t>Locate and Inspect Valve Boxes</t>
  </si>
  <si>
    <t>Cut Grass - Right of Way</t>
  </si>
  <si>
    <t>Meas and Reg Station Exp.- General</t>
  </si>
  <si>
    <t>Meas and Reg Station Exp.- Industrial</t>
  </si>
  <si>
    <t>Meas and Reg Station Exp. - City Gate</t>
  </si>
  <si>
    <t>Meter and House Reg. Expense</t>
  </si>
  <si>
    <t>Customer Installation Expense</t>
  </si>
  <si>
    <t>Transmission Expenses</t>
  </si>
  <si>
    <t>Operation</t>
  </si>
  <si>
    <t>Customer Records and Collections</t>
  </si>
  <si>
    <t>Misc. Cust Account Expenses</t>
  </si>
  <si>
    <t>Admin and General Salaries</t>
  </si>
  <si>
    <t>Office Supplies and Expense</t>
  </si>
  <si>
    <t>Admin. Expenses Transferred</t>
  </si>
  <si>
    <t>Employee Pensions and Benefits</t>
  </si>
  <si>
    <t>General Advertising Expense</t>
  </si>
  <si>
    <t>Misc. General Expense</t>
  </si>
  <si>
    <t>Maintenance Supr and Engr</t>
  </si>
  <si>
    <t>Maintenance Structures</t>
  </si>
  <si>
    <t>Maintenance Mains</t>
  </si>
  <si>
    <t>Maintenance Comp. Station Equip.</t>
  </si>
  <si>
    <t>Maintenance Meas and Reg. General</t>
  </si>
  <si>
    <t>Maintenance Meas and Reg - Industrial</t>
  </si>
  <si>
    <t>Maintenance Meas and Reg.-City Gate</t>
  </si>
  <si>
    <t>Maintenance Services</t>
  </si>
  <si>
    <t>Maintenance Meters and House Reg.</t>
  </si>
  <si>
    <t>Maintenance Other Equipment</t>
  </si>
  <si>
    <t>U-T-D Subtotal</t>
  </si>
  <si>
    <t>Total Storage Labor</t>
  </si>
  <si>
    <t>807-813</t>
  </si>
  <si>
    <t>Procurement Expenses</t>
  </si>
  <si>
    <t>Labor Expenses</t>
  </si>
  <si>
    <t>Storage Expenses</t>
  </si>
  <si>
    <t>Storage Expense</t>
  </si>
  <si>
    <t>Maintenance</t>
  </si>
  <si>
    <t>Labor Expenses (Continued)</t>
  </si>
  <si>
    <t>Total Maintenance Expenses</t>
  </si>
  <si>
    <t>Customer Accounts Expense</t>
  </si>
  <si>
    <t>Total Labor Expense</t>
  </si>
  <si>
    <t>Operation &amp; Maintenance Expenses</t>
  </si>
  <si>
    <t>Total Operation Expenses</t>
  </si>
  <si>
    <t>Total Storage Expense</t>
  </si>
  <si>
    <t>Operation &amp; Maintenance Expenses (Continued)</t>
  </si>
  <si>
    <t>Total Customer Accounts Expense</t>
  </si>
  <si>
    <t>Total Administrative and General Expense</t>
  </si>
  <si>
    <t>Total Operation &amp; Maintenance Expense</t>
  </si>
  <si>
    <t>Total Administrative and General Labor</t>
  </si>
  <si>
    <t>Total Customer Accounts Labor</t>
  </si>
  <si>
    <t>Total Operations Distribution Labor</t>
  </si>
  <si>
    <t>Total Operations Transmission and Distribution Labor</t>
  </si>
  <si>
    <t>Total Operations Distribution Expense</t>
  </si>
  <si>
    <t>LB807</t>
  </si>
  <si>
    <t>LB814</t>
  </si>
  <si>
    <t>LB815</t>
  </si>
  <si>
    <t>LB816</t>
  </si>
  <si>
    <t>LB817</t>
  </si>
  <si>
    <t>LB818</t>
  </si>
  <si>
    <t>LB819</t>
  </si>
  <si>
    <t>LB820</t>
  </si>
  <si>
    <t>LB821</t>
  </si>
  <si>
    <t>LB823</t>
  </si>
  <si>
    <t>LB824</t>
  </si>
  <si>
    <t>LB825</t>
  </si>
  <si>
    <t>LB826</t>
  </si>
  <si>
    <t>LB830</t>
  </si>
  <si>
    <t>LB831</t>
  </si>
  <si>
    <t>LB832</t>
  </si>
  <si>
    <t>LB833</t>
  </si>
  <si>
    <t>LB834</t>
  </si>
  <si>
    <t>LB835</t>
  </si>
  <si>
    <t>LB836</t>
  </si>
  <si>
    <t>LB837</t>
  </si>
  <si>
    <t>LBS</t>
  </si>
  <si>
    <t>LB850</t>
  </si>
  <si>
    <t>LB870</t>
  </si>
  <si>
    <t>LB871</t>
  </si>
  <si>
    <t>LB872</t>
  </si>
  <si>
    <t>LB873</t>
  </si>
  <si>
    <t>LB874.01</t>
  </si>
  <si>
    <t>LB874.02</t>
  </si>
  <si>
    <t>LB874.03</t>
  </si>
  <si>
    <t>LB874.04</t>
  </si>
  <si>
    <t>LB874.05</t>
  </si>
  <si>
    <t>LB874.06</t>
  </si>
  <si>
    <t>LB874.07</t>
  </si>
  <si>
    <t>LB874.08</t>
  </si>
  <si>
    <t>LB874.09</t>
  </si>
  <si>
    <t>LB874.10</t>
  </si>
  <si>
    <t>LB875</t>
  </si>
  <si>
    <t>LB876</t>
  </si>
  <si>
    <t>LB877</t>
  </si>
  <si>
    <t>LB878</t>
  </si>
  <si>
    <t>LB879</t>
  </si>
  <si>
    <t>LB880</t>
  </si>
  <si>
    <t>LB881</t>
  </si>
  <si>
    <t>LB885</t>
  </si>
  <si>
    <t>LB886</t>
  </si>
  <si>
    <t>LB887</t>
  </si>
  <si>
    <t>LB888</t>
  </si>
  <si>
    <t>LB889</t>
  </si>
  <si>
    <t>LB890</t>
  </si>
  <si>
    <t>LB891</t>
  </si>
  <si>
    <t>LB892</t>
  </si>
  <si>
    <t>LB893</t>
  </si>
  <si>
    <t>LB894</t>
  </si>
  <si>
    <t>LBDM</t>
  </si>
  <si>
    <t>LBDO</t>
  </si>
  <si>
    <t>LBTDO</t>
  </si>
  <si>
    <t>LBSM</t>
  </si>
  <si>
    <t>LBSO</t>
  </si>
  <si>
    <t>LB901</t>
  </si>
  <si>
    <t>LB902</t>
  </si>
  <si>
    <t>LB903</t>
  </si>
  <si>
    <t>LB904</t>
  </si>
  <si>
    <t>LB905</t>
  </si>
  <si>
    <t>LBCA</t>
  </si>
  <si>
    <t>LB907</t>
  </si>
  <si>
    <t>LB911</t>
  </si>
  <si>
    <t>LB920</t>
  </si>
  <si>
    <t>LB921</t>
  </si>
  <si>
    <t>LB922</t>
  </si>
  <si>
    <t>LB923</t>
  </si>
  <si>
    <t>LB924</t>
  </si>
  <si>
    <t>LB925</t>
  </si>
  <si>
    <t>LB926</t>
  </si>
  <si>
    <t>LB927</t>
  </si>
  <si>
    <t>LB928</t>
  </si>
  <si>
    <t>LB929</t>
  </si>
  <si>
    <t>LB930.1</t>
  </si>
  <si>
    <t>LB930.2</t>
  </si>
  <si>
    <t>LB931</t>
  </si>
  <si>
    <t>LB935</t>
  </si>
  <si>
    <t>LBAG</t>
  </si>
  <si>
    <t>OM807</t>
  </si>
  <si>
    <t>OMOE</t>
  </si>
  <si>
    <t>OMME</t>
  </si>
  <si>
    <t>OMS</t>
  </si>
  <si>
    <t>OM872</t>
  </si>
  <si>
    <t>OM873</t>
  </si>
  <si>
    <t>OM874.01</t>
  </si>
  <si>
    <t>OM874.02</t>
  </si>
  <si>
    <t>OM874.03</t>
  </si>
  <si>
    <t>OM874.04</t>
  </si>
  <si>
    <t>OM874.05</t>
  </si>
  <si>
    <t>OM874.06</t>
  </si>
  <si>
    <t>OM874.07</t>
  </si>
  <si>
    <t>OM874.08</t>
  </si>
  <si>
    <t>OM874.09</t>
  </si>
  <si>
    <t>OM874.10</t>
  </si>
  <si>
    <t>OM875</t>
  </si>
  <si>
    <t>OM876</t>
  </si>
  <si>
    <t>OM877</t>
  </si>
  <si>
    <t>OM878</t>
  </si>
  <si>
    <t>OM879</t>
  </si>
  <si>
    <t>OMDO</t>
  </si>
  <si>
    <t>OMTDO</t>
  </si>
  <si>
    <t>OMDE</t>
  </si>
  <si>
    <t>OM930.1</t>
  </si>
  <si>
    <t>OM930.2</t>
  </si>
  <si>
    <t>OMAGT</t>
  </si>
  <si>
    <t>Total Transmission &amp; Distribution Labor</t>
  </si>
  <si>
    <t>Total Transmission &amp; Distribution Expenses</t>
  </si>
  <si>
    <t>Gas Stored Underground/Non-Current</t>
  </si>
  <si>
    <t>Common Utility Plant</t>
  </si>
  <si>
    <t>CWIPDM</t>
  </si>
  <si>
    <t>CWIPOD</t>
  </si>
  <si>
    <t>Total Gas Utility Plant at Original Cost</t>
  </si>
  <si>
    <t>Customer Advances For Construction</t>
  </si>
  <si>
    <t>CAD</t>
  </si>
  <si>
    <t>PLUS:</t>
  </si>
  <si>
    <t>DP350</t>
  </si>
  <si>
    <t>DP365</t>
  </si>
  <si>
    <t>Land &amp; Land Rights</t>
  </si>
  <si>
    <t>Meas &amp; Reg Station Eq.-City Gate</t>
  </si>
  <si>
    <t>Meas &amp; Reg Station Eq.-Gen</t>
  </si>
  <si>
    <t>Industrial Meas &amp; Reg Equipment</t>
  </si>
  <si>
    <t>DP374</t>
  </si>
  <si>
    <t>DP375</t>
  </si>
  <si>
    <t>DP376</t>
  </si>
  <si>
    <t>DP378</t>
  </si>
  <si>
    <t>DP379</t>
  </si>
  <si>
    <t>DP380</t>
  </si>
  <si>
    <t>DP381</t>
  </si>
  <si>
    <t>DP382</t>
  </si>
  <si>
    <t>DP383</t>
  </si>
  <si>
    <t>DP384</t>
  </si>
  <si>
    <t>DP385</t>
  </si>
  <si>
    <t>DP387</t>
  </si>
  <si>
    <t>Total Distribution</t>
  </si>
  <si>
    <t>DP117</t>
  </si>
  <si>
    <t>DP301</t>
  </si>
  <si>
    <t>DP389</t>
  </si>
  <si>
    <t>DPCP</t>
  </si>
  <si>
    <t>Total Depreciation Expense</t>
  </si>
  <si>
    <t>Unemployment Insurance</t>
  </si>
  <si>
    <t>Federal Old Age &amp; Survivor Insurance</t>
  </si>
  <si>
    <t>Public Service Commission Fee</t>
  </si>
  <si>
    <t>OTFICA</t>
  </si>
  <si>
    <t>OTCF</t>
  </si>
  <si>
    <t>OTMISC</t>
  </si>
  <si>
    <t>(IGS)</t>
  </si>
  <si>
    <t>Commercial</t>
  </si>
  <si>
    <t>(CGS)</t>
  </si>
  <si>
    <t>Industrial</t>
  </si>
  <si>
    <t>(RGS)</t>
  </si>
  <si>
    <t>Firm Transportation Service</t>
  </si>
  <si>
    <t>(FT)</t>
  </si>
  <si>
    <t>Total Storage Operation Labor</t>
  </si>
  <si>
    <t>OSE</t>
  </si>
  <si>
    <t>MSE</t>
  </si>
  <si>
    <t>Procurement</t>
  </si>
  <si>
    <t>Mains &amp; Services</t>
  </si>
  <si>
    <t>CADAL</t>
  </si>
  <si>
    <t>DMCM</t>
  </si>
  <si>
    <t>Demand/Commodity Percent of Purchased Gas Cost</t>
  </si>
  <si>
    <t>DOES</t>
  </si>
  <si>
    <t>DMES</t>
  </si>
  <si>
    <t>Subtotal Labor Expenses</t>
  </si>
  <si>
    <t>Subtotal O&amp;M Expenses</t>
  </si>
  <si>
    <t>Storage-Transmission -Distribution Plant Subtotal</t>
  </si>
  <si>
    <t>Customer Service Expense</t>
  </si>
  <si>
    <t>Customer Count (Average)</t>
  </si>
  <si>
    <t xml:space="preserve">  Forfeited Discounts</t>
  </si>
  <si>
    <t>Pro-Forma Adjustments to Revenues</t>
  </si>
  <si>
    <t>Pro-Forma Adjustments to Expenses</t>
  </si>
  <si>
    <t>Total Revenue Adjustments</t>
  </si>
  <si>
    <t xml:space="preserve">   Labor Adjustment</t>
  </si>
  <si>
    <t xml:space="preserve">   Depreciation Expenses</t>
  </si>
  <si>
    <t xml:space="preserve">   Rate Case Expenses</t>
  </si>
  <si>
    <t>Total Adjusted Revenue</t>
  </si>
  <si>
    <t>Interest Expense</t>
  </si>
  <si>
    <t>Unadjusted Net Cost Rate Base</t>
  </si>
  <si>
    <t>Adjusted Deliveries</t>
  </si>
  <si>
    <t>Total Procurement Expenses</t>
  </si>
  <si>
    <t>Gas Plant at Original Cost</t>
  </si>
  <si>
    <t>Gas Plant at Original Cost (Continued)</t>
  </si>
  <si>
    <t>Compressor Station Exp - Payroll</t>
  </si>
  <si>
    <t>Purification of Natural Gas</t>
  </si>
  <si>
    <t>Allocation Factors Continued</t>
  </si>
  <si>
    <t>OMTRT</t>
  </si>
  <si>
    <t>LBTRT</t>
  </si>
  <si>
    <t>Forfeited Discounts</t>
  </si>
  <si>
    <t>REVFD</t>
  </si>
  <si>
    <t>Depreciation Reserve - Distribution</t>
  </si>
  <si>
    <t>DEPRDIS</t>
  </si>
  <si>
    <t>Total Distribution Expense</t>
  </si>
  <si>
    <t>DISTRT</t>
  </si>
  <si>
    <t>Rate Base Adjustments</t>
  </si>
  <si>
    <t>(AAGS)</t>
  </si>
  <si>
    <t>O&amp;M Expenses</t>
  </si>
  <si>
    <t>Distribution Mains - Low &amp; Med. Pressure</t>
  </si>
  <si>
    <t>Distribution Mains -         High Pressure</t>
  </si>
  <si>
    <t>Distribution Mains -          High Pressure</t>
  </si>
  <si>
    <t xml:space="preserve">  High Pressure - Customer</t>
  </si>
  <si>
    <t xml:space="preserve">  Low/Medium Pressure - Customer</t>
  </si>
  <si>
    <t xml:space="preserve">  Low/Medium Pressure - Demand</t>
  </si>
  <si>
    <t xml:space="preserve">  High  Pressure - Demand</t>
  </si>
  <si>
    <t>Low/Medium Pressure Distribution Mains</t>
  </si>
  <si>
    <t>High Pressure Distribution Mains</t>
  </si>
  <si>
    <t>CUST01a</t>
  </si>
  <si>
    <t>DEM05a</t>
  </si>
  <si>
    <t>Revenue</t>
  </si>
  <si>
    <t>Services Cost</t>
  </si>
  <si>
    <t>Duplicate Charges -Credit</t>
  </si>
  <si>
    <t>Franchise Requirement</t>
  </si>
  <si>
    <t>REVADJ4</t>
  </si>
  <si>
    <t xml:space="preserve">    Removal of DSM Revenues</t>
  </si>
  <si>
    <t xml:space="preserve">   Eliminate DSM Expenses</t>
  </si>
  <si>
    <t xml:space="preserve">  Miscellaneous Revenue</t>
  </si>
  <si>
    <t>Actual Revenue</t>
  </si>
  <si>
    <t>Interest Adjustment</t>
  </si>
  <si>
    <t>Net Operating Income (Pro-Forma)</t>
  </si>
  <si>
    <t>Rate of Return  -- Pro-Forma</t>
  </si>
  <si>
    <t>Net Cost Rate Base (Same as Above)</t>
  </si>
  <si>
    <t>Incremental Income Taxes</t>
  </si>
  <si>
    <t>DSM Allocation</t>
  </si>
  <si>
    <t>Maintenance Expense -- Distribution</t>
  </si>
  <si>
    <t>Storage Maintenance Expenses Labor Subtotal</t>
  </si>
  <si>
    <t>Storage Operation Expenses Labor Subtotal</t>
  </si>
  <si>
    <t>Distribution Operation Expenses Labor Subtotal</t>
  </si>
  <si>
    <t>Distribution Maintenance Expenses Labor Subtotal</t>
  </si>
  <si>
    <t>Asset Retire Obligation Gas Plant</t>
  </si>
  <si>
    <t xml:space="preserve">Misc. General Expense  </t>
  </si>
  <si>
    <t>General &amp; Intangible</t>
  </si>
  <si>
    <t xml:space="preserve">General </t>
  </si>
  <si>
    <t>PT388</t>
  </si>
  <si>
    <t>Asset Retire Obligation Gas Plant-Mains</t>
  </si>
  <si>
    <t>Asset Retire Obligation Gas Plant-City Gate</t>
  </si>
  <si>
    <t>As Available Gas Service Rate AAGS</t>
  </si>
  <si>
    <t>DP388</t>
  </si>
  <si>
    <t>Total Underground Storage</t>
  </si>
  <si>
    <t>As Available Gas Service</t>
  </si>
  <si>
    <t>Reference</t>
  </si>
  <si>
    <t>(1)</t>
  </si>
  <si>
    <t>REVMISC</t>
  </si>
  <si>
    <t>Miscellaneous Revenue Allocation</t>
  </si>
  <si>
    <r>
      <t xml:space="preserve">Purification of Natural Gas </t>
    </r>
    <r>
      <rPr>
        <i/>
        <sz val="10"/>
        <rFont val="Times New Roman"/>
        <family val="1"/>
      </rPr>
      <t xml:space="preserve">  (1)</t>
    </r>
  </si>
  <si>
    <r>
      <t xml:space="preserve">Gas losses  </t>
    </r>
    <r>
      <rPr>
        <i/>
        <sz val="10"/>
        <rFont val="Times New Roman"/>
        <family val="1"/>
      </rPr>
      <t xml:space="preserve"> (2)</t>
    </r>
  </si>
  <si>
    <r>
      <t xml:space="preserve">Sales Expenses  </t>
    </r>
    <r>
      <rPr>
        <i/>
        <sz val="10"/>
        <rFont val="Times New Roman"/>
        <family val="1"/>
      </rPr>
      <t xml:space="preserve">  </t>
    </r>
  </si>
  <si>
    <r>
      <t xml:space="preserve">Injuries and Damages  </t>
    </r>
    <r>
      <rPr>
        <i/>
        <sz val="10"/>
        <rFont val="Times New Roman"/>
        <family val="1"/>
      </rPr>
      <t xml:space="preserve"> </t>
    </r>
  </si>
  <si>
    <r>
      <t xml:space="preserve">Employee Pensions and Benefits </t>
    </r>
    <r>
      <rPr>
        <i/>
        <sz val="10"/>
        <rFont val="Times New Roman"/>
        <family val="1"/>
      </rPr>
      <t xml:space="preserve"> </t>
    </r>
  </si>
  <si>
    <r>
      <t xml:space="preserve">General Advertising Expense </t>
    </r>
    <r>
      <rPr>
        <i/>
        <sz val="10"/>
        <rFont val="Times New Roman"/>
        <family val="1"/>
      </rPr>
      <t xml:space="preserve"> </t>
    </r>
  </si>
  <si>
    <t>Regulatory Credits</t>
  </si>
  <si>
    <t>Regulatory Credits and Accretion</t>
  </si>
  <si>
    <t>Accretion</t>
  </si>
  <si>
    <t>REGCR</t>
  </si>
  <si>
    <t>ACCRE</t>
  </si>
  <si>
    <t>ITCAM</t>
  </si>
  <si>
    <t>RCR</t>
  </si>
  <si>
    <t>Accretion Expense</t>
  </si>
  <si>
    <t>ITC Amortization</t>
  </si>
  <si>
    <t>ACC</t>
  </si>
  <si>
    <t xml:space="preserve">   Other Expenses (ITC amortization, Reg Credits, Accretion)</t>
  </si>
  <si>
    <t>FAS 109 Deferred Income taxes</t>
  </si>
  <si>
    <t>Asset Retirement Obligation-Net Assets</t>
  </si>
  <si>
    <t>Accum Depre reclassification</t>
  </si>
  <si>
    <t>Asset Retirement Obligation-Liabilities</t>
  </si>
  <si>
    <t>Asset Retirement Obligation-Regulatory Assets</t>
  </si>
  <si>
    <t>Asset Retirement Obligation-Regulatory Liabilities</t>
  </si>
  <si>
    <t>High Pressure System</t>
  </si>
  <si>
    <t>RBTHP</t>
  </si>
  <si>
    <t>Depreciation</t>
  </si>
  <si>
    <t>Taxes (Other than Income)</t>
  </si>
  <si>
    <t>Accretion Expenses</t>
  </si>
  <si>
    <t>Design-Day Demands</t>
  </si>
  <si>
    <t>Firm Rate Classes</t>
  </si>
  <si>
    <t>Return (at Rate FT ROR)</t>
  </si>
  <si>
    <t>Louisville Gas and Electric Company</t>
  </si>
  <si>
    <t>Rate of Return -- Proposed</t>
  </si>
  <si>
    <t>Net Operating Income -- Proposed Rates</t>
  </si>
  <si>
    <t>Total Operating Revenues</t>
  </si>
  <si>
    <t>Annual Cost</t>
  </si>
  <si>
    <t>Monthly Cost</t>
  </si>
  <si>
    <t>Unit Cost at 100 Percent Load Factor</t>
  </si>
  <si>
    <t xml:space="preserve">  Interdepartmental Sales</t>
  </si>
  <si>
    <t xml:space="preserve">    Adjustment to eliminate gas supply cost recoveries</t>
  </si>
  <si>
    <t xml:space="preserve">   Property Insurance Adjmt.</t>
  </si>
  <si>
    <t xml:space="preserve">   Interest Rate Swap Amortization</t>
  </si>
  <si>
    <t xml:space="preserve">   Property Tax Adjmt.</t>
  </si>
  <si>
    <t xml:space="preserve">   Federal &amp; State Income Tax Adjmt.</t>
  </si>
  <si>
    <t xml:space="preserve">   Federal &amp; State Income Tax Interest Adjmt.</t>
  </si>
  <si>
    <t xml:space="preserve">   Prior Income tax true-ups &amp; adjustments</t>
  </si>
  <si>
    <t xml:space="preserve">   Adjustment to correct Edison Electric invoice</t>
  </si>
  <si>
    <t>PTISDIS</t>
  </si>
  <si>
    <t>Pro-Forma Adjustments</t>
  </si>
  <si>
    <t>PROFO</t>
  </si>
  <si>
    <t>REVGSC</t>
  </si>
  <si>
    <t>GSC Revenue</t>
  </si>
  <si>
    <t>REV01</t>
  </si>
  <si>
    <t>TREVADJ</t>
  </si>
  <si>
    <t xml:space="preserve">   Pensions/Post Retirement Benefits Adjmt.</t>
  </si>
  <si>
    <t xml:space="preserve">   Eliminate Advertising Expenses </t>
  </si>
  <si>
    <t xml:space="preserve">   Normalize 925 Injuries/Damages Adjmt.</t>
  </si>
  <si>
    <t>Unit Cost of Service Based on the Cost of Service Study</t>
  </si>
  <si>
    <t>Customer Costs</t>
  </si>
  <si>
    <t xml:space="preserve">Demand Related </t>
  </si>
  <si>
    <t>Low Pressure</t>
  </si>
  <si>
    <t>High Pressure</t>
  </si>
  <si>
    <t>Demand-Related</t>
  </si>
  <si>
    <t>Mains Costs</t>
  </si>
  <si>
    <t>Main Costs</t>
  </si>
  <si>
    <t>Direct Costs</t>
  </si>
  <si>
    <t>Costs</t>
  </si>
  <si>
    <t>Total Costs</t>
  </si>
  <si>
    <t>(2)</t>
  </si>
  <si>
    <t>(3)</t>
  </si>
  <si>
    <t>(1)+(2)</t>
  </si>
  <si>
    <t>(4)</t>
  </si>
  <si>
    <t>(5)</t>
  </si>
  <si>
    <t>(3) x (4)</t>
  </si>
  <si>
    <t>(6)</t>
  </si>
  <si>
    <t>(7)</t>
  </si>
  <si>
    <t>(5) - (6)</t>
  </si>
  <si>
    <t>(8)</t>
  </si>
  <si>
    <t>(9)</t>
  </si>
  <si>
    <t>(10)</t>
  </si>
  <si>
    <t>(11)</t>
  </si>
  <si>
    <t>(12)</t>
  </si>
  <si>
    <t>(13)</t>
  </si>
  <si>
    <t>(14)</t>
  </si>
  <si>
    <t>Less: Misc Revenue</t>
  </si>
  <si>
    <t>(15)</t>
  </si>
  <si>
    <t>(13) - (14)</t>
  </si>
  <si>
    <t>(16)</t>
  </si>
  <si>
    <t>(17)</t>
  </si>
  <si>
    <t>(15) / (16)</t>
  </si>
  <si>
    <t>Rate RGS</t>
  </si>
  <si>
    <t>(18)</t>
  </si>
  <si>
    <t>See Note Below</t>
  </si>
  <si>
    <t>Compressor</t>
  </si>
  <si>
    <t>LG&amp;E System</t>
  </si>
  <si>
    <t>Transmission Costs</t>
  </si>
  <si>
    <t>Storage Costs</t>
  </si>
  <si>
    <t>Firm Rate Classes are RGS, CGS, IGS</t>
  </si>
  <si>
    <t>807 &amp; 813</t>
  </si>
  <si>
    <t xml:space="preserve">   Remove out of period items.</t>
  </si>
  <si>
    <t xml:space="preserve">   General Management audit regulatory asset</t>
  </si>
  <si>
    <t xml:space="preserve">   Swap termination regulatory asset</t>
  </si>
  <si>
    <t xml:space="preserve">   Gas Supply Uncollectible Accounts Expense</t>
  </si>
  <si>
    <t>392-396</t>
  </si>
  <si>
    <t>Common Utility Plant Amortization</t>
  </si>
  <si>
    <t xml:space="preserve">Operating </t>
  </si>
  <si>
    <t>Operating</t>
  </si>
  <si>
    <t>Margin</t>
  </si>
  <si>
    <t>ROR</t>
  </si>
  <si>
    <t>Summary of Adjusted Rates of Return by Class</t>
  </si>
  <si>
    <t>Summary of Rates of Return by Class w/Proposed Increase</t>
  </si>
  <si>
    <t>Industrial Service Rate IGS</t>
  </si>
  <si>
    <t>Residential Service Rate RGS</t>
  </si>
  <si>
    <t>Commercial Service Rate CGS</t>
  </si>
  <si>
    <t>Firm Transportation Service Rate FT</t>
  </si>
  <si>
    <t xml:space="preserve">   Adjustment for amortization of investment tax credit</t>
  </si>
  <si>
    <t>with Equal increase across RGS, CGS, IGS, AAGS after FT rates</t>
  </si>
  <si>
    <t>Conroy Exhibit C10 Page 2</t>
  </si>
  <si>
    <t>Conroy Exhibit C10 Page 12</t>
  </si>
  <si>
    <t>Conroy Exhibit C10 Page 10</t>
  </si>
  <si>
    <t>Conroy Exhibit C10 Page 3</t>
  </si>
  <si>
    <t>Conroy Exhibit C10 Page 5</t>
  </si>
  <si>
    <t>Conroy Exhibit C10 Page 9</t>
  </si>
  <si>
    <t>Conroy Exhibit C10 Pages 6,7 &amp; 8</t>
  </si>
  <si>
    <t>Conroy Exhibit C10 Page 11</t>
  </si>
  <si>
    <t>Conroy Exhibit C10 Page 14</t>
  </si>
  <si>
    <t>Proposed Class ROR</t>
  </si>
  <si>
    <t>(4)+(8)+(9)+(10)+(11)+(12)+(13)</t>
  </si>
  <si>
    <t>Return [(3) x (4)]</t>
  </si>
  <si>
    <t>Net Income [(5) - (6)]</t>
  </si>
  <si>
    <t>Cash Working Capital Adjustment</t>
  </si>
  <si>
    <t>N/A</t>
  </si>
  <si>
    <t xml:space="preserve">    Adjustment to eliminate gas line tracker revenues</t>
  </si>
  <si>
    <t>High Pressure Distrib Mains</t>
  </si>
  <si>
    <t>Low/Med Pres. Distrib Mains</t>
  </si>
  <si>
    <t>Expense Adjustments (Non-Income Tax)</t>
  </si>
  <si>
    <t>Straight Fixed Variable Customer Charge</t>
  </si>
  <si>
    <t>Incremental Uncollectable Accounts Expense</t>
  </si>
  <si>
    <t>Incremental Commission Fees</t>
  </si>
  <si>
    <t xml:space="preserve">    Adj to eliminate GSC recoveries Interdepartmental Sales</t>
  </si>
  <si>
    <t>Rate AAGS</t>
  </si>
  <si>
    <t>Increase in Miscellaneous Charges - Interdepartmental Sales</t>
  </si>
  <si>
    <t>365-372</t>
  </si>
  <si>
    <t>Construction Work in Progress</t>
  </si>
  <si>
    <t xml:space="preserve">  Storage Related</t>
  </si>
  <si>
    <t>Transmission Storage Related</t>
  </si>
  <si>
    <t>Allocator</t>
  </si>
  <si>
    <t>Amortization of Investment Tax Credits</t>
  </si>
  <si>
    <t>Transmission Non-Storage Related</t>
  </si>
  <si>
    <t xml:space="preserve">  Demand Non-Storage Related</t>
  </si>
  <si>
    <t>Removal of GLT Revenue</t>
  </si>
  <si>
    <t>REVGLT</t>
  </si>
  <si>
    <t>Net Operating Income -- Adjusted Forecast Period</t>
  </si>
  <si>
    <t>Net Operating Income -- Adjusted Forecast Period (Cont.)</t>
  </si>
  <si>
    <t>Transmission and</t>
  </si>
  <si>
    <t>For the 12 Months Ended June 30, 2018</t>
  </si>
  <si>
    <t>Rev Req</t>
  </si>
  <si>
    <t>Unit Charge</t>
  </si>
  <si>
    <t>Meter Count</t>
  </si>
  <si>
    <t>Average Cost of Meter</t>
  </si>
  <si>
    <t>Average Cost of Labor Install (w/Vehicle)</t>
  </si>
  <si>
    <t>Average Cost of Materials</t>
  </si>
  <si>
    <t>Calculated Total Cost</t>
  </si>
  <si>
    <t>RGS</t>
  </si>
  <si>
    <t>CGS</t>
  </si>
  <si>
    <t>&lt;5,000 cf/hr</t>
  </si>
  <si>
    <r>
      <rPr>
        <sz val="11"/>
        <color theme="1"/>
        <rFont val="Calibri"/>
        <family val="2"/>
      </rPr>
      <t>≥</t>
    </r>
    <r>
      <rPr>
        <sz val="10"/>
        <rFont val="Arial"/>
        <family val="2"/>
      </rPr>
      <t>5,000 cf/hr</t>
    </r>
  </si>
  <si>
    <t>IGS</t>
  </si>
  <si>
    <t>Transport</t>
  </si>
  <si>
    <t>AAGS</t>
  </si>
  <si>
    <t>Meter cost based on 2016 meter contracts and weighted average of existing stock of meters of the various rates</t>
  </si>
  <si>
    <t>Wage rate based upon current wage rate for Distribution Crew Leader (12) and SR&amp;O Tech A (10) as of September 2016.</t>
  </si>
  <si>
    <t>Burden rate based September 2016 per Pam McDonald (Budgeting).</t>
  </si>
  <si>
    <t>Transportation cost from David Cummings eamil to S. Cooke 10/13/2016.</t>
  </si>
  <si>
    <t>Regulator and Meter Loop cost from Eddie Harshfield and Bill Lawson</t>
  </si>
  <si>
    <t>2014 Reported</t>
  </si>
  <si>
    <t>1” Prefab (Residential)</t>
  </si>
  <si>
    <t>Includes regulator</t>
  </si>
  <si>
    <t>1 ½” Prefab (425)         </t>
  </si>
  <si>
    <t>1 ½” Prefab (&gt;425)</t>
  </si>
  <si>
    <t>3M-11M Rotary Loop</t>
  </si>
  <si>
    <t>&gt;11M Rotary Loop</t>
  </si>
  <si>
    <t>For diaphragm install, two man construction crew.</t>
  </si>
  <si>
    <t>For rotary install, one man crew (3M-11M), two man crew (&gt;11M)…I know we aren’t using but wanted to mention 5 hours to install 3M-11M and 8 hours to install &gt;11M.</t>
  </si>
  <si>
    <t xml:space="preserve">Total Cost of Service </t>
  </si>
  <si>
    <t>Rate Base as Adjusted</t>
  </si>
  <si>
    <t>Net Cost of Service</t>
  </si>
  <si>
    <t>Unit Costs</t>
  </si>
  <si>
    <t>Cust-Related</t>
  </si>
  <si>
    <t>Storage/Trans</t>
  </si>
  <si>
    <t>Return</t>
  </si>
  <si>
    <t>Net Income</t>
  </si>
  <si>
    <t>Total Cost of Service</t>
  </si>
  <si>
    <t>Storage/Tran</t>
  </si>
  <si>
    <t>Daily Utilization Charges Under Rate FT and LGDS</t>
  </si>
  <si>
    <t>Cost Support for Rate SGSS Based on Unit Costs for Rate CGS</t>
  </si>
  <si>
    <t>Cost Support for Rate SGSS Based on Unit Costs for Rate IGS</t>
  </si>
  <si>
    <t>Cost Support for Rate LGDS Based on Unit Costs for Rate FT</t>
  </si>
  <si>
    <t>TAI Calc--- Distribution Depreciation Reserve Per Schedule B-3.2</t>
  </si>
  <si>
    <t>Corrected</t>
  </si>
  <si>
    <t>Pct Customer</t>
  </si>
  <si>
    <t>Seeyle DEM05 - High Pressure</t>
  </si>
  <si>
    <t>Seeyle DEM05a - Low Pressure</t>
  </si>
  <si>
    <t>Ratio of Low Pressure to High Pressure</t>
  </si>
  <si>
    <t>Seeyle COM04 - All (Implicit High Press.)</t>
  </si>
  <si>
    <t>TAI COM04a - Low Pressure</t>
  </si>
  <si>
    <t>TAI Peak &amp; Average - High Pressure</t>
  </si>
  <si>
    <t>TAI Peak &amp; Average - Low Pressure</t>
  </si>
  <si>
    <t>Peak</t>
  </si>
  <si>
    <t>Average</t>
  </si>
  <si>
    <t>P&amp;AHIGH</t>
  </si>
  <si>
    <t>P&amp;ALOW</t>
  </si>
  <si>
    <t>As-Filed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</si>
</sst>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_(* #,##0.000000_);_(* \(#,##0.000000\);_(* &quot;-&quot;??_);_(@_)"/>
    <numFmt numFmtId="171" formatCode="_(&quot;$&quot;* #,##0.0000_);_(&quot;$&quot;* \(#,##0.0000\);_(&quot;$&quot;* &quot;-&quot;??_);_(@_)"/>
    <numFmt numFmtId="172" formatCode="_(* #,##0.0000000_);_(* \(#,##0.0000000\);_(* &quot;-&quot;??_);_(@_)"/>
    <numFmt numFmtId="173" formatCode="_([$€-2]* #,##0.00_);_([$€-2]* \(#,##0.00\);_([$€-2]* &quot;-&quot;??_)"/>
    <numFmt numFmtId="174" formatCode="&quot;$&quot;#,##0\ ;\(&quot;$&quot;#,##0\)"/>
    <numFmt numFmtId="175" formatCode="0.0%"/>
    <numFmt numFmtId="176" formatCode="&quot;$&quot;#,##0"/>
    <numFmt numFmtId="177" formatCode="0.0000%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" fillId="0" borderId="0" applyProtection="0"/>
    <xf numFmtId="0" fontId="6" fillId="0" borderId="0" applyProtection="0"/>
    <xf numFmtId="0" fontId="10" fillId="0" borderId="0" applyProtection="0"/>
    <xf numFmtId="0" fontId="11" fillId="0" borderId="0" applyProtection="0"/>
    <xf numFmtId="0" fontId="1" fillId="0" borderId="0" applyProtection="0"/>
    <xf numFmtId="0" fontId="4" fillId="0" borderId="0" applyProtection="0"/>
    <xf numFmtId="0" fontId="12" fillId="0" borderId="0" applyProtection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" applyNumberFormat="0" applyFont="0" applyFill="0" applyAlignment="0" applyProtection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0" xfId="1" applyNumberFormat="1" applyFont="1"/>
    <xf numFmtId="165" fontId="0" fillId="0" borderId="0" xfId="5" applyNumberFormat="1" applyFont="1"/>
    <xf numFmtId="164" fontId="0" fillId="0" borderId="0" xfId="0" applyNumberFormat="1"/>
    <xf numFmtId="10" fontId="0" fillId="0" borderId="0" xfId="0" applyNumberFormat="1"/>
    <xf numFmtId="170" fontId="0" fillId="0" borderId="0" xfId="1" applyNumberFormat="1" applyFont="1"/>
    <xf numFmtId="164" fontId="0" fillId="0" borderId="0" xfId="1" applyNumberFormat="1" applyFont="1" applyBorder="1"/>
    <xf numFmtId="164" fontId="0" fillId="0" borderId="2" xfId="1" applyNumberFormat="1" applyFont="1" applyBorder="1"/>
    <xf numFmtId="43" fontId="0" fillId="0" borderId="0" xfId="1" applyFont="1"/>
    <xf numFmtId="0" fontId="2" fillId="0" borderId="0" xfId="0" applyFont="1" applyFill="1"/>
    <xf numFmtId="0" fontId="8" fillId="0" borderId="0" xfId="0" applyFont="1" applyFill="1"/>
    <xf numFmtId="0" fontId="0" fillId="0" borderId="2" xfId="0" applyBorder="1"/>
    <xf numFmtId="164" fontId="15" fillId="0" borderId="0" xfId="1" applyNumberFormat="1" applyFont="1" applyFill="1"/>
    <xf numFmtId="164" fontId="15" fillId="0" borderId="0" xfId="1" applyNumberFormat="1" applyFont="1" applyFill="1" applyBorder="1"/>
    <xf numFmtId="164" fontId="15" fillId="0" borderId="0" xfId="1" applyNumberFormat="1" applyFont="1" applyFill="1" applyAlignment="1">
      <alignment horizontal="right"/>
    </xf>
    <xf numFmtId="43" fontId="15" fillId="0" borderId="0" xfId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8" fillId="0" borderId="3" xfId="0" applyFont="1" applyFill="1" applyBorder="1" applyAlignment="1">
      <alignment horizontal="right"/>
    </xf>
    <xf numFmtId="44" fontId="0" fillId="0" borderId="0" xfId="5" applyFont="1"/>
    <xf numFmtId="0" fontId="6" fillId="0" borderId="0" xfId="0" applyFont="1" applyFill="1"/>
    <xf numFmtId="0" fontId="3" fillId="2" borderId="0" xfId="0" applyFont="1" applyFill="1"/>
    <xf numFmtId="164" fontId="6" fillId="0" borderId="0" xfId="1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6" fillId="0" borderId="0" xfId="0" applyFont="1" applyFill="1" applyAlignment="1">
      <alignment horizontal="center"/>
    </xf>
    <xf numFmtId="165" fontId="6" fillId="0" borderId="0" xfId="5" applyNumberFormat="1" applyFont="1" applyFill="1"/>
    <xf numFmtId="165" fontId="6" fillId="0" borderId="0" xfId="0" applyNumberFormat="1" applyFont="1" applyFill="1"/>
    <xf numFmtId="175" fontId="3" fillId="0" borderId="0" xfId="0" applyNumberFormat="1" applyFont="1" applyFill="1"/>
    <xf numFmtId="0" fontId="19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43" fontId="7" fillId="0" borderId="0" xfId="1" applyFont="1" applyAlignment="1">
      <alignment horizontal="right"/>
    </xf>
    <xf numFmtId="17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/>
    <xf numFmtId="0" fontId="7" fillId="0" borderId="3" xfId="0" applyFont="1" applyBorder="1" applyAlignment="1">
      <alignment horizontal="left" wrapText="1"/>
    </xf>
    <xf numFmtId="43" fontId="7" fillId="0" borderId="3" xfId="1" applyFont="1" applyBorder="1" applyAlignment="1">
      <alignment horizontal="right"/>
    </xf>
    <xf numFmtId="170" fontId="7" fillId="0" borderId="3" xfId="1" applyNumberFormat="1" applyFont="1" applyBorder="1" applyAlignment="1">
      <alignment horizontal="right"/>
    </xf>
    <xf numFmtId="10" fontId="0" fillId="0" borderId="0" xfId="24" applyNumberFormat="1" applyFont="1"/>
    <xf numFmtId="10" fontId="0" fillId="0" borderId="0" xfId="24" applyNumberFormat="1" applyFont="1" applyBorder="1"/>
    <xf numFmtId="10" fontId="0" fillId="0" borderId="2" xfId="24" applyNumberFormat="1" applyFont="1" applyBorder="1"/>
    <xf numFmtId="0" fontId="8" fillId="0" borderId="0" xfId="21" applyFont="1" applyBorder="1" applyAlignment="1">
      <alignment horizontal="center"/>
    </xf>
    <xf numFmtId="0" fontId="6" fillId="0" borderId="0" xfId="21" applyFont="1" applyBorder="1"/>
    <xf numFmtId="0" fontId="6" fillId="0" borderId="0" xfId="21" applyFont="1"/>
    <xf numFmtId="165" fontId="6" fillId="0" borderId="0" xfId="21" applyNumberFormat="1" applyFont="1"/>
    <xf numFmtId="165" fontId="6" fillId="0" borderId="0" xfId="6" applyNumberFormat="1" applyFont="1"/>
    <xf numFmtId="164" fontId="6" fillId="0" borderId="0" xfId="21" applyNumberFormat="1" applyFont="1"/>
    <xf numFmtId="0" fontId="6" fillId="0" borderId="0" xfId="21" applyNumberFormat="1" applyFont="1"/>
    <xf numFmtId="0" fontId="8" fillId="0" borderId="0" xfId="21" applyFont="1" applyBorder="1"/>
    <xf numFmtId="44" fontId="6" fillId="0" borderId="0" xfId="6" applyNumberFormat="1" applyFont="1" applyBorder="1"/>
    <xf numFmtId="44" fontId="6" fillId="0" borderId="0" xfId="6" applyFont="1" applyBorder="1"/>
    <xf numFmtId="171" fontId="6" fillId="0" borderId="0" xfId="6" applyNumberFormat="1" applyFont="1" applyBorder="1"/>
    <xf numFmtId="171" fontId="6" fillId="0" borderId="0" xfId="5" applyNumberFormat="1" applyFont="1" applyBorder="1"/>
    <xf numFmtId="164" fontId="6" fillId="0" borderId="0" xfId="21" applyNumberFormat="1" applyFont="1" applyBorder="1"/>
    <xf numFmtId="0" fontId="15" fillId="0" borderId="0" xfId="21" applyFont="1"/>
    <xf numFmtId="0" fontId="16" fillId="0" borderId="4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0" fontId="16" fillId="0" borderId="5" xfId="21" applyFont="1" applyBorder="1" applyAlignment="1">
      <alignment horizontal="center"/>
    </xf>
    <xf numFmtId="0" fontId="15" fillId="0" borderId="0" xfId="21" applyFont="1" applyBorder="1"/>
    <xf numFmtId="0" fontId="15" fillId="0" borderId="5" xfId="21" applyFont="1" applyBorder="1"/>
    <xf numFmtId="0" fontId="15" fillId="0" borderId="6" xfId="21" applyFont="1" applyBorder="1"/>
    <xf numFmtId="0" fontId="15" fillId="0" borderId="7" xfId="21" applyFont="1" applyBorder="1"/>
    <xf numFmtId="0" fontId="15" fillId="0" borderId="8" xfId="21" applyFont="1" applyBorder="1"/>
    <xf numFmtId="0" fontId="15" fillId="0" borderId="9" xfId="21" applyFont="1" applyBorder="1"/>
    <xf numFmtId="0" fontId="15" fillId="0" borderId="10" xfId="21" applyFont="1" applyBorder="1"/>
    <xf numFmtId="0" fontId="16" fillId="0" borderId="9" xfId="21" applyFont="1" applyBorder="1" applyAlignment="1">
      <alignment horizontal="center"/>
    </xf>
    <xf numFmtId="0" fontId="16" fillId="0" borderId="10" xfId="21" applyFont="1" applyBorder="1"/>
    <xf numFmtId="0" fontId="15" fillId="0" borderId="4" xfId="21" applyFont="1" applyBorder="1"/>
    <xf numFmtId="0" fontId="15" fillId="0" borderId="11" xfId="21" applyFont="1" applyBorder="1"/>
    <xf numFmtId="0" fontId="16" fillId="0" borderId="11" xfId="21" applyFont="1" applyBorder="1" applyAlignment="1">
      <alignment horizontal="center"/>
    </xf>
    <xf numFmtId="0" fontId="16" fillId="0" borderId="7" xfId="21" applyFont="1" applyBorder="1"/>
    <xf numFmtId="0" fontId="16" fillId="0" borderId="12" xfId="21" applyFont="1" applyBorder="1" applyAlignment="1">
      <alignment horizontal="center"/>
    </xf>
    <xf numFmtId="0" fontId="16" fillId="0" borderId="6" xfId="21" applyFont="1" applyBorder="1" applyAlignment="1">
      <alignment horizontal="center"/>
    </xf>
    <xf numFmtId="0" fontId="16" fillId="0" borderId="3" xfId="21" applyFont="1" applyBorder="1" applyAlignment="1">
      <alignment horizontal="center"/>
    </xf>
    <xf numFmtId="0" fontId="16" fillId="0" borderId="7" xfId="21" applyFont="1" applyBorder="1" applyAlignment="1">
      <alignment horizontal="center"/>
    </xf>
    <xf numFmtId="0" fontId="15" fillId="0" borderId="8" xfId="21" applyFont="1" applyBorder="1" applyAlignment="1">
      <alignment horizontal="center"/>
    </xf>
    <xf numFmtId="0" fontId="15" fillId="0" borderId="13" xfId="21" applyFont="1" applyBorder="1"/>
    <xf numFmtId="0" fontId="15" fillId="0" borderId="4" xfId="21" quotePrefix="1" applyFont="1" applyBorder="1"/>
    <xf numFmtId="0" fontId="15" fillId="0" borderId="5" xfId="21" applyFont="1" applyFill="1" applyBorder="1"/>
    <xf numFmtId="0" fontId="15" fillId="0" borderId="4" xfId="21" applyFont="1" applyBorder="1" applyAlignment="1">
      <alignment horizontal="center"/>
    </xf>
    <xf numFmtId="165" fontId="15" fillId="0" borderId="4" xfId="6" applyNumberFormat="1" applyFont="1" applyBorder="1"/>
    <xf numFmtId="165" fontId="15" fillId="0" borderId="0" xfId="6" applyNumberFormat="1" applyFont="1" applyBorder="1"/>
    <xf numFmtId="165" fontId="15" fillId="0" borderId="5" xfId="21" applyNumberFormat="1" applyFont="1" applyBorder="1"/>
    <xf numFmtId="165" fontId="15" fillId="0" borderId="4" xfId="21" applyNumberFormat="1" applyFont="1" applyBorder="1"/>
    <xf numFmtId="165" fontId="15" fillId="0" borderId="11" xfId="6" applyNumberFormat="1" applyFont="1" applyBorder="1"/>
    <xf numFmtId="165" fontId="15" fillId="0" borderId="5" xfId="6" applyNumberFormat="1" applyFont="1" applyBorder="1"/>
    <xf numFmtId="165" fontId="15" fillId="0" borderId="11" xfId="21" applyNumberFormat="1" applyFont="1" applyBorder="1"/>
    <xf numFmtId="164" fontId="15" fillId="0" borderId="4" xfId="2" applyNumberFormat="1" applyFont="1" applyBorder="1"/>
    <xf numFmtId="164" fontId="15" fillId="0" borderId="0" xfId="2" applyNumberFormat="1" applyFont="1" applyBorder="1"/>
    <xf numFmtId="164" fontId="15" fillId="0" borderId="5" xfId="2" applyNumberFormat="1" applyFont="1" applyBorder="1"/>
    <xf numFmtId="164" fontId="15" fillId="0" borderId="11" xfId="2" applyNumberFormat="1" applyFont="1" applyBorder="1"/>
    <xf numFmtId="165" fontId="15" fillId="0" borderId="11" xfId="21" applyNumberFormat="1" applyFont="1" applyFill="1" applyBorder="1"/>
    <xf numFmtId="10" fontId="15" fillId="0" borderId="4" xfId="21" applyNumberFormat="1" applyFont="1" applyBorder="1"/>
    <xf numFmtId="10" fontId="15" fillId="0" borderId="0" xfId="21" applyNumberFormat="1" applyFont="1" applyBorder="1"/>
    <xf numFmtId="10" fontId="15" fillId="0" borderId="5" xfId="21" applyNumberFormat="1" applyFont="1" applyBorder="1"/>
    <xf numFmtId="10" fontId="15" fillId="0" borderId="11" xfId="21" applyNumberFormat="1" applyFont="1" applyBorder="1"/>
    <xf numFmtId="165" fontId="15" fillId="0" borderId="0" xfId="21" applyNumberFormat="1" applyFont="1" applyBorder="1"/>
    <xf numFmtId="0" fontId="15" fillId="0" borderId="4" xfId="21" quotePrefix="1" applyFont="1" applyBorder="1" applyAlignment="1">
      <alignment horizontal="center"/>
    </xf>
    <xf numFmtId="0" fontId="15" fillId="0" borderId="6" xfId="21" quotePrefix="1" applyFont="1" applyBorder="1"/>
    <xf numFmtId="0" fontId="15" fillId="0" borderId="7" xfId="21" applyFont="1" applyFill="1" applyBorder="1"/>
    <xf numFmtId="0" fontId="15" fillId="0" borderId="6" xfId="21" applyFont="1" applyBorder="1" applyAlignment="1">
      <alignment horizontal="center"/>
    </xf>
    <xf numFmtId="44" fontId="15" fillId="0" borderId="6" xfId="6" applyNumberFormat="1" applyFont="1" applyBorder="1" applyAlignment="1">
      <alignment horizontal="right"/>
    </xf>
    <xf numFmtId="44" fontId="15" fillId="0" borderId="3" xfId="6" applyNumberFormat="1" applyFont="1" applyBorder="1" applyAlignment="1">
      <alignment horizontal="right"/>
    </xf>
    <xf numFmtId="44" fontId="15" fillId="0" borderId="14" xfId="6" applyNumberFormat="1" applyFont="1" applyBorder="1" applyAlignment="1">
      <alignment horizontal="right"/>
    </xf>
    <xf numFmtId="171" fontId="15" fillId="0" borderId="15" xfId="6" applyNumberFormat="1" applyFont="1" applyBorder="1" applyAlignment="1">
      <alignment horizontal="right"/>
    </xf>
    <xf numFmtId="0" fontId="15" fillId="0" borderId="12" xfId="21" applyFont="1" applyBorder="1"/>
    <xf numFmtId="0" fontId="15" fillId="0" borderId="0" xfId="21" applyNumberFormat="1" applyFont="1"/>
    <xf numFmtId="0" fontId="16" fillId="0" borderId="0" xfId="21" applyFont="1" applyBorder="1"/>
    <xf numFmtId="0" fontId="6" fillId="0" borderId="0" xfId="0" applyFont="1" applyFill="1" applyAlignment="1">
      <alignment horizontal="right"/>
    </xf>
    <xf numFmtId="0" fontId="8" fillId="0" borderId="3" xfId="0" applyFont="1" applyFill="1" applyBorder="1"/>
    <xf numFmtId="0" fontId="18" fillId="0" borderId="0" xfId="0" applyFont="1" applyFill="1"/>
    <xf numFmtId="0" fontId="8" fillId="0" borderId="0" xfId="0" applyFont="1" applyFill="1" applyAlignment="1">
      <alignment horizontal="left"/>
    </xf>
    <xf numFmtId="0" fontId="6" fillId="0" borderId="3" xfId="0" applyFont="1" applyFill="1" applyBorder="1"/>
    <xf numFmtId="0" fontId="6" fillId="0" borderId="0" xfId="0" applyFont="1" applyFill="1" applyAlignment="1"/>
    <xf numFmtId="0" fontId="6" fillId="0" borderId="0" xfId="23" applyFont="1" applyFill="1" applyAlignment="1">
      <alignment horizontal="center"/>
    </xf>
    <xf numFmtId="43" fontId="6" fillId="0" borderId="0" xfId="5" applyNumberFormat="1" applyFont="1" applyFill="1"/>
    <xf numFmtId="10" fontId="6" fillId="0" borderId="0" xfId="24" applyNumberFormat="1" applyFont="1" applyFill="1"/>
    <xf numFmtId="43" fontId="6" fillId="0" borderId="0" xfId="0" applyNumberFormat="1" applyFont="1" applyFill="1"/>
    <xf numFmtId="164" fontId="6" fillId="0" borderId="0" xfId="0" applyNumberFormat="1" applyFont="1" applyFill="1"/>
    <xf numFmtId="43" fontId="6" fillId="0" borderId="0" xfId="1" applyFont="1" applyFill="1" applyAlignment="1">
      <alignment horizontal="right"/>
    </xf>
    <xf numFmtId="43" fontId="6" fillId="0" borderId="0" xfId="1" applyFont="1" applyFill="1"/>
    <xf numFmtId="16" fontId="6" fillId="0" borderId="0" xfId="0" quotePrefix="1" applyNumberFormat="1" applyFont="1" applyFill="1" applyAlignment="1">
      <alignment horizontal="center"/>
    </xf>
    <xf numFmtId="166" fontId="6" fillId="0" borderId="0" xfId="0" applyNumberFormat="1" applyFont="1" applyFill="1"/>
    <xf numFmtId="166" fontId="6" fillId="0" borderId="0" xfId="0" applyNumberFormat="1" applyFont="1" applyFill="1" applyAlignment="1">
      <alignment horizontal="right"/>
    </xf>
    <xf numFmtId="170" fontId="6" fillId="0" borderId="0" xfId="1" applyNumberFormat="1" applyFont="1" applyFill="1"/>
    <xf numFmtId="169" fontId="6" fillId="0" borderId="0" xfId="1" applyNumberFormat="1" applyFont="1" applyFill="1"/>
    <xf numFmtId="10" fontId="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Alignment="1">
      <alignment horizontal="right" wrapText="1"/>
    </xf>
    <xf numFmtId="0" fontId="15" fillId="0" borderId="0" xfId="0" applyFont="1" applyFill="1"/>
    <xf numFmtId="0" fontId="16" fillId="0" borderId="3" xfId="0" applyFont="1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 wrapText="1"/>
    </xf>
    <xf numFmtId="0" fontId="17" fillId="0" borderId="0" xfId="0" applyFont="1" applyFill="1"/>
    <xf numFmtId="0" fontId="15" fillId="0" borderId="0" xfId="0" quotePrefix="1" applyFont="1" applyFill="1"/>
    <xf numFmtId="165" fontId="15" fillId="0" borderId="0" xfId="5" applyNumberFormat="1" applyFont="1" applyFill="1"/>
    <xf numFmtId="165" fontId="15" fillId="0" borderId="0" xfId="0" applyNumberFormat="1" applyFont="1" applyFill="1"/>
    <xf numFmtId="43" fontId="15" fillId="0" borderId="0" xfId="0" applyNumberFormat="1" applyFont="1" applyFill="1"/>
    <xf numFmtId="0" fontId="15" fillId="0" borderId="0" xfId="0" applyFont="1" applyFill="1" applyAlignment="1">
      <alignment horizontal="right"/>
    </xf>
    <xf numFmtId="10" fontId="15" fillId="0" borderId="0" xfId="24" applyNumberFormat="1" applyFont="1" applyFill="1"/>
    <xf numFmtId="0" fontId="15" fillId="0" borderId="0" xfId="0" quotePrefix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16" xfId="0" applyFont="1" applyFill="1" applyBorder="1"/>
    <xf numFmtId="10" fontId="16" fillId="0" borderId="14" xfId="24" applyNumberFormat="1" applyFont="1" applyFill="1" applyBorder="1"/>
    <xf numFmtId="0" fontId="16" fillId="0" borderId="0" xfId="0" applyFont="1" applyFill="1" applyBorder="1"/>
    <xf numFmtId="10" fontId="16" fillId="0" borderId="0" xfId="24" applyNumberFormat="1" applyFont="1" applyFill="1" applyBorder="1"/>
    <xf numFmtId="0" fontId="15" fillId="0" borderId="0" xfId="0" applyFont="1" applyFill="1" applyBorder="1"/>
    <xf numFmtId="168" fontId="15" fillId="0" borderId="0" xfId="1" applyNumberFormat="1" applyFont="1" applyFill="1"/>
    <xf numFmtId="10" fontId="15" fillId="0" borderId="0" xfId="24" applyNumberFormat="1" applyFont="1" applyFill="1" applyBorder="1"/>
    <xf numFmtId="164" fontId="15" fillId="0" borderId="0" xfId="0" applyNumberFormat="1" applyFont="1" applyFill="1"/>
    <xf numFmtId="164" fontId="15" fillId="0" borderId="0" xfId="1" applyNumberFormat="1" applyFont="1" applyFill="1" applyAlignment="1">
      <alignment horizontal="center"/>
    </xf>
    <xf numFmtId="170" fontId="15" fillId="0" borderId="0" xfId="1" applyNumberFormat="1" applyFont="1" applyFill="1"/>
    <xf numFmtId="164" fontId="15" fillId="0" borderId="0" xfId="2" applyNumberFormat="1" applyFont="1" applyFill="1"/>
    <xf numFmtId="43" fontId="15" fillId="0" borderId="0" xfId="1" applyNumberFormat="1" applyFont="1" applyFill="1"/>
    <xf numFmtId="172" fontId="15" fillId="0" borderId="0" xfId="1" applyNumberFormat="1" applyFont="1" applyFill="1"/>
    <xf numFmtId="0" fontId="15" fillId="0" borderId="0" xfId="1" applyNumberFormat="1" applyFont="1" applyFill="1" applyAlignment="1">
      <alignment horizontal="left"/>
    </xf>
    <xf numFmtId="165" fontId="15" fillId="0" borderId="0" xfId="0" applyNumberFormat="1" applyFont="1" applyFill="1" applyBorder="1"/>
    <xf numFmtId="10" fontId="15" fillId="0" borderId="0" xfId="0" applyNumberFormat="1" applyFont="1" applyFill="1" applyBorder="1"/>
    <xf numFmtId="165" fontId="15" fillId="0" borderId="0" xfId="5" applyNumberFormat="1" applyFont="1" applyFill="1" applyBorder="1"/>
    <xf numFmtId="167" fontId="15" fillId="0" borderId="0" xfId="1" applyNumberFormat="1" applyFont="1" applyFill="1" applyBorder="1"/>
    <xf numFmtId="165" fontId="15" fillId="0" borderId="0" xfId="24" applyNumberFormat="1" applyFont="1" applyFill="1"/>
    <xf numFmtId="164" fontId="15" fillId="0" borderId="0" xfId="0" applyNumberFormat="1" applyFont="1" applyFill="1" applyBorder="1"/>
    <xf numFmtId="169" fontId="15" fillId="0" borderId="0" xfId="1" applyNumberFormat="1" applyFont="1" applyFill="1" applyBorder="1"/>
    <xf numFmtId="169" fontId="15" fillId="0" borderId="0" xfId="0" applyNumberFormat="1" applyFont="1" applyFill="1"/>
    <xf numFmtId="169" fontId="15" fillId="0" borderId="0" xfId="0" applyNumberFormat="1" applyFont="1" applyFill="1" applyBorder="1"/>
    <xf numFmtId="165" fontId="15" fillId="0" borderId="0" xfId="1" applyNumberFormat="1" applyFont="1" applyFill="1"/>
    <xf numFmtId="165" fontId="15" fillId="0" borderId="0" xfId="21" applyNumberFormat="1" applyFont="1"/>
    <xf numFmtId="0" fontId="8" fillId="0" borderId="0" xfId="21" applyFont="1" applyAlignment="1">
      <alignment horizontal="right"/>
    </xf>
    <xf numFmtId="44" fontId="8" fillId="0" borderId="0" xfId="5" applyFont="1"/>
    <xf numFmtId="44" fontId="6" fillId="0" borderId="0" xfId="5" applyNumberFormat="1" applyFont="1" applyBorder="1"/>
    <xf numFmtId="1" fontId="6" fillId="0" borderId="0" xfId="0" applyNumberFormat="1" applyFont="1" applyFill="1" applyAlignment="1">
      <alignment horizontal="left"/>
    </xf>
    <xf numFmtId="1" fontId="6" fillId="0" borderId="0" xfId="0" quotePrefix="1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2" fontId="18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4" fontId="6" fillId="0" borderId="0" xfId="5" applyNumberFormat="1" applyFont="1" applyFill="1"/>
    <xf numFmtId="6" fontId="6" fillId="0" borderId="0" xfId="0" applyNumberFormat="1" applyFont="1" applyFill="1"/>
    <xf numFmtId="165" fontId="6" fillId="0" borderId="0" xfId="5" applyNumberFormat="1" applyFont="1" applyFill="1" applyBorder="1"/>
    <xf numFmtId="0" fontId="6" fillId="0" borderId="0" xfId="0" applyFont="1" applyFill="1" applyBorder="1"/>
    <xf numFmtId="0" fontId="6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0" fontId="9" fillId="0" borderId="0" xfId="0" applyFont="1" applyFill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8" fillId="0" borderId="0" xfId="0" quotePrefix="1" applyFont="1" applyFill="1" applyAlignment="1">
      <alignment horizontal="left"/>
    </xf>
    <xf numFmtId="0" fontId="21" fillId="0" borderId="0" xfId="0" applyFont="1" applyFill="1"/>
    <xf numFmtId="165" fontId="21" fillId="0" borderId="0" xfId="0" applyNumberFormat="1" applyFont="1" applyFill="1"/>
    <xf numFmtId="0" fontId="16" fillId="0" borderId="15" xfId="0" applyFont="1" applyFill="1" applyBorder="1"/>
    <xf numFmtId="0" fontId="16" fillId="0" borderId="10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0" fontId="6" fillId="0" borderId="0" xfId="0" quotePrefix="1" applyFont="1" applyFill="1"/>
    <xf numFmtId="44" fontId="15" fillId="0" borderId="0" xfId="5" applyFont="1" applyFill="1"/>
    <xf numFmtId="164" fontId="0" fillId="0" borderId="2" xfId="0" applyNumberFormat="1" applyBorder="1"/>
    <xf numFmtId="0" fontId="6" fillId="0" borderId="0" xfId="21" applyFont="1" applyAlignment="1">
      <alignment horizontal="left"/>
    </xf>
    <xf numFmtId="44" fontId="6" fillId="0" borderId="0" xfId="5" applyFont="1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wrapText="1"/>
    </xf>
    <xf numFmtId="44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16" fillId="0" borderId="0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171" fontId="0" fillId="0" borderId="0" xfId="5" applyNumberFormat="1" applyFont="1"/>
    <xf numFmtId="0" fontId="8" fillId="0" borderId="15" xfId="21" applyFont="1" applyBorder="1"/>
    <xf numFmtId="44" fontId="6" fillId="0" borderId="14" xfId="5" applyFont="1" applyBorder="1"/>
    <xf numFmtId="171" fontId="6" fillId="0" borderId="14" xfId="21" applyNumberFormat="1" applyFont="1" applyBorder="1"/>
    <xf numFmtId="176" fontId="6" fillId="0" borderId="0" xfId="0" applyNumberFormat="1" applyFont="1" applyFill="1"/>
    <xf numFmtId="177" fontId="6" fillId="0" borderId="0" xfId="0" applyNumberFormat="1" applyFont="1" applyFill="1" applyAlignment="1">
      <alignment horizontal="right"/>
    </xf>
    <xf numFmtId="10" fontId="0" fillId="0" borderId="0" xfId="1" applyNumberFormat="1" applyFont="1"/>
    <xf numFmtId="177" fontId="15" fillId="0" borderId="0" xfId="24" applyNumberFormat="1" applyFont="1" applyFill="1" applyBorder="1"/>
    <xf numFmtId="177" fontId="15" fillId="0" borderId="0" xfId="0" applyNumberFormat="1" applyFont="1" applyFill="1" applyBorder="1"/>
    <xf numFmtId="177" fontId="15" fillId="0" borderId="0" xfId="24" applyNumberFormat="1" applyFont="1" applyFill="1"/>
    <xf numFmtId="43" fontId="7" fillId="0" borderId="0" xfId="1" applyFont="1" applyAlignment="1">
      <alignment horizontal="center"/>
    </xf>
    <xf numFmtId="43" fontId="7" fillId="0" borderId="3" xfId="1" applyFont="1" applyBorder="1" applyAlignment="1">
      <alignment horizontal="center"/>
    </xf>
    <xf numFmtId="170" fontId="7" fillId="0" borderId="3" xfId="1" applyNumberFormat="1" applyFont="1" applyBorder="1" applyAlignment="1">
      <alignment horizontal="center"/>
    </xf>
    <xf numFmtId="43" fontId="2" fillId="0" borderId="0" xfId="1" applyFont="1" applyAlignment="1">
      <alignment horizontal="center"/>
    </xf>
    <xf numFmtId="170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0" fontId="0" fillId="0" borderId="2" xfId="1" applyNumberFormat="1" applyFont="1" applyBorder="1"/>
    <xf numFmtId="0" fontId="16" fillId="0" borderId="0" xfId="21" applyFont="1" applyBorder="1" applyAlignment="1">
      <alignment horizontal="center"/>
    </xf>
    <xf numFmtId="0" fontId="16" fillId="0" borderId="15" xfId="21" applyFont="1" applyBorder="1" applyAlignment="1">
      <alignment horizontal="center"/>
    </xf>
    <xf numFmtId="0" fontId="16" fillId="0" borderId="16" xfId="21" applyFont="1" applyBorder="1" applyAlignment="1">
      <alignment horizontal="center"/>
    </xf>
    <xf numFmtId="0" fontId="16" fillId="0" borderId="17" xfId="2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0" fillId="0" borderId="2" xfId="1" applyFont="1" applyBorder="1"/>
    <xf numFmtId="170" fontId="0" fillId="0" borderId="2" xfId="1" applyNumberFormat="1" applyFont="1" applyBorder="1"/>
  </cellXfs>
  <cellStyles count="33">
    <cellStyle name="Comma" xfId="1" builtinId="3"/>
    <cellStyle name="Comma 2" xfId="2"/>
    <cellStyle name="Comma 86" xfId="3"/>
    <cellStyle name="Comma0" xfId="4"/>
    <cellStyle name="Currency" xfId="5" builtinId="4"/>
    <cellStyle name="Currency 2" xfId="6"/>
    <cellStyle name="Currency 5" xfId="7"/>
    <cellStyle name="Currency0" xfId="8"/>
    <cellStyle name="Date" xfId="9"/>
    <cellStyle name="Euro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Heading 1" xfId="19" builtinId="16" customBuiltin="1"/>
    <cellStyle name="Heading 2" xfId="20" builtinId="17" customBuiltin="1"/>
    <cellStyle name="Normal" xfId="0" builtinId="0"/>
    <cellStyle name="Normal 14" xfId="21"/>
    <cellStyle name="Normal 3" xfId="22"/>
    <cellStyle name="Normal_LCEC 1998 Cost of Service Study" xfId="23"/>
    <cellStyle name="Percent" xfId="24" builtinId="5"/>
    <cellStyle name="Percent 2" xfId="25"/>
    <cellStyle name="STYL5 - Style5" xfId="26"/>
    <cellStyle name="STYL6 - Style6" xfId="27"/>
    <cellStyle name="STYLE1 - Style1" xfId="28"/>
    <cellStyle name="STYLE2 - Style2" xfId="29"/>
    <cellStyle name="STYLE3 - Style3" xfId="30"/>
    <cellStyle name="STYLE4 - Style4" xfId="31"/>
    <cellStyle name="Total" xfId="3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VID\PSC\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9\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Plan\Utility%20Plan\Supporting%20Schedules\Gross%20Margin\Gross%20Margin%202006-2008%20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ellar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e004977\Temporary%20Internet%20Files\OLK2D\Rate%20Case%20LGE%20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11661\Local%20Settings\Temporary%20Internet%20Files\OLK29\Rate%20Case%20KU%2012mosJune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667"/>
  <sheetViews>
    <sheetView zoomScaleNormal="100" zoomScaleSheetLayoutView="65" workbookViewId="0">
      <pane xSplit="6" ySplit="2" topLeftCell="N111" activePane="bottomRight" state="frozen"/>
      <selection pane="topRight" activeCell="G1" sqref="G1"/>
      <selection pane="bottomLeft" activeCell="A3" sqref="A3"/>
      <selection pane="bottomRight" activeCell="F133" sqref="F133"/>
    </sheetView>
  </sheetViews>
  <sheetFormatPr defaultColWidth="9.140625" defaultRowHeight="12.75" x14ac:dyDescent="0.2"/>
  <cols>
    <col min="1" max="1" width="10.5703125" style="23" customWidth="1"/>
    <col min="2" max="2" width="42.5703125" style="23" bestFit="1" customWidth="1"/>
    <col min="3" max="4" width="10.42578125" style="114" customWidth="1"/>
    <col min="5" max="5" width="3.85546875" style="114" customWidth="1"/>
    <col min="6" max="6" width="19.42578125" style="23" customWidth="1"/>
    <col min="7" max="14" width="19.42578125" style="114" customWidth="1"/>
    <col min="15" max="22" width="19.42578125" style="23" customWidth="1"/>
    <col min="23" max="24" width="14.28515625" style="23" customWidth="1"/>
    <col min="25" max="25" width="11.28515625" style="23" bestFit="1" customWidth="1"/>
    <col min="26" max="16384" width="9.140625" style="23"/>
  </cols>
  <sheetData>
    <row r="1" spans="1:32" ht="49.5" customHeight="1" x14ac:dyDescent="0.2">
      <c r="F1" s="19" t="s">
        <v>14</v>
      </c>
      <c r="G1" s="19" t="s">
        <v>635</v>
      </c>
      <c r="H1" s="19" t="s">
        <v>635</v>
      </c>
      <c r="I1" s="19" t="s">
        <v>3</v>
      </c>
      <c r="J1" s="19" t="s">
        <v>3</v>
      </c>
      <c r="K1" s="20" t="s">
        <v>869</v>
      </c>
      <c r="L1" s="20" t="s">
        <v>866</v>
      </c>
      <c r="M1" s="20" t="s">
        <v>5</v>
      </c>
      <c r="N1" s="20" t="s">
        <v>7</v>
      </c>
      <c r="O1" s="20" t="s">
        <v>675</v>
      </c>
      <c r="P1" s="20" t="s">
        <v>675</v>
      </c>
      <c r="Q1" s="20" t="s">
        <v>676</v>
      </c>
      <c r="R1" s="20" t="s">
        <v>677</v>
      </c>
      <c r="S1" s="19" t="s">
        <v>10</v>
      </c>
      <c r="T1" s="19" t="s">
        <v>11</v>
      </c>
      <c r="U1" s="20" t="s">
        <v>12</v>
      </c>
      <c r="V1" s="20" t="s">
        <v>645</v>
      </c>
      <c r="W1" s="19" t="s">
        <v>14</v>
      </c>
      <c r="X1" s="19"/>
    </row>
    <row r="2" spans="1:32" ht="13.5" thickBot="1" x14ac:dyDescent="0.25">
      <c r="A2" s="115" t="s">
        <v>19</v>
      </c>
      <c r="B2" s="118"/>
      <c r="C2" s="21" t="s">
        <v>17</v>
      </c>
      <c r="D2" s="21" t="s">
        <v>18</v>
      </c>
      <c r="E2" s="21"/>
      <c r="F2" s="21" t="s">
        <v>15</v>
      </c>
      <c r="G2" s="21" t="s">
        <v>1</v>
      </c>
      <c r="H2" s="21" t="s">
        <v>2</v>
      </c>
      <c r="I2" s="21" t="s">
        <v>1</v>
      </c>
      <c r="J2" s="21" t="s">
        <v>2</v>
      </c>
      <c r="K2" s="21" t="s">
        <v>1</v>
      </c>
      <c r="L2" s="21" t="s">
        <v>1</v>
      </c>
      <c r="M2" s="21" t="s">
        <v>2</v>
      </c>
      <c r="N2" s="21" t="s">
        <v>1</v>
      </c>
      <c r="O2" s="21" t="s">
        <v>1</v>
      </c>
      <c r="P2" s="21" t="s">
        <v>9</v>
      </c>
      <c r="Q2" s="21" t="s">
        <v>1</v>
      </c>
      <c r="R2" s="21" t="s">
        <v>9</v>
      </c>
      <c r="S2" s="21" t="s">
        <v>9</v>
      </c>
      <c r="T2" s="21" t="s">
        <v>9</v>
      </c>
      <c r="U2" s="21" t="s">
        <v>9</v>
      </c>
      <c r="V2" s="21" t="s">
        <v>9</v>
      </c>
      <c r="W2" s="21" t="s">
        <v>20</v>
      </c>
      <c r="X2" s="21" t="s">
        <v>21</v>
      </c>
    </row>
    <row r="4" spans="1:32" x14ac:dyDescent="0.2">
      <c r="A4" s="116" t="s">
        <v>659</v>
      </c>
    </row>
    <row r="5" spans="1:32" x14ac:dyDescent="0.2">
      <c r="A5" s="116"/>
    </row>
    <row r="6" spans="1:32" x14ac:dyDescent="0.2">
      <c r="A6" s="13" t="s">
        <v>391</v>
      </c>
    </row>
    <row r="7" spans="1:32" x14ac:dyDescent="0.2">
      <c r="A7" s="26" t="s">
        <v>22</v>
      </c>
      <c r="B7" s="119" t="s">
        <v>391</v>
      </c>
      <c r="C7" s="114" t="s">
        <v>24</v>
      </c>
      <c r="D7" s="114" t="s">
        <v>25</v>
      </c>
      <c r="F7" s="30">
        <v>153419352.25692311</v>
      </c>
      <c r="G7" s="25">
        <f>(VLOOKUP($D7,$C$6:$AJ$991,5,)/VLOOKUP($D7,$C$6:$AJ$991,4,))*$F7</f>
        <v>0</v>
      </c>
      <c r="H7" s="25">
        <f>(VLOOKUP($D7,$C$6:$AJ$991,6,)/VLOOKUP($D7,$C$6:$AJ$991,4,))*$F7</f>
        <v>0</v>
      </c>
      <c r="I7" s="25">
        <f>(VLOOKUP($D7,$C$6:$AJ$991,7,)/VLOOKUP($D7,$C$6:$AJ$991,4,))*$F7</f>
        <v>153419352.25692311</v>
      </c>
      <c r="J7" s="25">
        <f>(VLOOKUP($D7,$C$6:$AJ$991,8,)/VLOOKUP($D7,$C$6:$AJ$991,4,))*$F7</f>
        <v>0</v>
      </c>
      <c r="K7" s="25">
        <f>(VLOOKUP($D7,$C$6:$AJ$991,9,)/VLOOKUP($D7,$C$6:$AJ$991,4,))*$F7</f>
        <v>0</v>
      </c>
      <c r="L7" s="25">
        <f>(VLOOKUP($D7,$C$6:$AJ$991,10,)/VLOOKUP($D7,$C$6:$AJ$991,4,))*$F7</f>
        <v>0</v>
      </c>
      <c r="M7" s="25">
        <f>(VLOOKUP($D7,$C$6:$AJ$991,11,)/VLOOKUP($D7,$C$6:$AJ$991,4,))*$F7</f>
        <v>0</v>
      </c>
      <c r="N7" s="25">
        <f>(VLOOKUP($D7,$C$6:$AJ$991,12,)/VLOOKUP($D7,$C$6:$AJ$991,4,))*$F7</f>
        <v>0</v>
      </c>
      <c r="O7" s="25">
        <f>(VLOOKUP($D7,$C$6:$AJ$991,13,)/VLOOKUP($D7,$C$6:$AJ$991,4,))*$F7</f>
        <v>0</v>
      </c>
      <c r="P7" s="25">
        <f>(VLOOKUP($D7,$C$6:$AJ$991,14,)/VLOOKUP($D7,$C$6:$AJ$991,4,))*$F7</f>
        <v>0</v>
      </c>
      <c r="Q7" s="25">
        <f>(VLOOKUP($D7,$C$6:$AJ$991,15,)/VLOOKUP($D7,$C$6:$AJ$991,4,))*$F7</f>
        <v>0</v>
      </c>
      <c r="R7" s="25">
        <f>(VLOOKUP($D7,$C$6:$AJ$991,16,)/VLOOKUP($D7,$C$6:$AJ$991,4,))*$F7</f>
        <v>0</v>
      </c>
      <c r="S7" s="25">
        <f>(VLOOKUP($D7,$C$6:$AJ$991,17,)/VLOOKUP($D7,$C$6:$AJ$991,4,))*$F7</f>
        <v>0</v>
      </c>
      <c r="T7" s="25">
        <f>(VLOOKUP($D7,$C$6:$AJ$991,18,)/VLOOKUP($D7,$C$6:$AJ$991,4,))*$F7</f>
        <v>0</v>
      </c>
      <c r="U7" s="25">
        <f>(VLOOKUP($D7,$C$6:$AJ$991,19,)/VLOOKUP($D7,$C$6:$AJ$991,4,))*$F7</f>
        <v>0</v>
      </c>
      <c r="V7" s="25">
        <f>(VLOOKUP($D7,$C$6:$AJ$991,20,)/VLOOKUP($D7,$C$6:$AJ$991,4,))*$F7</f>
        <v>0</v>
      </c>
      <c r="W7" s="25">
        <f>SUM(G7:V7)</f>
        <v>153419352.25692311</v>
      </c>
      <c r="X7" s="120" t="str">
        <f>IF(ABS(W7-F7)&lt;1,"ok","err")</f>
        <v>ok</v>
      </c>
      <c r="Y7" s="121"/>
      <c r="Z7" s="121"/>
      <c r="AA7" s="121"/>
      <c r="AB7" s="121"/>
      <c r="AC7" s="121"/>
      <c r="AD7" s="121"/>
      <c r="AE7" s="25"/>
      <c r="AF7" s="120"/>
    </row>
    <row r="8" spans="1:32" x14ac:dyDescent="0.2">
      <c r="A8" s="26">
        <v>358</v>
      </c>
      <c r="B8" s="119" t="s">
        <v>706</v>
      </c>
      <c r="C8" s="114" t="s">
        <v>24</v>
      </c>
      <c r="D8" s="114" t="s">
        <v>25</v>
      </c>
      <c r="F8" s="30">
        <v>0</v>
      </c>
      <c r="G8" s="25">
        <f>(VLOOKUP($D8,$C$6:$AJ$991,5,)/VLOOKUP($D8,$C$6:$AJ$991,4,))*$F8</f>
        <v>0</v>
      </c>
      <c r="H8" s="25">
        <f>(VLOOKUP($D8,$C$6:$AJ$991,6,)/VLOOKUP($D8,$C$6:$AJ$991,4,))*$F8</f>
        <v>0</v>
      </c>
      <c r="I8" s="25">
        <f>(VLOOKUP($D8,$C$6:$AJ$991,7,)/VLOOKUP($D8,$C$6:$AJ$991,4,))*$F8</f>
        <v>0</v>
      </c>
      <c r="J8" s="25">
        <f>(VLOOKUP($D8,$C$6:$AJ$991,8,)/VLOOKUP($D8,$C$6:$AJ$991,4,))*$F8</f>
        <v>0</v>
      </c>
      <c r="K8" s="25">
        <f>(VLOOKUP($D8,$C$6:$AJ$991,9,)/VLOOKUP($D8,$C$6:$AJ$991,4,))*$F8</f>
        <v>0</v>
      </c>
      <c r="L8" s="25">
        <f>(VLOOKUP($D8,$C$6:$AJ$991,10,)/VLOOKUP($D8,$C$6:$AJ$991,4,))*$F8</f>
        <v>0</v>
      </c>
      <c r="M8" s="25">
        <f>(VLOOKUP($D8,$C$6:$AJ$991,11,)/VLOOKUP($D8,$C$6:$AJ$991,4,))*$F8</f>
        <v>0</v>
      </c>
      <c r="N8" s="25">
        <f>(VLOOKUP($D8,$C$6:$AJ$991,12,)/VLOOKUP($D8,$C$6:$AJ$991,4,))*$F8</f>
        <v>0</v>
      </c>
      <c r="O8" s="25">
        <f>(VLOOKUP($D8,$C$6:$AJ$991,13,)/VLOOKUP($D8,$C$6:$AJ$991,4,))*$F8</f>
        <v>0</v>
      </c>
      <c r="P8" s="25">
        <f>(VLOOKUP($D8,$C$6:$AJ$991,14,)/VLOOKUP($D8,$C$6:$AJ$991,4,))*$F8</f>
        <v>0</v>
      </c>
      <c r="Q8" s="25">
        <f>(VLOOKUP($D8,$C$6:$AJ$991,15,)/VLOOKUP($D8,$C$6:$AJ$991,4,))*$F8</f>
        <v>0</v>
      </c>
      <c r="R8" s="25">
        <f>(VLOOKUP($D8,$C$6:$AJ$991,16,)/VLOOKUP($D8,$C$6:$AJ$991,4,))*$F8</f>
        <v>0</v>
      </c>
      <c r="S8" s="25">
        <f>(VLOOKUP($D8,$C$6:$AJ$991,17,)/VLOOKUP($D8,$C$6:$AJ$991,4,))*$F8</f>
        <v>0</v>
      </c>
      <c r="T8" s="25">
        <f>(VLOOKUP($D8,$C$6:$AJ$991,18,)/VLOOKUP($D8,$C$6:$AJ$991,4,))*$F8</f>
        <v>0</v>
      </c>
      <c r="U8" s="25">
        <f>(VLOOKUP($D8,$C$6:$AJ$991,19,)/VLOOKUP($D8,$C$6:$AJ$991,4,))*$F8</f>
        <v>0</v>
      </c>
      <c r="V8" s="25">
        <f>(VLOOKUP($D8,$C$6:$AJ$991,20,)/VLOOKUP($D8,$C$6:$AJ$991,4,))*$F8</f>
        <v>0</v>
      </c>
      <c r="W8" s="25">
        <f>SUM(G8:V8)</f>
        <v>0</v>
      </c>
      <c r="X8" s="120" t="str">
        <f>IF(ABS(W8-F8)&lt;1,"ok","err")</f>
        <v>ok</v>
      </c>
      <c r="Y8" s="121"/>
      <c r="Z8" s="121"/>
      <c r="AA8" s="121"/>
      <c r="AB8" s="121"/>
      <c r="AC8" s="121"/>
      <c r="AD8" s="121"/>
      <c r="AE8" s="25"/>
      <c r="AF8" s="120"/>
    </row>
    <row r="9" spans="1:32" x14ac:dyDescent="0.2">
      <c r="A9" s="26"/>
      <c r="B9" s="11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120"/>
    </row>
    <row r="10" spans="1:32" x14ac:dyDescent="0.2">
      <c r="A10" s="26" t="s">
        <v>182</v>
      </c>
      <c r="B10" s="119"/>
      <c r="C10" s="114" t="s">
        <v>198</v>
      </c>
      <c r="F10" s="30">
        <f t="shared" ref="F10:V10" si="0">SUM(F7:F9)</f>
        <v>153419352.25692311</v>
      </c>
      <c r="G10" s="30">
        <f t="shared" si="0"/>
        <v>0</v>
      </c>
      <c r="H10" s="30">
        <f t="shared" si="0"/>
        <v>0</v>
      </c>
      <c r="I10" s="30">
        <f t="shared" si="0"/>
        <v>153419352.25692311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0">
        <f>SUM(Q7:Q9)</f>
        <v>0</v>
      </c>
      <c r="R10" s="30">
        <f>SUM(R7:R9)</f>
        <v>0</v>
      </c>
      <c r="S10" s="30">
        <f t="shared" si="0"/>
        <v>0</v>
      </c>
      <c r="T10" s="30">
        <f t="shared" si="0"/>
        <v>0</v>
      </c>
      <c r="U10" s="30">
        <f t="shared" si="0"/>
        <v>0</v>
      </c>
      <c r="V10" s="30">
        <f t="shared" si="0"/>
        <v>0</v>
      </c>
      <c r="W10" s="25">
        <f>SUM(G10:V10)</f>
        <v>153419352.25692311</v>
      </c>
      <c r="X10" s="120" t="str">
        <f>IF(ABS(W10-F10)&lt;1,"ok","err")</f>
        <v>ok</v>
      </c>
    </row>
    <row r="11" spans="1:32" x14ac:dyDescent="0.2">
      <c r="A11" s="114"/>
    </row>
    <row r="12" spans="1:32" x14ac:dyDescent="0.2">
      <c r="A12" s="13" t="s">
        <v>386</v>
      </c>
    </row>
    <row r="13" spans="1:32" x14ac:dyDescent="0.2">
      <c r="A13" s="26" t="s">
        <v>863</v>
      </c>
      <c r="B13" s="23" t="s">
        <v>4</v>
      </c>
      <c r="C13" s="114" t="s">
        <v>181</v>
      </c>
      <c r="D13" s="114" t="s">
        <v>28</v>
      </c>
      <c r="F13" s="30">
        <v>53150755.924615376</v>
      </c>
      <c r="G13" s="25">
        <f>(VLOOKUP($D13,$C$6:$AJ$991,5,)/VLOOKUP($D13,$C$6:$AJ$991,4,))*$F13</f>
        <v>0</v>
      </c>
      <c r="H13" s="25">
        <f>(VLOOKUP($D13,$C$6:$AJ$991,6,)/VLOOKUP($D13,$C$6:$AJ$991,4,))*$F13</f>
        <v>0</v>
      </c>
      <c r="I13" s="25">
        <f>(VLOOKUP($D13,$C$6:$AJ$991,7,)/VLOOKUP($D13,$C$6:$AJ$991,4,))*$F13</f>
        <v>0</v>
      </c>
      <c r="J13" s="25">
        <f>(VLOOKUP($D13,$C$6:$AJ$991,8,)/VLOOKUP($D13,$C$6:$AJ$991,4,))*$F13</f>
        <v>0</v>
      </c>
      <c r="K13" s="25">
        <f>(VLOOKUP($D13,$C$6:$AJ$991,9,)/VLOOKUP($D13,$C$6:$AJ$991,4,))*$F13</f>
        <v>9263651.1686686873</v>
      </c>
      <c r="L13" s="25">
        <f>(VLOOKUP($D13,$C$6:$AJ$991,10,)/VLOOKUP($D13,$C$6:$AJ$991,4,))*$F13</f>
        <v>43887104.755946696</v>
      </c>
      <c r="M13" s="25">
        <f>(VLOOKUP($D13,$C$6:$AJ$991,11,)/VLOOKUP($D13,$C$6:$AJ$991,4,))*$F13</f>
        <v>0</v>
      </c>
      <c r="N13" s="25">
        <f>(VLOOKUP($D13,$C$6:$AJ$991,12,)/VLOOKUP($D13,$C$6:$AJ$991,4,))*$F13</f>
        <v>0</v>
      </c>
      <c r="O13" s="25">
        <f>(VLOOKUP($D13,$C$6:$AJ$991,13,)/VLOOKUP($D13,$C$6:$AJ$991,4,))*$F13</f>
        <v>0</v>
      </c>
      <c r="P13" s="25">
        <f>(VLOOKUP($D13,$C$6:$AJ$991,14,)/VLOOKUP($D13,$C$6:$AJ$991,4,))*$F13</f>
        <v>0</v>
      </c>
      <c r="Q13" s="25">
        <f>(VLOOKUP($D13,$C$6:$AJ$991,15,)/VLOOKUP($D13,$C$6:$AJ$991,4,))*$F13</f>
        <v>0</v>
      </c>
      <c r="R13" s="25">
        <f>(VLOOKUP($D13,$C$6:$AJ$991,16,)/VLOOKUP($D13,$C$6:$AJ$991,4,))*$F13</f>
        <v>0</v>
      </c>
      <c r="S13" s="25">
        <f>(VLOOKUP($D13,$C$6:$AJ$991,17,)/VLOOKUP($D13,$C$6:$AJ$991,4,))*$F13</f>
        <v>0</v>
      </c>
      <c r="T13" s="25">
        <f>(VLOOKUP($D13,$C$6:$AJ$991,18,)/VLOOKUP($D13,$C$6:$AJ$991,4,))*$F13</f>
        <v>0</v>
      </c>
      <c r="U13" s="25">
        <f>(VLOOKUP($D13,$C$6:$AJ$991,19,)/VLOOKUP($D13,$C$6:$AJ$991,4,))*$F13</f>
        <v>0</v>
      </c>
      <c r="V13" s="25">
        <f>(VLOOKUP($D13,$C$6:$AJ$991,20,)/VLOOKUP($D13,$C$6:$AJ$991,4,))*$F13</f>
        <v>0</v>
      </c>
      <c r="W13" s="25">
        <f>SUM(G13:V13)</f>
        <v>53150755.924615383</v>
      </c>
      <c r="X13" s="120" t="str">
        <f>IF(ABS(W13-F13)&lt;1,"ok","err")</f>
        <v>ok</v>
      </c>
    </row>
    <row r="14" spans="1:32" x14ac:dyDescent="0.2">
      <c r="A14" s="114"/>
    </row>
    <row r="15" spans="1:32" x14ac:dyDescent="0.2">
      <c r="A15" s="13" t="s">
        <v>64</v>
      </c>
    </row>
    <row r="16" spans="1:32" x14ac:dyDescent="0.2">
      <c r="A16" s="182">
        <v>374</v>
      </c>
      <c r="B16" s="23" t="s">
        <v>26</v>
      </c>
      <c r="C16" s="114" t="s">
        <v>27</v>
      </c>
      <c r="D16" s="114" t="s">
        <v>38</v>
      </c>
      <c r="F16" s="30">
        <v>134496.91000000003</v>
      </c>
      <c r="G16" s="25">
        <f t="shared" ref="G16:G29" si="1">(VLOOKUP($D16,$C$6:$AJ$991,5,)/VLOOKUP($D16,$C$6:$AJ$991,4,))*$F16</f>
        <v>0</v>
      </c>
      <c r="H16" s="25">
        <f t="shared" ref="H16:H29" si="2">(VLOOKUP($D16,$C$6:$AJ$991,6,)/VLOOKUP($D16,$C$6:$AJ$991,4,))*$F16</f>
        <v>0</v>
      </c>
      <c r="I16" s="25">
        <f t="shared" ref="I16:I29" si="3">(VLOOKUP($D16,$C$6:$AJ$991,7,)/VLOOKUP($D16,$C$6:$AJ$991,4,))*$F16</f>
        <v>0</v>
      </c>
      <c r="J16" s="25">
        <f t="shared" ref="J16:J29" si="4">(VLOOKUP($D16,$C$6:$AJ$991,8,)/VLOOKUP($D16,$C$6:$AJ$991,4,))*$F16</f>
        <v>0</v>
      </c>
      <c r="K16" s="25">
        <f t="shared" ref="K16:K29" si="5">(VLOOKUP($D16,$C$6:$AJ$991,9,)/VLOOKUP($D16,$C$6:$AJ$991,4,))*$F16</f>
        <v>0</v>
      </c>
      <c r="L16" s="25">
        <f t="shared" ref="L16:L29" si="6">(VLOOKUP($D16,$C$6:$AJ$991,10,)/VLOOKUP($D16,$C$6:$AJ$991,4,))*$F16</f>
        <v>0</v>
      </c>
      <c r="M16" s="25">
        <f t="shared" ref="M16:M29" si="7">(VLOOKUP($D16,$C$6:$AJ$991,11,)/VLOOKUP($D16,$C$6:$AJ$991,4,))*$F16</f>
        <v>0</v>
      </c>
      <c r="N16" s="25">
        <f t="shared" ref="N16:N29" si="8">(VLOOKUP($D16,$C$6:$AJ$991,12,)/VLOOKUP($D16,$C$6:$AJ$991,4,))*$F16</f>
        <v>134496.91000000003</v>
      </c>
      <c r="O16" s="25">
        <f t="shared" ref="O16:O29" si="9">(VLOOKUP($D16,$C$6:$AJ$991,13,)/VLOOKUP($D16,$C$6:$AJ$991,4,))*$F16</f>
        <v>0</v>
      </c>
      <c r="P16" s="25">
        <f t="shared" ref="P16:P29" si="10">(VLOOKUP($D16,$C$6:$AJ$991,14,)/VLOOKUP($D16,$C$6:$AJ$991,4,))*$F16</f>
        <v>0</v>
      </c>
      <c r="Q16" s="25">
        <f t="shared" ref="Q16:Q29" si="11">(VLOOKUP($D16,$C$6:$AJ$991,15,)/VLOOKUP($D16,$C$6:$AJ$991,4,))*$F16</f>
        <v>0</v>
      </c>
      <c r="R16" s="25">
        <f t="shared" ref="R16:R29" si="12">(VLOOKUP($D16,$C$6:$AJ$991,16,)/VLOOKUP($D16,$C$6:$AJ$991,4,))*$F16</f>
        <v>0</v>
      </c>
      <c r="S16" s="25">
        <f t="shared" ref="S16:S29" si="13">(VLOOKUP($D16,$C$6:$AJ$991,17,)/VLOOKUP($D16,$C$6:$AJ$991,4,))*$F16</f>
        <v>0</v>
      </c>
      <c r="T16" s="25">
        <f t="shared" ref="T16:T29" si="14">(VLOOKUP($D16,$C$6:$AJ$991,18,)/VLOOKUP($D16,$C$6:$AJ$991,4,))*$F16</f>
        <v>0</v>
      </c>
      <c r="U16" s="25">
        <f t="shared" ref="U16:U29" si="15">(VLOOKUP($D16,$C$6:$AJ$991,19,)/VLOOKUP($D16,$C$6:$AJ$991,4,))*$F16</f>
        <v>0</v>
      </c>
      <c r="V16" s="25">
        <f t="shared" ref="V16:V29" si="16">(VLOOKUP($D16,$C$6:$AJ$991,20,)/VLOOKUP($D16,$C$6:$AJ$991,4,))*$F16</f>
        <v>0</v>
      </c>
      <c r="W16" s="25">
        <f t="shared" ref="W16:W26" si="17">SUM(G16:V16)</f>
        <v>134496.91000000003</v>
      </c>
      <c r="X16" s="120" t="str">
        <f t="shared" ref="X16:X26" si="18">IF(ABS(W16-F16)&lt;1,"ok","err")</f>
        <v>ok</v>
      </c>
    </row>
    <row r="17" spans="1:31" x14ac:dyDescent="0.2">
      <c r="A17" s="182">
        <v>375</v>
      </c>
      <c r="B17" s="23" t="s">
        <v>29</v>
      </c>
      <c r="C17" s="114" t="s">
        <v>30</v>
      </c>
      <c r="D17" s="114" t="s">
        <v>38</v>
      </c>
      <c r="F17" s="25">
        <v>1155812.43</v>
      </c>
      <c r="G17" s="25">
        <f t="shared" si="1"/>
        <v>0</v>
      </c>
      <c r="H17" s="25">
        <f t="shared" si="2"/>
        <v>0</v>
      </c>
      <c r="I17" s="25">
        <f t="shared" si="3"/>
        <v>0</v>
      </c>
      <c r="J17" s="25">
        <f t="shared" si="4"/>
        <v>0</v>
      </c>
      <c r="K17" s="25">
        <f t="shared" si="5"/>
        <v>0</v>
      </c>
      <c r="L17" s="25">
        <f t="shared" si="6"/>
        <v>0</v>
      </c>
      <c r="M17" s="25">
        <f t="shared" si="7"/>
        <v>0</v>
      </c>
      <c r="N17" s="25">
        <f t="shared" si="8"/>
        <v>1155812.43</v>
      </c>
      <c r="O17" s="25">
        <f t="shared" si="9"/>
        <v>0</v>
      </c>
      <c r="P17" s="25">
        <f t="shared" si="10"/>
        <v>0</v>
      </c>
      <c r="Q17" s="25">
        <f t="shared" si="11"/>
        <v>0</v>
      </c>
      <c r="R17" s="25">
        <f t="shared" si="12"/>
        <v>0</v>
      </c>
      <c r="S17" s="25">
        <f t="shared" si="13"/>
        <v>0</v>
      </c>
      <c r="T17" s="25">
        <f t="shared" si="14"/>
        <v>0</v>
      </c>
      <c r="U17" s="25">
        <f t="shared" si="15"/>
        <v>0</v>
      </c>
      <c r="V17" s="25">
        <f t="shared" si="16"/>
        <v>0</v>
      </c>
      <c r="W17" s="25">
        <f t="shared" si="17"/>
        <v>1155812.43</v>
      </c>
      <c r="X17" s="120" t="str">
        <f t="shared" si="18"/>
        <v>ok</v>
      </c>
    </row>
    <row r="18" spans="1:31" x14ac:dyDescent="0.2">
      <c r="A18" s="182">
        <v>376</v>
      </c>
      <c r="B18" s="23" t="s">
        <v>31</v>
      </c>
      <c r="C18" s="114" t="s">
        <v>32</v>
      </c>
      <c r="D18" s="114" t="s">
        <v>40</v>
      </c>
      <c r="F18" s="196">
        <v>427054945.48230714</v>
      </c>
      <c r="G18" s="25">
        <f t="shared" si="1"/>
        <v>0</v>
      </c>
      <c r="H18" s="25">
        <f t="shared" si="2"/>
        <v>0</v>
      </c>
      <c r="I18" s="25">
        <f t="shared" si="3"/>
        <v>0</v>
      </c>
      <c r="J18" s="25">
        <f t="shared" si="4"/>
        <v>0</v>
      </c>
      <c r="K18" s="25">
        <f t="shared" si="5"/>
        <v>0</v>
      </c>
      <c r="L18" s="25">
        <f t="shared" si="6"/>
        <v>0</v>
      </c>
      <c r="M18" s="25">
        <f t="shared" si="7"/>
        <v>0</v>
      </c>
      <c r="N18" s="25">
        <f t="shared" si="8"/>
        <v>0</v>
      </c>
      <c r="O18" s="25">
        <f t="shared" si="9"/>
        <v>384817184.43460464</v>
      </c>
      <c r="P18" s="25">
        <f t="shared" si="10"/>
        <v>0</v>
      </c>
      <c r="Q18" s="25">
        <f t="shared" si="11"/>
        <v>42237761.047702469</v>
      </c>
      <c r="R18" s="25">
        <f t="shared" si="12"/>
        <v>0</v>
      </c>
      <c r="S18" s="25">
        <f t="shared" si="13"/>
        <v>0</v>
      </c>
      <c r="T18" s="25">
        <f t="shared" si="14"/>
        <v>0</v>
      </c>
      <c r="U18" s="25">
        <f t="shared" si="15"/>
        <v>0</v>
      </c>
      <c r="V18" s="25">
        <f t="shared" si="16"/>
        <v>0</v>
      </c>
      <c r="W18" s="25">
        <f>SUM(G18:V18)</f>
        <v>427054945.48230714</v>
      </c>
      <c r="X18" s="120" t="str">
        <f t="shared" si="18"/>
        <v>ok</v>
      </c>
      <c r="Y18" s="122">
        <f>SUM(Q18:R18)/$W18</f>
        <v>9.8904746320172002E-2</v>
      </c>
      <c r="Z18" s="122">
        <f>SUM(O18:P18)/$W18</f>
        <v>0.9010952536798279</v>
      </c>
      <c r="AA18" s="122">
        <f>O18/$W18</f>
        <v>0.9010952536798279</v>
      </c>
      <c r="AB18" s="122">
        <f>P18/$W18</f>
        <v>0</v>
      </c>
      <c r="AC18" s="122">
        <f>Q18/$W18</f>
        <v>9.8904746320172002E-2</v>
      </c>
      <c r="AD18" s="122">
        <f>R18/$W18</f>
        <v>0</v>
      </c>
      <c r="AE18" s="122">
        <f>S18/$W18</f>
        <v>0</v>
      </c>
    </row>
    <row r="19" spans="1:31" x14ac:dyDescent="0.2">
      <c r="A19" s="182">
        <v>378</v>
      </c>
      <c r="B19" s="23" t="s">
        <v>33</v>
      </c>
      <c r="C19" s="114" t="s">
        <v>34</v>
      </c>
      <c r="D19" s="114" t="s">
        <v>38</v>
      </c>
      <c r="F19" s="25">
        <v>23937001.877692293</v>
      </c>
      <c r="G19" s="25">
        <f t="shared" si="1"/>
        <v>0</v>
      </c>
      <c r="H19" s="25">
        <f t="shared" si="2"/>
        <v>0</v>
      </c>
      <c r="I19" s="25">
        <f t="shared" si="3"/>
        <v>0</v>
      </c>
      <c r="J19" s="25">
        <f t="shared" si="4"/>
        <v>0</v>
      </c>
      <c r="K19" s="25">
        <f t="shared" si="5"/>
        <v>0</v>
      </c>
      <c r="L19" s="25">
        <f t="shared" si="6"/>
        <v>0</v>
      </c>
      <c r="M19" s="25">
        <f t="shared" si="7"/>
        <v>0</v>
      </c>
      <c r="N19" s="25">
        <f t="shared" si="8"/>
        <v>23937001.877692293</v>
      </c>
      <c r="O19" s="25">
        <f t="shared" si="9"/>
        <v>0</v>
      </c>
      <c r="P19" s="25">
        <f t="shared" si="10"/>
        <v>0</v>
      </c>
      <c r="Q19" s="25">
        <f t="shared" si="11"/>
        <v>0</v>
      </c>
      <c r="R19" s="25">
        <f t="shared" si="12"/>
        <v>0</v>
      </c>
      <c r="S19" s="25">
        <f t="shared" si="13"/>
        <v>0</v>
      </c>
      <c r="T19" s="25">
        <f t="shared" si="14"/>
        <v>0</v>
      </c>
      <c r="U19" s="25">
        <f t="shared" si="15"/>
        <v>0</v>
      </c>
      <c r="V19" s="25">
        <f t="shared" si="16"/>
        <v>0</v>
      </c>
      <c r="W19" s="25">
        <f t="shared" si="17"/>
        <v>23937001.877692293</v>
      </c>
      <c r="X19" s="120" t="str">
        <f t="shared" si="18"/>
        <v>ok</v>
      </c>
    </row>
    <row r="20" spans="1:31" x14ac:dyDescent="0.2">
      <c r="A20" s="182">
        <v>379</v>
      </c>
      <c r="B20" s="23" t="s">
        <v>36</v>
      </c>
      <c r="C20" s="114" t="s">
        <v>37</v>
      </c>
      <c r="D20" s="114" t="s">
        <v>38</v>
      </c>
      <c r="F20" s="25">
        <v>12352332.667692207</v>
      </c>
      <c r="G20" s="25">
        <f t="shared" si="1"/>
        <v>0</v>
      </c>
      <c r="H20" s="25">
        <f t="shared" si="2"/>
        <v>0</v>
      </c>
      <c r="I20" s="25">
        <f t="shared" si="3"/>
        <v>0</v>
      </c>
      <c r="J20" s="25">
        <f t="shared" si="4"/>
        <v>0</v>
      </c>
      <c r="K20" s="25">
        <f t="shared" si="5"/>
        <v>0</v>
      </c>
      <c r="L20" s="25">
        <f t="shared" si="6"/>
        <v>0</v>
      </c>
      <c r="M20" s="25">
        <f t="shared" si="7"/>
        <v>0</v>
      </c>
      <c r="N20" s="25">
        <f t="shared" si="8"/>
        <v>12352332.667692207</v>
      </c>
      <c r="O20" s="25">
        <f t="shared" si="9"/>
        <v>0</v>
      </c>
      <c r="P20" s="25">
        <f t="shared" si="10"/>
        <v>0</v>
      </c>
      <c r="Q20" s="25">
        <f t="shared" si="11"/>
        <v>0</v>
      </c>
      <c r="R20" s="25">
        <f t="shared" si="12"/>
        <v>0</v>
      </c>
      <c r="S20" s="25">
        <f t="shared" si="13"/>
        <v>0</v>
      </c>
      <c r="T20" s="25">
        <f t="shared" si="14"/>
        <v>0</v>
      </c>
      <c r="U20" s="25">
        <f t="shared" si="15"/>
        <v>0</v>
      </c>
      <c r="V20" s="25">
        <f t="shared" si="16"/>
        <v>0</v>
      </c>
      <c r="W20" s="25">
        <f t="shared" si="17"/>
        <v>12352332.667692207</v>
      </c>
      <c r="X20" s="120" t="str">
        <f t="shared" si="18"/>
        <v>ok</v>
      </c>
    </row>
    <row r="21" spans="1:31" x14ac:dyDescent="0.2">
      <c r="A21" s="182">
        <v>380</v>
      </c>
      <c r="B21" s="23" t="s">
        <v>10</v>
      </c>
      <c r="C21" s="114" t="s">
        <v>39</v>
      </c>
      <c r="D21" s="114" t="s">
        <v>42</v>
      </c>
      <c r="F21" s="196">
        <v>374861863.52692294</v>
      </c>
      <c r="G21" s="25">
        <f t="shared" si="1"/>
        <v>0</v>
      </c>
      <c r="H21" s="25">
        <f t="shared" si="2"/>
        <v>0</v>
      </c>
      <c r="I21" s="25">
        <f t="shared" si="3"/>
        <v>0</v>
      </c>
      <c r="J21" s="25">
        <f t="shared" si="4"/>
        <v>0</v>
      </c>
      <c r="K21" s="25">
        <f t="shared" si="5"/>
        <v>0</v>
      </c>
      <c r="L21" s="25">
        <f t="shared" si="6"/>
        <v>0</v>
      </c>
      <c r="M21" s="25">
        <f t="shared" si="7"/>
        <v>0</v>
      </c>
      <c r="N21" s="25">
        <f t="shared" si="8"/>
        <v>0</v>
      </c>
      <c r="O21" s="25">
        <f t="shared" si="9"/>
        <v>0</v>
      </c>
      <c r="P21" s="25">
        <f t="shared" si="10"/>
        <v>0</v>
      </c>
      <c r="Q21" s="25">
        <f t="shared" si="11"/>
        <v>0</v>
      </c>
      <c r="R21" s="25">
        <f t="shared" si="12"/>
        <v>0</v>
      </c>
      <c r="S21" s="25">
        <f t="shared" si="13"/>
        <v>374861863.52692294</v>
      </c>
      <c r="T21" s="25">
        <f t="shared" si="14"/>
        <v>0</v>
      </c>
      <c r="U21" s="25">
        <f t="shared" si="15"/>
        <v>0</v>
      </c>
      <c r="V21" s="25">
        <f t="shared" si="16"/>
        <v>0</v>
      </c>
      <c r="W21" s="25">
        <f t="shared" si="17"/>
        <v>374861863.52692294</v>
      </c>
      <c r="X21" s="120" t="str">
        <f t="shared" si="18"/>
        <v>ok</v>
      </c>
    </row>
    <row r="22" spans="1:31" x14ac:dyDescent="0.2">
      <c r="A22" s="182">
        <v>381</v>
      </c>
      <c r="B22" s="23" t="s">
        <v>11</v>
      </c>
      <c r="C22" s="114" t="s">
        <v>41</v>
      </c>
      <c r="D22" s="114" t="s">
        <v>45</v>
      </c>
      <c r="F22" s="25">
        <v>57176384.306923017</v>
      </c>
      <c r="G22" s="25">
        <f t="shared" si="1"/>
        <v>0</v>
      </c>
      <c r="H22" s="25">
        <f t="shared" si="2"/>
        <v>0</v>
      </c>
      <c r="I22" s="25">
        <f t="shared" si="3"/>
        <v>0</v>
      </c>
      <c r="J22" s="25">
        <f t="shared" si="4"/>
        <v>0</v>
      </c>
      <c r="K22" s="25">
        <f t="shared" si="5"/>
        <v>0</v>
      </c>
      <c r="L22" s="25">
        <f t="shared" si="6"/>
        <v>0</v>
      </c>
      <c r="M22" s="25">
        <f t="shared" si="7"/>
        <v>0</v>
      </c>
      <c r="N22" s="25">
        <f t="shared" si="8"/>
        <v>0</v>
      </c>
      <c r="O22" s="25">
        <f t="shared" si="9"/>
        <v>0</v>
      </c>
      <c r="P22" s="25">
        <f t="shared" si="10"/>
        <v>0</v>
      </c>
      <c r="Q22" s="25">
        <f t="shared" si="11"/>
        <v>0</v>
      </c>
      <c r="R22" s="25">
        <f t="shared" si="12"/>
        <v>0</v>
      </c>
      <c r="S22" s="25">
        <f t="shared" si="13"/>
        <v>0</v>
      </c>
      <c r="T22" s="25">
        <f t="shared" si="14"/>
        <v>57176384.306923017</v>
      </c>
      <c r="U22" s="25">
        <f t="shared" si="15"/>
        <v>0</v>
      </c>
      <c r="V22" s="25">
        <f t="shared" si="16"/>
        <v>0</v>
      </c>
      <c r="W22" s="25">
        <f t="shared" si="17"/>
        <v>57176384.306923017</v>
      </c>
      <c r="X22" s="120" t="str">
        <f t="shared" si="18"/>
        <v>ok</v>
      </c>
    </row>
    <row r="23" spans="1:31" x14ac:dyDescent="0.2">
      <c r="A23" s="182">
        <v>382</v>
      </c>
      <c r="B23" s="23" t="s">
        <v>43</v>
      </c>
      <c r="C23" s="114" t="s">
        <v>44</v>
      </c>
      <c r="D23" s="114" t="s">
        <v>45</v>
      </c>
      <c r="F23" s="25"/>
      <c r="G23" s="25">
        <f t="shared" si="1"/>
        <v>0</v>
      </c>
      <c r="H23" s="25">
        <f t="shared" si="2"/>
        <v>0</v>
      </c>
      <c r="I23" s="25">
        <f t="shared" si="3"/>
        <v>0</v>
      </c>
      <c r="J23" s="25">
        <f t="shared" si="4"/>
        <v>0</v>
      </c>
      <c r="K23" s="25">
        <f t="shared" si="5"/>
        <v>0</v>
      </c>
      <c r="L23" s="25">
        <f t="shared" si="6"/>
        <v>0</v>
      </c>
      <c r="M23" s="25">
        <f t="shared" si="7"/>
        <v>0</v>
      </c>
      <c r="N23" s="25">
        <f t="shared" si="8"/>
        <v>0</v>
      </c>
      <c r="O23" s="25">
        <f t="shared" si="9"/>
        <v>0</v>
      </c>
      <c r="P23" s="25">
        <f t="shared" si="10"/>
        <v>0</v>
      </c>
      <c r="Q23" s="25">
        <f t="shared" si="11"/>
        <v>0</v>
      </c>
      <c r="R23" s="25">
        <f t="shared" si="12"/>
        <v>0</v>
      </c>
      <c r="S23" s="25">
        <f t="shared" si="13"/>
        <v>0</v>
      </c>
      <c r="T23" s="25">
        <f t="shared" si="14"/>
        <v>0</v>
      </c>
      <c r="U23" s="25">
        <f t="shared" si="15"/>
        <v>0</v>
      </c>
      <c r="V23" s="25">
        <f t="shared" si="16"/>
        <v>0</v>
      </c>
      <c r="W23" s="25">
        <f t="shared" si="17"/>
        <v>0</v>
      </c>
      <c r="X23" s="120" t="str">
        <f t="shared" si="18"/>
        <v>ok</v>
      </c>
    </row>
    <row r="24" spans="1:31" x14ac:dyDescent="0.2">
      <c r="A24" s="182">
        <v>383</v>
      </c>
      <c r="B24" s="23" t="s">
        <v>46</v>
      </c>
      <c r="C24" s="114" t="s">
        <v>47</v>
      </c>
      <c r="D24" s="114" t="s">
        <v>45</v>
      </c>
      <c r="F24" s="25">
        <v>25550379.959999993</v>
      </c>
      <c r="G24" s="25">
        <f t="shared" si="1"/>
        <v>0</v>
      </c>
      <c r="H24" s="25">
        <f t="shared" si="2"/>
        <v>0</v>
      </c>
      <c r="I24" s="25">
        <f t="shared" si="3"/>
        <v>0</v>
      </c>
      <c r="J24" s="25">
        <f t="shared" si="4"/>
        <v>0</v>
      </c>
      <c r="K24" s="25">
        <f t="shared" si="5"/>
        <v>0</v>
      </c>
      <c r="L24" s="25">
        <f t="shared" si="6"/>
        <v>0</v>
      </c>
      <c r="M24" s="25">
        <f t="shared" si="7"/>
        <v>0</v>
      </c>
      <c r="N24" s="25">
        <f t="shared" si="8"/>
        <v>0</v>
      </c>
      <c r="O24" s="25">
        <f t="shared" si="9"/>
        <v>0</v>
      </c>
      <c r="P24" s="25">
        <f t="shared" si="10"/>
        <v>0</v>
      </c>
      <c r="Q24" s="25">
        <f t="shared" si="11"/>
        <v>0</v>
      </c>
      <c r="R24" s="25">
        <f t="shared" si="12"/>
        <v>0</v>
      </c>
      <c r="S24" s="25">
        <f t="shared" si="13"/>
        <v>0</v>
      </c>
      <c r="T24" s="25">
        <f t="shared" si="14"/>
        <v>25550379.959999993</v>
      </c>
      <c r="U24" s="25">
        <f t="shared" si="15"/>
        <v>0</v>
      </c>
      <c r="V24" s="25">
        <f t="shared" si="16"/>
        <v>0</v>
      </c>
      <c r="W24" s="25">
        <f t="shared" si="17"/>
        <v>25550379.959999993</v>
      </c>
      <c r="X24" s="120" t="str">
        <f t="shared" si="18"/>
        <v>ok</v>
      </c>
    </row>
    <row r="25" spans="1:31" x14ac:dyDescent="0.2">
      <c r="A25" s="182">
        <v>384</v>
      </c>
      <c r="B25" s="23" t="s">
        <v>49</v>
      </c>
      <c r="C25" s="114" t="s">
        <v>50</v>
      </c>
      <c r="D25" s="114" t="s">
        <v>45</v>
      </c>
      <c r="F25" s="25"/>
      <c r="G25" s="25">
        <f t="shared" si="1"/>
        <v>0</v>
      </c>
      <c r="H25" s="25">
        <f t="shared" si="2"/>
        <v>0</v>
      </c>
      <c r="I25" s="25">
        <f t="shared" si="3"/>
        <v>0</v>
      </c>
      <c r="J25" s="25">
        <f t="shared" si="4"/>
        <v>0</v>
      </c>
      <c r="K25" s="25">
        <f t="shared" si="5"/>
        <v>0</v>
      </c>
      <c r="L25" s="25">
        <f t="shared" si="6"/>
        <v>0</v>
      </c>
      <c r="M25" s="25">
        <f t="shared" si="7"/>
        <v>0</v>
      </c>
      <c r="N25" s="25">
        <f t="shared" si="8"/>
        <v>0</v>
      </c>
      <c r="O25" s="25">
        <f t="shared" si="9"/>
        <v>0</v>
      </c>
      <c r="P25" s="25">
        <f t="shared" si="10"/>
        <v>0</v>
      </c>
      <c r="Q25" s="25">
        <f t="shared" si="11"/>
        <v>0</v>
      </c>
      <c r="R25" s="25">
        <f t="shared" si="12"/>
        <v>0</v>
      </c>
      <c r="S25" s="25">
        <f t="shared" si="13"/>
        <v>0</v>
      </c>
      <c r="T25" s="25">
        <f t="shared" si="14"/>
        <v>0</v>
      </c>
      <c r="U25" s="25">
        <f t="shared" si="15"/>
        <v>0</v>
      </c>
      <c r="V25" s="25">
        <f t="shared" si="16"/>
        <v>0</v>
      </c>
      <c r="W25" s="25">
        <f t="shared" si="17"/>
        <v>0</v>
      </c>
      <c r="X25" s="120" t="str">
        <f t="shared" si="18"/>
        <v>ok</v>
      </c>
    </row>
    <row r="26" spans="1:31" x14ac:dyDescent="0.2">
      <c r="A26" s="182">
        <v>385</v>
      </c>
      <c r="B26" s="23" t="s">
        <v>52</v>
      </c>
      <c r="C26" s="114" t="s">
        <v>53</v>
      </c>
      <c r="D26" s="114" t="s">
        <v>45</v>
      </c>
      <c r="F26" s="25">
        <v>2260538.1176923015</v>
      </c>
      <c r="G26" s="25">
        <f t="shared" si="1"/>
        <v>0</v>
      </c>
      <c r="H26" s="25">
        <f t="shared" si="2"/>
        <v>0</v>
      </c>
      <c r="I26" s="25">
        <f t="shared" si="3"/>
        <v>0</v>
      </c>
      <c r="J26" s="25">
        <f t="shared" si="4"/>
        <v>0</v>
      </c>
      <c r="K26" s="25">
        <f t="shared" si="5"/>
        <v>0</v>
      </c>
      <c r="L26" s="25">
        <f t="shared" si="6"/>
        <v>0</v>
      </c>
      <c r="M26" s="25">
        <f t="shared" si="7"/>
        <v>0</v>
      </c>
      <c r="N26" s="25">
        <f t="shared" si="8"/>
        <v>0</v>
      </c>
      <c r="O26" s="25">
        <f t="shared" si="9"/>
        <v>0</v>
      </c>
      <c r="P26" s="25">
        <f t="shared" si="10"/>
        <v>0</v>
      </c>
      <c r="Q26" s="25">
        <f t="shared" si="11"/>
        <v>0</v>
      </c>
      <c r="R26" s="25">
        <f t="shared" si="12"/>
        <v>0</v>
      </c>
      <c r="S26" s="25">
        <f t="shared" si="13"/>
        <v>0</v>
      </c>
      <c r="T26" s="25">
        <f t="shared" si="14"/>
        <v>2260538.1176923015</v>
      </c>
      <c r="U26" s="25">
        <f t="shared" si="15"/>
        <v>0</v>
      </c>
      <c r="V26" s="25">
        <f t="shared" si="16"/>
        <v>0</v>
      </c>
      <c r="W26" s="25">
        <f t="shared" si="17"/>
        <v>2260538.1176923015</v>
      </c>
      <c r="X26" s="120" t="str">
        <f t="shared" si="18"/>
        <v>ok</v>
      </c>
    </row>
    <row r="27" spans="1:31" x14ac:dyDescent="0.2">
      <c r="A27" s="183">
        <v>387</v>
      </c>
      <c r="B27" s="23" t="s">
        <v>54</v>
      </c>
      <c r="C27" s="114" t="s">
        <v>55</v>
      </c>
      <c r="D27" s="114" t="s">
        <v>45</v>
      </c>
      <c r="F27" s="25">
        <v>1928759.3623076924</v>
      </c>
      <c r="G27" s="25">
        <f t="shared" si="1"/>
        <v>0</v>
      </c>
      <c r="H27" s="25">
        <f t="shared" si="2"/>
        <v>0</v>
      </c>
      <c r="I27" s="25">
        <f t="shared" si="3"/>
        <v>0</v>
      </c>
      <c r="J27" s="25">
        <f t="shared" si="4"/>
        <v>0</v>
      </c>
      <c r="K27" s="25">
        <f t="shared" si="5"/>
        <v>0</v>
      </c>
      <c r="L27" s="25">
        <f t="shared" si="6"/>
        <v>0</v>
      </c>
      <c r="M27" s="25">
        <f t="shared" si="7"/>
        <v>0</v>
      </c>
      <c r="N27" s="25">
        <f t="shared" si="8"/>
        <v>0</v>
      </c>
      <c r="O27" s="25">
        <f t="shared" si="9"/>
        <v>0</v>
      </c>
      <c r="P27" s="25">
        <f t="shared" si="10"/>
        <v>0</v>
      </c>
      <c r="Q27" s="25">
        <f t="shared" si="11"/>
        <v>0</v>
      </c>
      <c r="R27" s="25">
        <f t="shared" si="12"/>
        <v>0</v>
      </c>
      <c r="S27" s="25">
        <f t="shared" si="13"/>
        <v>0</v>
      </c>
      <c r="T27" s="25">
        <f t="shared" si="14"/>
        <v>1928759.3623076924</v>
      </c>
      <c r="U27" s="25">
        <f t="shared" si="15"/>
        <v>0</v>
      </c>
      <c r="V27" s="25">
        <f t="shared" si="16"/>
        <v>0</v>
      </c>
      <c r="W27" s="25">
        <f>SUM(G27:V27)</f>
        <v>1928759.3623076924</v>
      </c>
      <c r="X27" s="120" t="str">
        <f>IF(ABS(W27-F27)&lt;1,"ok","err")</f>
        <v>ok</v>
      </c>
    </row>
    <row r="28" spans="1:31" x14ac:dyDescent="0.2">
      <c r="A28" s="183">
        <v>388</v>
      </c>
      <c r="B28" s="23" t="s">
        <v>712</v>
      </c>
      <c r="C28" s="114" t="s">
        <v>710</v>
      </c>
      <c r="D28" s="114" t="str">
        <f>+D20</f>
        <v>F008</v>
      </c>
      <c r="F28" s="25">
        <v>0</v>
      </c>
      <c r="G28" s="25">
        <f t="shared" si="1"/>
        <v>0</v>
      </c>
      <c r="H28" s="25">
        <f t="shared" si="2"/>
        <v>0</v>
      </c>
      <c r="I28" s="25">
        <f t="shared" si="3"/>
        <v>0</v>
      </c>
      <c r="J28" s="25">
        <f t="shared" si="4"/>
        <v>0</v>
      </c>
      <c r="K28" s="25">
        <f t="shared" si="5"/>
        <v>0</v>
      </c>
      <c r="L28" s="25">
        <f t="shared" si="6"/>
        <v>0</v>
      </c>
      <c r="M28" s="25">
        <f t="shared" si="7"/>
        <v>0</v>
      </c>
      <c r="N28" s="25">
        <f t="shared" si="8"/>
        <v>0</v>
      </c>
      <c r="O28" s="25">
        <f t="shared" si="9"/>
        <v>0</v>
      </c>
      <c r="P28" s="25">
        <f t="shared" si="10"/>
        <v>0</v>
      </c>
      <c r="Q28" s="25">
        <f t="shared" si="11"/>
        <v>0</v>
      </c>
      <c r="R28" s="25">
        <f t="shared" si="12"/>
        <v>0</v>
      </c>
      <c r="S28" s="25">
        <f t="shared" si="13"/>
        <v>0</v>
      </c>
      <c r="T28" s="25">
        <f t="shared" si="14"/>
        <v>0</v>
      </c>
      <c r="U28" s="25">
        <f t="shared" si="15"/>
        <v>0</v>
      </c>
      <c r="V28" s="25">
        <f t="shared" si="16"/>
        <v>0</v>
      </c>
      <c r="W28" s="25">
        <f>SUM(G28:V28)</f>
        <v>0</v>
      </c>
      <c r="X28" s="120" t="str">
        <f>IF(ABS(W28-F28)&lt;1,"ok","err")</f>
        <v>ok</v>
      </c>
    </row>
    <row r="29" spans="1:31" x14ac:dyDescent="0.2">
      <c r="A29" s="183">
        <v>388</v>
      </c>
      <c r="B29" s="23" t="s">
        <v>711</v>
      </c>
      <c r="C29" s="114" t="s">
        <v>710</v>
      </c>
      <c r="D29" s="114" t="str">
        <f>+D18</f>
        <v>F009</v>
      </c>
      <c r="F29" s="25">
        <v>0</v>
      </c>
      <c r="G29" s="25">
        <f t="shared" si="1"/>
        <v>0</v>
      </c>
      <c r="H29" s="25">
        <f t="shared" si="2"/>
        <v>0</v>
      </c>
      <c r="I29" s="25">
        <f t="shared" si="3"/>
        <v>0</v>
      </c>
      <c r="J29" s="25">
        <f t="shared" si="4"/>
        <v>0</v>
      </c>
      <c r="K29" s="25">
        <f t="shared" si="5"/>
        <v>0</v>
      </c>
      <c r="L29" s="25">
        <f t="shared" si="6"/>
        <v>0</v>
      </c>
      <c r="M29" s="25">
        <f t="shared" si="7"/>
        <v>0</v>
      </c>
      <c r="N29" s="25">
        <f t="shared" si="8"/>
        <v>0</v>
      </c>
      <c r="O29" s="25">
        <f t="shared" si="9"/>
        <v>0</v>
      </c>
      <c r="P29" s="25">
        <f t="shared" si="10"/>
        <v>0</v>
      </c>
      <c r="Q29" s="25">
        <f t="shared" si="11"/>
        <v>0</v>
      </c>
      <c r="R29" s="25">
        <f t="shared" si="12"/>
        <v>0</v>
      </c>
      <c r="S29" s="25">
        <f t="shared" si="13"/>
        <v>0</v>
      </c>
      <c r="T29" s="25">
        <f t="shared" si="14"/>
        <v>0</v>
      </c>
      <c r="U29" s="25">
        <f t="shared" si="15"/>
        <v>0</v>
      </c>
      <c r="V29" s="25">
        <f t="shared" si="16"/>
        <v>0</v>
      </c>
      <c r="W29" s="25">
        <f>SUM(G29:V29)</f>
        <v>0</v>
      </c>
      <c r="X29" s="120" t="str">
        <f>IF(ABS(W29-F29)&lt;1,"ok","err")</f>
        <v>ok</v>
      </c>
    </row>
    <row r="30" spans="1:31" x14ac:dyDescent="0.2">
      <c r="A30" s="18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120"/>
    </row>
    <row r="31" spans="1:31" x14ac:dyDescent="0.2">
      <c r="A31" s="184" t="s">
        <v>199</v>
      </c>
      <c r="C31" s="114" t="s">
        <v>200</v>
      </c>
      <c r="F31" s="30">
        <f>SUM(F16:F29)</f>
        <v>926412514.64153755</v>
      </c>
      <c r="G31" s="30">
        <f t="shared" ref="G31:V31" si="19">SUM(G16:G29)</f>
        <v>0</v>
      </c>
      <c r="H31" s="30">
        <f t="shared" si="19"/>
        <v>0</v>
      </c>
      <c r="I31" s="30">
        <f t="shared" si="19"/>
        <v>0</v>
      </c>
      <c r="J31" s="30">
        <f t="shared" si="19"/>
        <v>0</v>
      </c>
      <c r="K31" s="30">
        <f t="shared" si="19"/>
        <v>0</v>
      </c>
      <c r="L31" s="30">
        <f t="shared" si="19"/>
        <v>0</v>
      </c>
      <c r="M31" s="30">
        <f t="shared" si="19"/>
        <v>0</v>
      </c>
      <c r="N31" s="30">
        <f t="shared" si="19"/>
        <v>37579643.8853845</v>
      </c>
      <c r="O31" s="30">
        <f t="shared" si="19"/>
        <v>384817184.43460464</v>
      </c>
      <c r="P31" s="30">
        <f t="shared" si="19"/>
        <v>0</v>
      </c>
      <c r="Q31" s="30">
        <f t="shared" si="19"/>
        <v>42237761.047702469</v>
      </c>
      <c r="R31" s="30">
        <f t="shared" si="19"/>
        <v>0</v>
      </c>
      <c r="S31" s="30">
        <f t="shared" si="19"/>
        <v>374861863.52692294</v>
      </c>
      <c r="T31" s="30">
        <f t="shared" si="19"/>
        <v>86916061.746923015</v>
      </c>
      <c r="U31" s="30">
        <f t="shared" si="19"/>
        <v>0</v>
      </c>
      <c r="V31" s="30">
        <f t="shared" si="19"/>
        <v>0</v>
      </c>
      <c r="W31" s="25">
        <f>SUM(G31:V31)</f>
        <v>926412514.64153755</v>
      </c>
      <c r="X31" s="120" t="str">
        <f>IF(ABS(W31-F31)&lt;1,"ok","err")</f>
        <v>ok</v>
      </c>
      <c r="Y31" s="123"/>
    </row>
    <row r="32" spans="1:31" x14ac:dyDescent="0.2">
      <c r="A32" s="18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120"/>
    </row>
    <row r="33" spans="1:24" x14ac:dyDescent="0.2">
      <c r="A33" s="184" t="s">
        <v>452</v>
      </c>
      <c r="C33" s="114" t="s">
        <v>56</v>
      </c>
      <c r="F33" s="30">
        <f>+F10+F13+F31</f>
        <v>1132982622.823076</v>
      </c>
      <c r="G33" s="25">
        <f t="shared" ref="G33:W33" si="20">+G10+G13+G31</f>
        <v>0</v>
      </c>
      <c r="H33" s="25">
        <f t="shared" si="20"/>
        <v>0</v>
      </c>
      <c r="I33" s="25">
        <f t="shared" si="20"/>
        <v>153419352.25692311</v>
      </c>
      <c r="J33" s="25">
        <f t="shared" si="20"/>
        <v>0</v>
      </c>
      <c r="K33" s="25">
        <f t="shared" si="20"/>
        <v>9263651.1686686873</v>
      </c>
      <c r="L33" s="25">
        <f t="shared" si="20"/>
        <v>43887104.755946696</v>
      </c>
      <c r="M33" s="25">
        <f t="shared" si="20"/>
        <v>0</v>
      </c>
      <c r="N33" s="25">
        <f t="shared" si="20"/>
        <v>37579643.8853845</v>
      </c>
      <c r="O33" s="25">
        <f t="shared" si="20"/>
        <v>384817184.43460464</v>
      </c>
      <c r="P33" s="25">
        <f t="shared" si="20"/>
        <v>0</v>
      </c>
      <c r="Q33" s="25">
        <f t="shared" si="20"/>
        <v>42237761.047702469</v>
      </c>
      <c r="R33" s="25">
        <f t="shared" si="20"/>
        <v>0</v>
      </c>
      <c r="S33" s="25">
        <f t="shared" si="20"/>
        <v>374861863.52692294</v>
      </c>
      <c r="T33" s="25">
        <f t="shared" si="20"/>
        <v>86916061.746923015</v>
      </c>
      <c r="U33" s="25">
        <f t="shared" si="20"/>
        <v>0</v>
      </c>
      <c r="V33" s="25">
        <f t="shared" si="20"/>
        <v>0</v>
      </c>
      <c r="W33" s="25">
        <f t="shared" si="20"/>
        <v>1132982622.823076</v>
      </c>
      <c r="X33" s="120" t="str">
        <f>IF(ABS(W33-F33)&lt;1,"ok","err")</f>
        <v>ok</v>
      </c>
    </row>
    <row r="34" spans="1:24" x14ac:dyDescent="0.2">
      <c r="A34" s="184"/>
      <c r="F34" s="30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120"/>
    </row>
    <row r="35" spans="1:24" x14ac:dyDescent="0.2">
      <c r="A35" s="18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20"/>
    </row>
    <row r="36" spans="1:24" x14ac:dyDescent="0.2">
      <c r="A36" s="26">
        <v>117</v>
      </c>
      <c r="B36" s="23" t="s">
        <v>587</v>
      </c>
      <c r="C36" s="114" t="s">
        <v>392</v>
      </c>
      <c r="D36" s="114" t="s">
        <v>25</v>
      </c>
      <c r="F36" s="30">
        <v>11788844.999999998</v>
      </c>
      <c r="G36" s="25">
        <f>(VLOOKUP($D36,$C$6:$AJ$991,5,)/VLOOKUP($D36,$C$6:$AJ$991,4,))*$F36</f>
        <v>0</v>
      </c>
      <c r="H36" s="25">
        <f>(VLOOKUP($D36,$C$6:$AJ$991,6,)/VLOOKUP($D36,$C$6:$AJ$991,4,))*$F36</f>
        <v>0</v>
      </c>
      <c r="I36" s="25">
        <f>(VLOOKUP($D36,$C$6:$AJ$991,7,)/VLOOKUP($D36,$C$6:$AJ$991,4,))*$F36</f>
        <v>11788844.999999998</v>
      </c>
      <c r="J36" s="25">
        <f>(VLOOKUP($D36,$C$6:$AJ$991,8,)/VLOOKUP($D36,$C$6:$AJ$991,4,))*$F36</f>
        <v>0</v>
      </c>
      <c r="K36" s="25">
        <f>(VLOOKUP($D36,$C$6:$AJ$991,9,)/VLOOKUP($D36,$C$6:$AJ$991,4,))*$F36</f>
        <v>0</v>
      </c>
      <c r="L36" s="25">
        <f>(VLOOKUP($D36,$C$6:$AJ$991,10,)/VLOOKUP($D36,$C$6:$AJ$991,4,))*$F36</f>
        <v>0</v>
      </c>
      <c r="M36" s="25">
        <f>(VLOOKUP($D36,$C$6:$AJ$991,11,)/VLOOKUP($D36,$C$6:$AJ$991,4,))*$F36</f>
        <v>0</v>
      </c>
      <c r="N36" s="25">
        <f>(VLOOKUP($D36,$C$6:$AJ$991,12,)/VLOOKUP($D36,$C$6:$AJ$991,4,))*$F36</f>
        <v>0</v>
      </c>
      <c r="O36" s="25">
        <f>(VLOOKUP($D36,$C$6:$AJ$991,13,)/VLOOKUP($D36,$C$6:$AJ$991,4,))*$F36</f>
        <v>0</v>
      </c>
      <c r="P36" s="25">
        <f>(VLOOKUP($D36,$C$6:$AJ$991,14,)/VLOOKUP($D36,$C$6:$AJ$991,4,))*$F36</f>
        <v>0</v>
      </c>
      <c r="Q36" s="25">
        <f>(VLOOKUP($D36,$C$6:$AJ$991,15,)/VLOOKUP($D36,$C$6:$AJ$991,4,))*$F36</f>
        <v>0</v>
      </c>
      <c r="R36" s="25">
        <f>(VLOOKUP($D36,$C$6:$AJ$991,16,)/VLOOKUP($D36,$C$6:$AJ$991,4,))*$F36</f>
        <v>0</v>
      </c>
      <c r="S36" s="25">
        <f>(VLOOKUP($D36,$C$6:$AJ$991,17,)/VLOOKUP($D36,$C$6:$AJ$991,4,))*$F36</f>
        <v>0</v>
      </c>
      <c r="T36" s="25">
        <f>(VLOOKUP($D36,$C$6:$AJ$991,18,)/VLOOKUP($D36,$C$6:$AJ$991,4,))*$F36</f>
        <v>0</v>
      </c>
      <c r="U36" s="25">
        <f>(VLOOKUP($D36,$C$6:$AJ$991,19,)/VLOOKUP($D36,$C$6:$AJ$991,4,))*$F36</f>
        <v>0</v>
      </c>
      <c r="V36" s="25">
        <f>(VLOOKUP($D36,$C$6:$AJ$991,20,)/VLOOKUP($D36,$C$6:$AJ$991,4,))*$F36</f>
        <v>0</v>
      </c>
      <c r="W36" s="25">
        <f>SUM(G36:V36)</f>
        <v>11788844.999999998</v>
      </c>
      <c r="X36" s="120" t="str">
        <f>IF(ABS(W36-F36)&lt;1,"ok","err")</f>
        <v>ok</v>
      </c>
    </row>
    <row r="37" spans="1:24" x14ac:dyDescent="0.2">
      <c r="A37" s="184" t="s">
        <v>57</v>
      </c>
      <c r="B37" s="23" t="s">
        <v>58</v>
      </c>
      <c r="C37" s="114" t="s">
        <v>59</v>
      </c>
      <c r="D37" s="114" t="s">
        <v>56</v>
      </c>
      <c r="F37" s="25">
        <v>387.49</v>
      </c>
      <c r="G37" s="25">
        <f>(VLOOKUP($D37,$C$6:$AJ$991,5,)/VLOOKUP($D37,$C$6:$AJ$991,4,))*$F37</f>
        <v>0</v>
      </c>
      <c r="H37" s="25">
        <f>(VLOOKUP($D37,$C$6:$AJ$991,6,)/VLOOKUP($D37,$C$6:$AJ$991,4,))*$F37</f>
        <v>0</v>
      </c>
      <c r="I37" s="25">
        <f>(VLOOKUP($D37,$C$6:$AJ$991,7,)/VLOOKUP($D37,$C$6:$AJ$991,4,))*$F37</f>
        <v>52.470764871844359</v>
      </c>
      <c r="J37" s="25">
        <f>(VLOOKUP($D37,$C$6:$AJ$991,8,)/VLOOKUP($D37,$C$6:$AJ$991,4,))*$F37</f>
        <v>0</v>
      </c>
      <c r="K37" s="25">
        <f>(VLOOKUP($D37,$C$6:$AJ$991,9,)/VLOOKUP($D37,$C$6:$AJ$991,4,))*$F37</f>
        <v>3.1682499969886733</v>
      </c>
      <c r="L37" s="25">
        <f>(VLOOKUP($D37,$C$6:$AJ$991,10,)/VLOOKUP($D37,$C$6:$AJ$991,4,))*$F37</f>
        <v>15.009774977402611</v>
      </c>
      <c r="M37" s="25">
        <f>(VLOOKUP($D37,$C$6:$AJ$991,11,)/VLOOKUP($D37,$C$6:$AJ$991,4,))*$F37</f>
        <v>0</v>
      </c>
      <c r="N37" s="25">
        <f>(VLOOKUP($D37,$C$6:$AJ$991,12,)/VLOOKUP($D37,$C$6:$AJ$991,4,))*$F37</f>
        <v>12.852568005733279</v>
      </c>
      <c r="O37" s="25">
        <f>(VLOOKUP($D37,$C$6:$AJ$991,13,)/VLOOKUP($D37,$C$6:$AJ$991,4,))*$F37</f>
        <v>131.61085421153018</v>
      </c>
      <c r="P37" s="25">
        <f>(VLOOKUP($D37,$C$6:$AJ$991,14,)/VLOOKUP($D37,$C$6:$AJ$991,4,))*$F37</f>
        <v>0</v>
      </c>
      <c r="Q37" s="25">
        <f>(VLOOKUP($D37,$C$6:$AJ$991,15,)/VLOOKUP($D37,$C$6:$AJ$991,4,))*$F37</f>
        <v>14.445684954631487</v>
      </c>
      <c r="R37" s="25">
        <f>(VLOOKUP($D37,$C$6:$AJ$991,16,)/VLOOKUP($D37,$C$6:$AJ$991,4,))*$F37</f>
        <v>0</v>
      </c>
      <c r="S37" s="25">
        <f>(VLOOKUP($D37,$C$6:$AJ$991,17,)/VLOOKUP($D37,$C$6:$AJ$991,4,))*$F37</f>
        <v>128.20604709374268</v>
      </c>
      <c r="T37" s="25">
        <f>(VLOOKUP($D37,$C$6:$AJ$991,18,)/VLOOKUP($D37,$C$6:$AJ$991,4,))*$F37</f>
        <v>29.726055888126762</v>
      </c>
      <c r="U37" s="25">
        <f>(VLOOKUP($D37,$C$6:$AJ$991,19,)/VLOOKUP($D37,$C$6:$AJ$991,4,))*$F37</f>
        <v>0</v>
      </c>
      <c r="V37" s="25">
        <f>(VLOOKUP($D37,$C$6:$AJ$991,20,)/VLOOKUP($D37,$C$6:$AJ$991,4,))*$F37</f>
        <v>0</v>
      </c>
      <c r="W37" s="25">
        <f>SUM(G37:V37)</f>
        <v>387.49</v>
      </c>
      <c r="X37" s="120" t="str">
        <f>IF(ABS(W37-F37)&lt;1,"ok","err")</f>
        <v>ok</v>
      </c>
    </row>
    <row r="38" spans="1:24" x14ac:dyDescent="0.2">
      <c r="A38" s="23" t="s">
        <v>824</v>
      </c>
      <c r="B38" s="23" t="s">
        <v>61</v>
      </c>
      <c r="C38" s="114" t="s">
        <v>62</v>
      </c>
      <c r="D38" s="114" t="s">
        <v>56</v>
      </c>
      <c r="F38" s="25">
        <v>13168757.011538452</v>
      </c>
      <c r="G38" s="25">
        <f>(VLOOKUP($D38,$C$6:$AJ$991,5,)/VLOOKUP($D38,$C$6:$AJ$991,4,))*$F38</f>
        <v>0</v>
      </c>
      <c r="H38" s="25">
        <f>(VLOOKUP($D38,$C$6:$AJ$991,6,)/VLOOKUP($D38,$C$6:$AJ$991,4,))*$F38</f>
        <v>0</v>
      </c>
      <c r="I38" s="25">
        <f>(VLOOKUP($D38,$C$6:$AJ$991,7,)/VLOOKUP($D38,$C$6:$AJ$991,4,))*$F38</f>
        <v>1783206.6706415284</v>
      </c>
      <c r="J38" s="25">
        <f>(VLOOKUP($D38,$C$6:$AJ$991,8,)/VLOOKUP($D38,$C$6:$AJ$991,4,))*$F38</f>
        <v>0</v>
      </c>
      <c r="K38" s="25">
        <f>(VLOOKUP($D38,$C$6:$AJ$991,9,)/VLOOKUP($D38,$C$6:$AJ$991,4,))*$F38</f>
        <v>107672.23505677893</v>
      </c>
      <c r="L38" s="25">
        <f>(VLOOKUP($D38,$C$6:$AJ$991,10,)/VLOOKUP($D38,$C$6:$AJ$991,4,))*$F38</f>
        <v>510103.69164439087</v>
      </c>
      <c r="M38" s="25">
        <f>(VLOOKUP($D38,$C$6:$AJ$991,11,)/VLOOKUP($D38,$C$6:$AJ$991,4,))*$F38</f>
        <v>0</v>
      </c>
      <c r="N38" s="25">
        <f>(VLOOKUP($D38,$C$6:$AJ$991,12,)/VLOOKUP($D38,$C$6:$AJ$991,4,))*$F38</f>
        <v>436791.51730825281</v>
      </c>
      <c r="O38" s="25">
        <f>(VLOOKUP($D38,$C$6:$AJ$991,13,)/VLOOKUP($D38,$C$6:$AJ$991,4,))*$F38</f>
        <v>4472764.0950544607</v>
      </c>
      <c r="P38" s="25">
        <f>(VLOOKUP($D38,$C$6:$AJ$991,14,)/VLOOKUP($D38,$C$6:$AJ$991,4,))*$F38</f>
        <v>0</v>
      </c>
      <c r="Q38" s="25">
        <f>(VLOOKUP($D38,$C$6:$AJ$991,15,)/VLOOKUP($D38,$C$6:$AJ$991,4,))*$F38</f>
        <v>490933.22416779504</v>
      </c>
      <c r="R38" s="25">
        <f>(VLOOKUP($D38,$C$6:$AJ$991,16,)/VLOOKUP($D38,$C$6:$AJ$991,4,))*$F38</f>
        <v>0</v>
      </c>
      <c r="S38" s="25">
        <f>(VLOOKUP($D38,$C$6:$AJ$991,17,)/VLOOKUP($D38,$C$6:$AJ$991,4,))*$F38</f>
        <v>4357052.5215808218</v>
      </c>
      <c r="T38" s="25">
        <f>(VLOOKUP($D38,$C$6:$AJ$991,18,)/VLOOKUP($D38,$C$6:$AJ$991,4,))*$F38</f>
        <v>1010233.0560844232</v>
      </c>
      <c r="U38" s="25">
        <f>(VLOOKUP($D38,$C$6:$AJ$991,19,)/VLOOKUP($D38,$C$6:$AJ$991,4,))*$F38</f>
        <v>0</v>
      </c>
      <c r="V38" s="25">
        <f>(VLOOKUP($D38,$C$6:$AJ$991,20,)/VLOOKUP($D38,$C$6:$AJ$991,4,))*$F38</f>
        <v>0</v>
      </c>
      <c r="W38" s="25">
        <f>SUM(G38:V38)</f>
        <v>13168757.011538452</v>
      </c>
      <c r="X38" s="120" t="str">
        <f>IF(ABS(W38-F38)&lt;1,"ok","err")</f>
        <v>ok</v>
      </c>
    </row>
    <row r="39" spans="1:24" x14ac:dyDescent="0.2">
      <c r="A39" s="184" t="s">
        <v>60</v>
      </c>
      <c r="B39" s="23" t="s">
        <v>588</v>
      </c>
      <c r="C39" s="114" t="s">
        <v>398</v>
      </c>
      <c r="D39" s="114" t="s">
        <v>56</v>
      </c>
      <c r="F39" s="25">
        <v>86673008.358923018</v>
      </c>
      <c r="G39" s="25">
        <f>(VLOOKUP($D39,$C$6:$AJ$991,5,)/VLOOKUP($D39,$C$6:$AJ$991,4,))*$F39</f>
        <v>0</v>
      </c>
      <c r="H39" s="25">
        <f>(VLOOKUP($D39,$C$6:$AJ$991,6,)/VLOOKUP($D39,$C$6:$AJ$991,4,))*$F39</f>
        <v>0</v>
      </c>
      <c r="I39" s="25">
        <f>(VLOOKUP($D39,$C$6:$AJ$991,7,)/VLOOKUP($D39,$C$6:$AJ$991,4,))*$F39</f>
        <v>11736558.472054634</v>
      </c>
      <c r="J39" s="25">
        <f>(VLOOKUP($D39,$C$6:$AJ$991,8,)/VLOOKUP($D39,$C$6:$AJ$991,4,))*$F39</f>
        <v>0</v>
      </c>
      <c r="K39" s="25">
        <f>(VLOOKUP($D39,$C$6:$AJ$991,9,)/VLOOKUP($D39,$C$6:$AJ$991,4,))*$F39</f>
        <v>708667.98748911486</v>
      </c>
      <c r="L39" s="25">
        <f>(VLOOKUP($D39,$C$6:$AJ$991,10,)/VLOOKUP($D39,$C$6:$AJ$991,4,))*$F39</f>
        <v>3357357.2274948256</v>
      </c>
      <c r="M39" s="25">
        <f>(VLOOKUP($D39,$C$6:$AJ$991,11,)/VLOOKUP($D39,$C$6:$AJ$991,4,))*$F39</f>
        <v>0</v>
      </c>
      <c r="N39" s="25">
        <f>(VLOOKUP($D39,$C$6:$AJ$991,12,)/VLOOKUP($D39,$C$6:$AJ$991,4,))*$F39</f>
        <v>2874837.3743697824</v>
      </c>
      <c r="O39" s="25">
        <f>(VLOOKUP($D39,$C$6:$AJ$991,13,)/VLOOKUP($D39,$C$6:$AJ$991,4,))*$F39</f>
        <v>29438459.488505393</v>
      </c>
      <c r="P39" s="25">
        <f>(VLOOKUP($D39,$C$6:$AJ$991,14,)/VLOOKUP($D39,$C$6:$AJ$991,4,))*$F39</f>
        <v>0</v>
      </c>
      <c r="Q39" s="25">
        <f>(VLOOKUP($D39,$C$6:$AJ$991,15,)/VLOOKUP($D39,$C$6:$AJ$991,4,))*$F39</f>
        <v>3231182.6700641136</v>
      </c>
      <c r="R39" s="25">
        <f>(VLOOKUP($D39,$C$6:$AJ$991,16,)/VLOOKUP($D39,$C$6:$AJ$991,4,))*$F39</f>
        <v>0</v>
      </c>
      <c r="S39" s="25">
        <f>(VLOOKUP($D39,$C$6:$AJ$991,17,)/VLOOKUP($D39,$C$6:$AJ$991,4,))*$F39</f>
        <v>28676878.86505571</v>
      </c>
      <c r="T39" s="25">
        <f>(VLOOKUP($D39,$C$6:$AJ$991,18,)/VLOOKUP($D39,$C$6:$AJ$991,4,))*$F39</f>
        <v>6649066.2738894513</v>
      </c>
      <c r="U39" s="25">
        <f>(VLOOKUP($D39,$C$6:$AJ$991,19,)/VLOOKUP($D39,$C$6:$AJ$991,4,))*$F39</f>
        <v>0</v>
      </c>
      <c r="V39" s="25">
        <f>(VLOOKUP($D39,$C$6:$AJ$991,20,)/VLOOKUP($D39,$C$6:$AJ$991,4,))*$F39</f>
        <v>0</v>
      </c>
      <c r="W39" s="25">
        <f>SUM(G39:V39)</f>
        <v>86673008.358923018</v>
      </c>
      <c r="X39" s="120" t="str">
        <f>IF(ABS(W39-F39)&lt;1,"ok","err")</f>
        <v>ok</v>
      </c>
    </row>
    <row r="40" spans="1:24" x14ac:dyDescent="0.2">
      <c r="A40" s="18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120"/>
    </row>
    <row r="41" spans="1:24" x14ac:dyDescent="0.2">
      <c r="A41" s="184" t="s">
        <v>67</v>
      </c>
      <c r="C41" s="114" t="s">
        <v>63</v>
      </c>
      <c r="F41" s="30">
        <f>F33+F36+F37+F38+F39</f>
        <v>1244613620.6835375</v>
      </c>
      <c r="G41" s="25">
        <f t="shared" ref="G41:V41" si="21">G33+G36+G37+G38+G39</f>
        <v>0</v>
      </c>
      <c r="H41" s="25">
        <f t="shared" si="21"/>
        <v>0</v>
      </c>
      <c r="I41" s="25">
        <f t="shared" si="21"/>
        <v>178728014.87038416</v>
      </c>
      <c r="J41" s="25">
        <f t="shared" si="21"/>
        <v>0</v>
      </c>
      <c r="K41" s="25">
        <f t="shared" si="21"/>
        <v>10079994.559464578</v>
      </c>
      <c r="L41" s="25">
        <f t="shared" si="21"/>
        <v>47754580.684860893</v>
      </c>
      <c r="M41" s="25">
        <f t="shared" si="21"/>
        <v>0</v>
      </c>
      <c r="N41" s="25">
        <f t="shared" si="21"/>
        <v>40891285.629630543</v>
      </c>
      <c r="O41" s="25">
        <f t="shared" si="21"/>
        <v>418728539.62901866</v>
      </c>
      <c r="P41" s="25">
        <f t="shared" si="21"/>
        <v>0</v>
      </c>
      <c r="Q41" s="25">
        <f t="shared" si="21"/>
        <v>45959891.387619331</v>
      </c>
      <c r="R41" s="25">
        <f t="shared" si="21"/>
        <v>0</v>
      </c>
      <c r="S41" s="25">
        <f t="shared" si="21"/>
        <v>407895923.11960661</v>
      </c>
      <c r="T41" s="25">
        <f t="shared" si="21"/>
        <v>94575390.802952781</v>
      </c>
      <c r="U41" s="25">
        <f t="shared" si="21"/>
        <v>0</v>
      </c>
      <c r="V41" s="25">
        <f t="shared" si="21"/>
        <v>0</v>
      </c>
      <c r="W41" s="25">
        <f>SUM(G41:V41)</f>
        <v>1244613620.6835375</v>
      </c>
      <c r="X41" s="120" t="str">
        <f>IF(ABS(W41-F41)&lt;1,"ok","err")</f>
        <v>ok</v>
      </c>
    </row>
    <row r="42" spans="1:24" x14ac:dyDescent="0.2">
      <c r="A42" s="184"/>
      <c r="F42" s="30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20"/>
    </row>
    <row r="43" spans="1:24" x14ac:dyDescent="0.2">
      <c r="A43" s="184"/>
      <c r="F43" s="30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120"/>
    </row>
    <row r="44" spans="1:24" x14ac:dyDescent="0.2">
      <c r="A44" s="184"/>
      <c r="F44" s="30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120"/>
    </row>
    <row r="45" spans="1:24" x14ac:dyDescent="0.2">
      <c r="A45" s="184"/>
      <c r="F45" s="190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120"/>
    </row>
    <row r="46" spans="1:24" x14ac:dyDescent="0.2">
      <c r="A46" s="184"/>
      <c r="F46" s="30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120"/>
    </row>
    <row r="47" spans="1:24" x14ac:dyDescent="0.2">
      <c r="A47" s="184"/>
      <c r="F47" s="30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20"/>
    </row>
    <row r="48" spans="1:24" x14ac:dyDescent="0.2">
      <c r="A48" s="184"/>
      <c r="F48" s="30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120"/>
    </row>
    <row r="49" spans="1:24" x14ac:dyDescent="0.2">
      <c r="A49" s="184"/>
      <c r="F49" s="30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20"/>
    </row>
    <row r="50" spans="1:24" x14ac:dyDescent="0.2">
      <c r="A50" s="184"/>
      <c r="F50" s="30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120"/>
    </row>
    <row r="51" spans="1:24" x14ac:dyDescent="0.2">
      <c r="A51" s="184"/>
      <c r="F51" s="30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20"/>
    </row>
    <row r="52" spans="1:24" x14ac:dyDescent="0.2">
      <c r="A52" s="186" t="s">
        <v>660</v>
      </c>
      <c r="F52" s="30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20"/>
    </row>
    <row r="53" spans="1:24" x14ac:dyDescent="0.2">
      <c r="A53" s="184"/>
      <c r="B53" s="114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20"/>
    </row>
    <row r="54" spans="1:24" x14ac:dyDescent="0.2">
      <c r="A54" s="185" t="s">
        <v>864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20"/>
    </row>
    <row r="55" spans="1:24" x14ac:dyDescent="0.2">
      <c r="A55" s="184"/>
      <c r="B55" s="23" t="s">
        <v>393</v>
      </c>
      <c r="C55" s="114" t="s">
        <v>68</v>
      </c>
      <c r="D55" s="114" t="s">
        <v>25</v>
      </c>
      <c r="F55" s="30">
        <v>4450249.751538462</v>
      </c>
      <c r="G55" s="25">
        <f t="shared" ref="G55:G60" si="22">(VLOOKUP($D55,$C$6:$AJ$991,5,)/VLOOKUP($D55,$C$6:$AJ$991,4,))*$F55</f>
        <v>0</v>
      </c>
      <c r="H55" s="25">
        <f t="shared" ref="H55:H60" si="23">(VLOOKUP($D55,$C$6:$AJ$991,6,)/VLOOKUP($D55,$C$6:$AJ$991,4,))*$F55</f>
        <v>0</v>
      </c>
      <c r="I55" s="25">
        <f t="shared" ref="I55:I60" si="24">(VLOOKUP($D55,$C$6:$AJ$991,7,)/VLOOKUP($D55,$C$6:$AJ$991,4,))*$F55</f>
        <v>4450249.751538462</v>
      </c>
      <c r="J55" s="25">
        <f t="shared" ref="J55:J60" si="25">(VLOOKUP($D55,$C$6:$AJ$991,8,)/VLOOKUP($D55,$C$6:$AJ$991,4,))*$F55</f>
        <v>0</v>
      </c>
      <c r="K55" s="25">
        <f t="shared" ref="K55:K60" si="26">(VLOOKUP($D55,$C$6:$AJ$991,9,)/VLOOKUP($D55,$C$6:$AJ$991,4,))*$F55</f>
        <v>0</v>
      </c>
      <c r="L55" s="25">
        <f t="shared" ref="L55:L60" si="27">(VLOOKUP($D55,$C$6:$AJ$991,10,)/VLOOKUP($D55,$C$6:$AJ$991,4,))*$F55</f>
        <v>0</v>
      </c>
      <c r="M55" s="25">
        <f t="shared" ref="M55:M60" si="28">(VLOOKUP($D55,$C$6:$AJ$991,11,)/VLOOKUP($D55,$C$6:$AJ$991,4,))*$F55</f>
        <v>0</v>
      </c>
      <c r="N55" s="25">
        <f t="shared" ref="N55:N60" si="29">(VLOOKUP($D55,$C$6:$AJ$991,12,)/VLOOKUP($D55,$C$6:$AJ$991,4,))*$F55</f>
        <v>0</v>
      </c>
      <c r="O55" s="25">
        <f t="shared" ref="O55:O60" si="30">(VLOOKUP($D55,$C$6:$AJ$991,13,)/VLOOKUP($D55,$C$6:$AJ$991,4,))*$F55</f>
        <v>0</v>
      </c>
      <c r="P55" s="25">
        <f t="shared" ref="P55:P60" si="31">(VLOOKUP($D55,$C$6:$AJ$991,14,)/VLOOKUP($D55,$C$6:$AJ$991,4,))*$F55</f>
        <v>0</v>
      </c>
      <c r="Q55" s="25">
        <f t="shared" ref="Q55:Q60" si="32">(VLOOKUP($D55,$C$6:$AJ$991,15,)/VLOOKUP($D55,$C$6:$AJ$991,4,))*$F55</f>
        <v>0</v>
      </c>
      <c r="R55" s="25">
        <f t="shared" ref="R55:R60" si="33">(VLOOKUP($D55,$C$6:$AJ$991,16,)/VLOOKUP($D55,$C$6:$AJ$991,4,))*$F55</f>
        <v>0</v>
      </c>
      <c r="S55" s="25">
        <f t="shared" ref="S55:S60" si="34">(VLOOKUP($D55,$C$6:$AJ$991,17,)/VLOOKUP($D55,$C$6:$AJ$991,4,))*$F55</f>
        <v>0</v>
      </c>
      <c r="T55" s="25">
        <f t="shared" ref="T55:T60" si="35">(VLOOKUP($D55,$C$6:$AJ$991,18,)/VLOOKUP($D55,$C$6:$AJ$991,4,))*$F55</f>
        <v>0</v>
      </c>
      <c r="U55" s="25">
        <f t="shared" ref="U55:U60" si="36">(VLOOKUP($D55,$C$6:$AJ$991,19,)/VLOOKUP($D55,$C$6:$AJ$991,4,))*$F55</f>
        <v>0</v>
      </c>
      <c r="V55" s="25">
        <f t="shared" ref="V55:V60" si="37">(VLOOKUP($D55,$C$6:$AJ$991,20,)/VLOOKUP($D55,$C$6:$AJ$991,4,))*$F55</f>
        <v>0</v>
      </c>
      <c r="W55" s="25">
        <f>SUM(G55:V55)</f>
        <v>4450249.751538462</v>
      </c>
      <c r="X55" s="120" t="str">
        <f>IF(ABS(W55-F55)&lt;1,"ok","err")</f>
        <v>ok</v>
      </c>
    </row>
    <row r="56" spans="1:24" x14ac:dyDescent="0.2">
      <c r="A56" s="184"/>
      <c r="B56" s="23" t="s">
        <v>4</v>
      </c>
      <c r="C56" s="114" t="s">
        <v>69</v>
      </c>
      <c r="D56" s="114" t="s">
        <v>28</v>
      </c>
      <c r="F56" s="25">
        <v>6876704.0792307667</v>
      </c>
      <c r="G56" s="25">
        <f t="shared" si="22"/>
        <v>0</v>
      </c>
      <c r="H56" s="25">
        <f t="shared" si="23"/>
        <v>0</v>
      </c>
      <c r="I56" s="25">
        <f t="shared" si="24"/>
        <v>0</v>
      </c>
      <c r="J56" s="25">
        <f t="shared" si="25"/>
        <v>0</v>
      </c>
      <c r="K56" s="25">
        <f t="shared" si="26"/>
        <v>1198541.5197199909</v>
      </c>
      <c r="L56" s="25">
        <f t="shared" si="27"/>
        <v>5678162.5595107768</v>
      </c>
      <c r="M56" s="25">
        <f t="shared" si="28"/>
        <v>0</v>
      </c>
      <c r="N56" s="25">
        <f t="shared" si="29"/>
        <v>0</v>
      </c>
      <c r="O56" s="25">
        <f t="shared" si="30"/>
        <v>0</v>
      </c>
      <c r="P56" s="25">
        <f t="shared" si="31"/>
        <v>0</v>
      </c>
      <c r="Q56" s="25">
        <f t="shared" si="32"/>
        <v>0</v>
      </c>
      <c r="R56" s="25">
        <f t="shared" si="33"/>
        <v>0</v>
      </c>
      <c r="S56" s="25">
        <f t="shared" si="34"/>
        <v>0</v>
      </c>
      <c r="T56" s="25">
        <f t="shared" si="35"/>
        <v>0</v>
      </c>
      <c r="U56" s="25">
        <f t="shared" si="36"/>
        <v>0</v>
      </c>
      <c r="V56" s="25">
        <f t="shared" si="37"/>
        <v>0</v>
      </c>
      <c r="W56" s="25">
        <f t="shared" ref="W56:W61" si="38">SUM(G56:V56)</f>
        <v>6876704.0792307677</v>
      </c>
      <c r="X56" s="120" t="str">
        <f t="shared" ref="X56:X61" si="39">IF(ABS(W56-F56)&lt;1,"ok","err")</f>
        <v>ok</v>
      </c>
    </row>
    <row r="57" spans="1:24" x14ac:dyDescent="0.2">
      <c r="A57" s="184"/>
      <c r="B57" s="23" t="s">
        <v>8</v>
      </c>
      <c r="C57" s="114" t="s">
        <v>589</v>
      </c>
      <c r="D57" s="114" t="s">
        <v>40</v>
      </c>
      <c r="F57" s="25">
        <v>5653868.8438461544</v>
      </c>
      <c r="G57" s="25">
        <f t="shared" si="22"/>
        <v>0</v>
      </c>
      <c r="H57" s="25">
        <f t="shared" si="23"/>
        <v>0</v>
      </c>
      <c r="I57" s="25">
        <f t="shared" si="24"/>
        <v>0</v>
      </c>
      <c r="J57" s="25">
        <f t="shared" si="25"/>
        <v>0</v>
      </c>
      <c r="K57" s="25">
        <f t="shared" si="26"/>
        <v>0</v>
      </c>
      <c r="L57" s="25">
        <f t="shared" si="27"/>
        <v>0</v>
      </c>
      <c r="M57" s="25">
        <f t="shared" si="28"/>
        <v>0</v>
      </c>
      <c r="N57" s="25">
        <f t="shared" si="29"/>
        <v>0</v>
      </c>
      <c r="O57" s="25">
        <f t="shared" si="30"/>
        <v>5094674.3801180264</v>
      </c>
      <c r="P57" s="25">
        <f t="shared" si="31"/>
        <v>0</v>
      </c>
      <c r="Q57" s="25">
        <f t="shared" si="32"/>
        <v>559194.463728128</v>
      </c>
      <c r="R57" s="25">
        <f t="shared" si="33"/>
        <v>0</v>
      </c>
      <c r="S57" s="25">
        <f t="shared" si="34"/>
        <v>0</v>
      </c>
      <c r="T57" s="25">
        <f t="shared" si="35"/>
        <v>0</v>
      </c>
      <c r="U57" s="25">
        <f t="shared" si="36"/>
        <v>0</v>
      </c>
      <c r="V57" s="25">
        <f t="shared" si="37"/>
        <v>0</v>
      </c>
      <c r="W57" s="25">
        <f t="shared" si="38"/>
        <v>5653868.8438461544</v>
      </c>
      <c r="X57" s="120" t="str">
        <f t="shared" si="39"/>
        <v>ok</v>
      </c>
    </row>
    <row r="58" spans="1:24" x14ac:dyDescent="0.2">
      <c r="A58" s="184"/>
      <c r="B58" s="23" t="s">
        <v>394</v>
      </c>
      <c r="C58" s="114" t="s">
        <v>590</v>
      </c>
      <c r="D58" s="114" t="s">
        <v>200</v>
      </c>
      <c r="F58" s="25">
        <v>0</v>
      </c>
      <c r="G58" s="25">
        <f t="shared" si="22"/>
        <v>0</v>
      </c>
      <c r="H58" s="25">
        <f t="shared" si="23"/>
        <v>0</v>
      </c>
      <c r="I58" s="25">
        <f t="shared" si="24"/>
        <v>0</v>
      </c>
      <c r="J58" s="25">
        <f t="shared" si="25"/>
        <v>0</v>
      </c>
      <c r="K58" s="25">
        <f t="shared" si="26"/>
        <v>0</v>
      </c>
      <c r="L58" s="25">
        <f t="shared" si="27"/>
        <v>0</v>
      </c>
      <c r="M58" s="25">
        <f t="shared" si="28"/>
        <v>0</v>
      </c>
      <c r="N58" s="25">
        <f t="shared" si="29"/>
        <v>0</v>
      </c>
      <c r="O58" s="25">
        <f t="shared" si="30"/>
        <v>0</v>
      </c>
      <c r="P58" s="25">
        <f t="shared" si="31"/>
        <v>0</v>
      </c>
      <c r="Q58" s="25">
        <f t="shared" si="32"/>
        <v>0</v>
      </c>
      <c r="R58" s="25">
        <f t="shared" si="33"/>
        <v>0</v>
      </c>
      <c r="S58" s="25">
        <f t="shared" si="34"/>
        <v>0</v>
      </c>
      <c r="T58" s="25">
        <f t="shared" si="35"/>
        <v>0</v>
      </c>
      <c r="U58" s="25">
        <f t="shared" si="36"/>
        <v>0</v>
      </c>
      <c r="V58" s="25">
        <f t="shared" si="37"/>
        <v>0</v>
      </c>
      <c r="W58" s="25">
        <f t="shared" si="38"/>
        <v>0</v>
      </c>
      <c r="X58" s="120" t="str">
        <f t="shared" si="39"/>
        <v>ok</v>
      </c>
    </row>
    <row r="59" spans="1:24" x14ac:dyDescent="0.2">
      <c r="A59" s="184"/>
      <c r="B59" s="23" t="s">
        <v>709</v>
      </c>
      <c r="C59" s="114" t="s">
        <v>70</v>
      </c>
      <c r="D59" s="114" t="s">
        <v>56</v>
      </c>
      <c r="F59" s="25">
        <v>119480.76923076922</v>
      </c>
      <c r="G59" s="25">
        <f t="shared" si="22"/>
        <v>0</v>
      </c>
      <c r="H59" s="25">
        <f t="shared" si="23"/>
        <v>0</v>
      </c>
      <c r="I59" s="25">
        <f t="shared" si="24"/>
        <v>16179.120361853951</v>
      </c>
      <c r="J59" s="25">
        <f t="shared" si="25"/>
        <v>0</v>
      </c>
      <c r="K59" s="25">
        <f t="shared" si="26"/>
        <v>976.9153958956075</v>
      </c>
      <c r="L59" s="25">
        <f t="shared" si="27"/>
        <v>4628.1954638334291</v>
      </c>
      <c r="M59" s="25">
        <f t="shared" si="28"/>
        <v>0</v>
      </c>
      <c r="N59" s="25">
        <f t="shared" si="29"/>
        <v>3963.030560571332</v>
      </c>
      <c r="O59" s="25">
        <f t="shared" si="30"/>
        <v>40581.604945449559</v>
      </c>
      <c r="P59" s="25">
        <f t="shared" si="31"/>
        <v>0</v>
      </c>
      <c r="Q59" s="25">
        <f t="shared" si="32"/>
        <v>4454.2608852995418</v>
      </c>
      <c r="R59" s="25">
        <f t="shared" si="33"/>
        <v>0</v>
      </c>
      <c r="S59" s="25">
        <f t="shared" si="34"/>
        <v>39531.748243300732</v>
      </c>
      <c r="T59" s="25">
        <f t="shared" si="35"/>
        <v>9165.8933745650775</v>
      </c>
      <c r="U59" s="25">
        <f t="shared" si="36"/>
        <v>0</v>
      </c>
      <c r="V59" s="25">
        <f t="shared" si="37"/>
        <v>0</v>
      </c>
      <c r="W59" s="25">
        <f t="shared" si="38"/>
        <v>119480.76923076923</v>
      </c>
      <c r="X59" s="120" t="str">
        <f t="shared" si="39"/>
        <v>ok</v>
      </c>
    </row>
    <row r="60" spans="1:24" x14ac:dyDescent="0.2">
      <c r="A60" s="184"/>
      <c r="B60" s="23" t="s">
        <v>395</v>
      </c>
      <c r="D60" s="114" t="s">
        <v>56</v>
      </c>
      <c r="F60" s="25">
        <v>7805569.5738461548</v>
      </c>
      <c r="G60" s="25">
        <f t="shared" si="22"/>
        <v>0</v>
      </c>
      <c r="H60" s="25">
        <f t="shared" si="23"/>
        <v>0</v>
      </c>
      <c r="I60" s="25">
        <f t="shared" si="24"/>
        <v>1056967.1625076877</v>
      </c>
      <c r="J60" s="25">
        <f t="shared" si="25"/>
        <v>0</v>
      </c>
      <c r="K60" s="25">
        <f t="shared" si="26"/>
        <v>63820.990938689923</v>
      </c>
      <c r="L60" s="25">
        <f t="shared" si="27"/>
        <v>302355.78433996014</v>
      </c>
      <c r="M60" s="25">
        <f t="shared" si="28"/>
        <v>0</v>
      </c>
      <c r="N60" s="25">
        <f t="shared" si="29"/>
        <v>258901.16847232243</v>
      </c>
      <c r="O60" s="25">
        <f t="shared" si="30"/>
        <v>2651159.2020992078</v>
      </c>
      <c r="P60" s="25">
        <f t="shared" si="31"/>
        <v>0</v>
      </c>
      <c r="Q60" s="25">
        <f t="shared" si="32"/>
        <v>290992.79711796099</v>
      </c>
      <c r="R60" s="25">
        <f t="shared" si="33"/>
        <v>0</v>
      </c>
      <c r="S60" s="25">
        <f t="shared" si="34"/>
        <v>2582573.0222147801</v>
      </c>
      <c r="T60" s="25">
        <f t="shared" si="35"/>
        <v>598799.44615554612</v>
      </c>
      <c r="U60" s="25">
        <f t="shared" si="36"/>
        <v>0</v>
      </c>
      <c r="V60" s="25">
        <f t="shared" si="37"/>
        <v>0</v>
      </c>
      <c r="W60" s="25">
        <f>SUM(G60:V60)</f>
        <v>7805569.5738461558</v>
      </c>
      <c r="X60" s="120" t="str">
        <f>IF(ABS(W60-F60)&lt;1,"ok","err")</f>
        <v>ok</v>
      </c>
    </row>
    <row r="61" spans="1:24" x14ac:dyDescent="0.2">
      <c r="C61" s="114" t="s">
        <v>71</v>
      </c>
      <c r="F61" s="30">
        <f t="shared" ref="F61:V61" si="40">+SUM(F55:F60)</f>
        <v>24905873.017692305</v>
      </c>
      <c r="G61" s="30">
        <f t="shared" si="40"/>
        <v>0</v>
      </c>
      <c r="H61" s="30">
        <f t="shared" si="40"/>
        <v>0</v>
      </c>
      <c r="I61" s="30">
        <f t="shared" si="40"/>
        <v>5523396.034408004</v>
      </c>
      <c r="J61" s="30">
        <f t="shared" si="40"/>
        <v>0</v>
      </c>
      <c r="K61" s="30">
        <f t="shared" si="40"/>
        <v>1263339.4260545766</v>
      </c>
      <c r="L61" s="30">
        <f t="shared" si="40"/>
        <v>5985146.5393145699</v>
      </c>
      <c r="M61" s="30">
        <f t="shared" si="40"/>
        <v>0</v>
      </c>
      <c r="N61" s="30">
        <f t="shared" si="40"/>
        <v>262864.19903289375</v>
      </c>
      <c r="O61" s="30">
        <f t="shared" si="40"/>
        <v>7786415.1871626833</v>
      </c>
      <c r="P61" s="30">
        <f t="shared" si="40"/>
        <v>0</v>
      </c>
      <c r="Q61" s="30">
        <f t="shared" si="40"/>
        <v>854641.52173138852</v>
      </c>
      <c r="R61" s="30">
        <f t="shared" si="40"/>
        <v>0</v>
      </c>
      <c r="S61" s="30">
        <f t="shared" si="40"/>
        <v>2622104.7704580808</v>
      </c>
      <c r="T61" s="30">
        <f t="shared" si="40"/>
        <v>607965.33953011117</v>
      </c>
      <c r="U61" s="30">
        <f t="shared" si="40"/>
        <v>0</v>
      </c>
      <c r="V61" s="30">
        <f t="shared" si="40"/>
        <v>0</v>
      </c>
      <c r="W61" s="25">
        <f t="shared" si="38"/>
        <v>24905873.017692305</v>
      </c>
      <c r="X61" s="120" t="str">
        <f t="shared" si="39"/>
        <v>ok</v>
      </c>
    </row>
    <row r="62" spans="1:24" x14ac:dyDescent="0.2">
      <c r="A62" s="184"/>
      <c r="B62" s="191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120"/>
    </row>
    <row r="63" spans="1:24" x14ac:dyDescent="0.2">
      <c r="A63" s="184"/>
      <c r="C63" s="114" t="s">
        <v>72</v>
      </c>
      <c r="F63" s="30">
        <f t="shared" ref="F63:V63" si="41">F41+F61</f>
        <v>1269519493.7012298</v>
      </c>
      <c r="G63" s="25">
        <f t="shared" si="41"/>
        <v>0</v>
      </c>
      <c r="H63" s="25">
        <f t="shared" si="41"/>
        <v>0</v>
      </c>
      <c r="I63" s="25">
        <f t="shared" si="41"/>
        <v>184251410.90479216</v>
      </c>
      <c r="J63" s="25">
        <f t="shared" si="41"/>
        <v>0</v>
      </c>
      <c r="K63" s="25">
        <f t="shared" si="41"/>
        <v>11343333.985519154</v>
      </c>
      <c r="L63" s="25">
        <f t="shared" si="41"/>
        <v>53739727.224175461</v>
      </c>
      <c r="M63" s="25">
        <f t="shared" si="41"/>
        <v>0</v>
      </c>
      <c r="N63" s="25">
        <f t="shared" si="41"/>
        <v>41154149.828663439</v>
      </c>
      <c r="O63" s="25">
        <f t="shared" si="41"/>
        <v>426514954.81618136</v>
      </c>
      <c r="P63" s="25">
        <f t="shared" si="41"/>
        <v>0</v>
      </c>
      <c r="Q63" s="25">
        <f t="shared" si="41"/>
        <v>46814532.909350723</v>
      </c>
      <c r="R63" s="25">
        <f t="shared" si="41"/>
        <v>0</v>
      </c>
      <c r="S63" s="25">
        <f t="shared" si="41"/>
        <v>410518027.89006472</v>
      </c>
      <c r="T63" s="25">
        <f t="shared" si="41"/>
        <v>95183356.142482892</v>
      </c>
      <c r="U63" s="25">
        <f t="shared" si="41"/>
        <v>0</v>
      </c>
      <c r="V63" s="25">
        <f t="shared" si="41"/>
        <v>0</v>
      </c>
      <c r="W63" s="25">
        <f>SUM(G63:V63)</f>
        <v>1269519493.7012298</v>
      </c>
      <c r="X63" s="120" t="str">
        <f>IF(ABS(W63-F63)&lt;1,"ok","err")</f>
        <v>ok</v>
      </c>
    </row>
    <row r="64" spans="1:24" x14ac:dyDescent="0.2">
      <c r="A64" s="18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120"/>
    </row>
    <row r="65" spans="6:20" x14ac:dyDescent="0.2">
      <c r="F65" s="25"/>
      <c r="T65" s="31">
        <f>T63+S63+R63+Q63+P63+O63+N63+M63</f>
        <v>1020185021.5867432</v>
      </c>
    </row>
    <row r="66" spans="6:20" x14ac:dyDescent="0.2">
      <c r="F66" s="25"/>
    </row>
    <row r="67" spans="6:20" x14ac:dyDescent="0.2">
      <c r="F67" s="25"/>
    </row>
    <row r="68" spans="6:20" x14ac:dyDescent="0.2">
      <c r="F68" s="124"/>
    </row>
    <row r="91" spans="1:24" x14ac:dyDescent="0.2">
      <c r="F91" s="25"/>
    </row>
    <row r="93" spans="1:24" x14ac:dyDescent="0.2">
      <c r="A93" s="184"/>
      <c r="F93" s="30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120"/>
    </row>
    <row r="95" spans="1:24" x14ac:dyDescent="0.2">
      <c r="A95" s="116" t="s">
        <v>91</v>
      </c>
    </row>
    <row r="97" spans="1:25" x14ac:dyDescent="0.2">
      <c r="A97" s="13" t="s">
        <v>591</v>
      </c>
      <c r="F97" s="31">
        <f>F63</f>
        <v>1269519493.7012298</v>
      </c>
      <c r="G97" s="31">
        <f t="shared" ref="G97:V97" si="42">G63</f>
        <v>0</v>
      </c>
      <c r="H97" s="31">
        <f t="shared" si="42"/>
        <v>0</v>
      </c>
      <c r="I97" s="31">
        <f t="shared" si="42"/>
        <v>184251410.90479216</v>
      </c>
      <c r="J97" s="31">
        <f t="shared" si="42"/>
        <v>0</v>
      </c>
      <c r="K97" s="31">
        <f t="shared" si="42"/>
        <v>11343333.985519154</v>
      </c>
      <c r="L97" s="31">
        <f t="shared" si="42"/>
        <v>53739727.224175461</v>
      </c>
      <c r="M97" s="31">
        <f t="shared" si="42"/>
        <v>0</v>
      </c>
      <c r="N97" s="31">
        <f t="shared" si="42"/>
        <v>41154149.828663439</v>
      </c>
      <c r="O97" s="31">
        <f t="shared" si="42"/>
        <v>426514954.81618136</v>
      </c>
      <c r="P97" s="31">
        <f t="shared" si="42"/>
        <v>0</v>
      </c>
      <c r="Q97" s="31">
        <f t="shared" si="42"/>
        <v>46814532.909350723</v>
      </c>
      <c r="R97" s="31">
        <f t="shared" si="42"/>
        <v>0</v>
      </c>
      <c r="S97" s="31">
        <f t="shared" si="42"/>
        <v>410518027.89006472</v>
      </c>
      <c r="T97" s="31">
        <f t="shared" si="42"/>
        <v>95183356.142482892</v>
      </c>
      <c r="U97" s="31">
        <f t="shared" si="42"/>
        <v>0</v>
      </c>
      <c r="V97" s="31">
        <f t="shared" si="42"/>
        <v>0</v>
      </c>
      <c r="W97" s="25">
        <f>SUM(G97:V97)</f>
        <v>1269519493.7012298</v>
      </c>
      <c r="X97" s="120" t="str">
        <f>IF(ABS(W97-F97)&lt;1,"ok","err")</f>
        <v>ok</v>
      </c>
    </row>
    <row r="98" spans="1:25" x14ac:dyDescent="0.2">
      <c r="A98" s="184"/>
      <c r="F98" s="30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120"/>
    </row>
    <row r="99" spans="1:25" x14ac:dyDescent="0.2">
      <c r="A99" s="13" t="s">
        <v>73</v>
      </c>
    </row>
    <row r="100" spans="1:25" x14ac:dyDescent="0.2">
      <c r="A100" s="13"/>
      <c r="F100" s="31"/>
    </row>
    <row r="101" spans="1:25" x14ac:dyDescent="0.2">
      <c r="A101" s="13" t="s">
        <v>93</v>
      </c>
    </row>
    <row r="102" spans="1:25" x14ac:dyDescent="0.2">
      <c r="A102" s="23" t="s">
        <v>393</v>
      </c>
      <c r="C102" s="114" t="s">
        <v>74</v>
      </c>
      <c r="D102" s="114" t="s">
        <v>198</v>
      </c>
      <c r="F102" s="30">
        <v>39041081.867538698</v>
      </c>
      <c r="G102" s="25">
        <f>(VLOOKUP($D102,$C$6:$AJ$991,5,)/VLOOKUP($D102,$C$6:$AJ$991,4,))*$F102</f>
        <v>0</v>
      </c>
      <c r="H102" s="25">
        <f>(VLOOKUP($D102,$C$6:$AJ$991,6,)/VLOOKUP($D102,$C$6:$AJ$991,4,))*$F102</f>
        <v>0</v>
      </c>
      <c r="I102" s="25">
        <f>(VLOOKUP($D102,$C$6:$AJ$991,7,)/VLOOKUP($D102,$C$6:$AJ$991,4,))*$F102</f>
        <v>39041081.867538698</v>
      </c>
      <c r="J102" s="25">
        <f>(VLOOKUP($D102,$C$6:$AJ$991,8,)/VLOOKUP($D102,$C$6:$AJ$991,4,))*$F102</f>
        <v>0</v>
      </c>
      <c r="K102" s="25">
        <f>(VLOOKUP($D102,$C$6:$AJ$991,9,)/VLOOKUP($D102,$C$6:$AJ$991,4,))*$F102</f>
        <v>0</v>
      </c>
      <c r="L102" s="25">
        <f>(VLOOKUP($D102,$C$6:$AJ$991,10,)/VLOOKUP($D102,$C$6:$AJ$991,4,))*$F102</f>
        <v>0</v>
      </c>
      <c r="M102" s="25">
        <f>(VLOOKUP($D102,$C$6:$AJ$991,11,)/VLOOKUP($D102,$C$6:$AJ$991,4,))*$F102</f>
        <v>0</v>
      </c>
      <c r="N102" s="25">
        <f>(VLOOKUP($D102,$C$6:$AJ$991,12,)/VLOOKUP($D102,$C$6:$AJ$991,4,))*$F102</f>
        <v>0</v>
      </c>
      <c r="O102" s="25">
        <f>(VLOOKUP($D102,$C$6:$AJ$991,13,)/VLOOKUP($D102,$C$6:$AJ$991,4,))*$F102</f>
        <v>0</v>
      </c>
      <c r="P102" s="25">
        <f>(VLOOKUP($D102,$C$6:$AJ$991,14,)/VLOOKUP($D102,$C$6:$AJ$991,4,))*$F102</f>
        <v>0</v>
      </c>
      <c r="Q102" s="25">
        <f>(VLOOKUP($D102,$C$6:$AJ$991,15,)/VLOOKUP($D102,$C$6:$AJ$991,4,))*$F102</f>
        <v>0</v>
      </c>
      <c r="R102" s="25">
        <f>(VLOOKUP($D102,$C$6:$AJ$991,16,)/VLOOKUP($D102,$C$6:$AJ$991,4,))*$F102</f>
        <v>0</v>
      </c>
      <c r="S102" s="25">
        <f>(VLOOKUP($D102,$C$6:$AJ$991,17,)/VLOOKUP($D102,$C$6:$AJ$991,4,))*$F102</f>
        <v>0</v>
      </c>
      <c r="T102" s="25">
        <f>(VLOOKUP($D102,$C$6:$AJ$991,18,)/VLOOKUP($D102,$C$6:$AJ$991,4,))*$F102</f>
        <v>0</v>
      </c>
      <c r="U102" s="25">
        <f>(VLOOKUP($D102,$C$6:$AJ$991,19,)/VLOOKUP($D102,$C$6:$AJ$991,4,))*$F102</f>
        <v>0</v>
      </c>
      <c r="V102" s="25">
        <f>(VLOOKUP($D102,$C$6:$AJ$991,20,)/VLOOKUP($D102,$C$6:$AJ$991,4,))*$F102</f>
        <v>0</v>
      </c>
      <c r="W102" s="25">
        <f>SUM(G102:V102)</f>
        <v>39041081.867538698</v>
      </c>
      <c r="X102" s="120" t="str">
        <f>IF(ABS(W102-F102)&lt;1,"ok","err")</f>
        <v>ok</v>
      </c>
    </row>
    <row r="103" spans="1:25" x14ac:dyDescent="0.2">
      <c r="A103" s="23" t="s">
        <v>4</v>
      </c>
      <c r="C103" s="114" t="s">
        <v>396</v>
      </c>
      <c r="D103" s="114" t="s">
        <v>28</v>
      </c>
      <c r="F103" s="25">
        <v>11949641.067477999</v>
      </c>
      <c r="G103" s="25">
        <f>(VLOOKUP($D103,$C$6:$AJ$991,5,)/VLOOKUP($D103,$C$6:$AJ$991,4,))*$F103</f>
        <v>0</v>
      </c>
      <c r="H103" s="25">
        <f>(VLOOKUP($D103,$C$6:$AJ$991,6,)/VLOOKUP($D103,$C$6:$AJ$991,4,))*$F103</f>
        <v>0</v>
      </c>
      <c r="I103" s="25">
        <f>(VLOOKUP($D103,$C$6:$AJ$991,7,)/VLOOKUP($D103,$C$6:$AJ$991,4,))*$F103</f>
        <v>0</v>
      </c>
      <c r="J103" s="25">
        <f>(VLOOKUP($D103,$C$6:$AJ$991,8,)/VLOOKUP($D103,$C$6:$AJ$991,4,))*$F103</f>
        <v>0</v>
      </c>
      <c r="K103" s="25">
        <f>(VLOOKUP($D103,$C$6:$AJ$991,9,)/VLOOKUP($D103,$C$6:$AJ$991,4,))*$F103</f>
        <v>2082704.2722951632</v>
      </c>
      <c r="L103" s="25">
        <f>(VLOOKUP($D103,$C$6:$AJ$991,10,)/VLOOKUP($D103,$C$6:$AJ$991,4,))*$F103</f>
        <v>9866936.7951828372</v>
      </c>
      <c r="M103" s="25">
        <f>(VLOOKUP($D103,$C$6:$AJ$991,11,)/VLOOKUP($D103,$C$6:$AJ$991,4,))*$F103</f>
        <v>0</v>
      </c>
      <c r="N103" s="25">
        <f>(VLOOKUP($D103,$C$6:$AJ$991,12,)/VLOOKUP($D103,$C$6:$AJ$991,4,))*$F103</f>
        <v>0</v>
      </c>
      <c r="O103" s="25">
        <f>(VLOOKUP($D103,$C$6:$AJ$991,13,)/VLOOKUP($D103,$C$6:$AJ$991,4,))*$F103</f>
        <v>0</v>
      </c>
      <c r="P103" s="25">
        <f>(VLOOKUP($D103,$C$6:$AJ$991,14,)/VLOOKUP($D103,$C$6:$AJ$991,4,))*$F103</f>
        <v>0</v>
      </c>
      <c r="Q103" s="25">
        <f>(VLOOKUP($D103,$C$6:$AJ$991,15,)/VLOOKUP($D103,$C$6:$AJ$991,4,))*$F103</f>
        <v>0</v>
      </c>
      <c r="R103" s="25">
        <f>(VLOOKUP($D103,$C$6:$AJ$991,16,)/VLOOKUP($D103,$C$6:$AJ$991,4,))*$F103</f>
        <v>0</v>
      </c>
      <c r="S103" s="25">
        <f>(VLOOKUP($D103,$C$6:$AJ$991,17,)/VLOOKUP($D103,$C$6:$AJ$991,4,))*$F103</f>
        <v>0</v>
      </c>
      <c r="T103" s="25">
        <f>(VLOOKUP($D103,$C$6:$AJ$991,18,)/VLOOKUP($D103,$C$6:$AJ$991,4,))*$F103</f>
        <v>0</v>
      </c>
      <c r="U103" s="25">
        <f>(VLOOKUP($D103,$C$6:$AJ$991,19,)/VLOOKUP($D103,$C$6:$AJ$991,4,))*$F103</f>
        <v>0</v>
      </c>
      <c r="V103" s="25">
        <f>(VLOOKUP($D103,$C$6:$AJ$991,20,)/VLOOKUP($D103,$C$6:$AJ$991,4,))*$F103</f>
        <v>0</v>
      </c>
      <c r="W103" s="25">
        <f>SUM(G103:V103)</f>
        <v>11949641.067478001</v>
      </c>
      <c r="X103" s="120" t="str">
        <f>IF(ABS(W103-F103)&lt;1,"ok","err")</f>
        <v>ok</v>
      </c>
    </row>
    <row r="104" spans="1:25" x14ac:dyDescent="0.2">
      <c r="A104" s="23" t="s">
        <v>5</v>
      </c>
      <c r="C104" s="114" t="s">
        <v>75</v>
      </c>
      <c r="D104" s="114" t="s">
        <v>669</v>
      </c>
      <c r="F104" s="25">
        <v>271564807.68572599</v>
      </c>
      <c r="G104" s="25">
        <f>(VLOOKUP($D104,$C$6:$AJ$991,5,)/VLOOKUP($D104,$C$6:$AJ$991,4,))*$F104</f>
        <v>0</v>
      </c>
      <c r="H104" s="25">
        <f>(VLOOKUP($D104,$C$6:$AJ$991,6,)/VLOOKUP($D104,$C$6:$AJ$991,4,))*$F104</f>
        <v>0</v>
      </c>
      <c r="I104" s="25">
        <f>(VLOOKUP($D104,$C$6:$AJ$991,7,)/VLOOKUP($D104,$C$6:$AJ$991,4,))*$F104</f>
        <v>0</v>
      </c>
      <c r="J104" s="25">
        <f>(VLOOKUP($D104,$C$6:$AJ$991,8,)/VLOOKUP($D104,$C$6:$AJ$991,4,))*$F104</f>
        <v>0</v>
      </c>
      <c r="K104" s="25">
        <f>(VLOOKUP($D104,$C$6:$AJ$991,9,)/VLOOKUP($D104,$C$6:$AJ$991,4,))*$F104</f>
        <v>0</v>
      </c>
      <c r="L104" s="25">
        <f>(VLOOKUP($D104,$C$6:$AJ$991,10,)/VLOOKUP($D104,$C$6:$AJ$991,4,))*$F104</f>
        <v>0</v>
      </c>
      <c r="M104" s="25">
        <f>(VLOOKUP($D104,$C$6:$AJ$991,11,)/VLOOKUP($D104,$C$6:$AJ$991,4,))*$F104</f>
        <v>0</v>
      </c>
      <c r="N104" s="25">
        <f>(VLOOKUP($D104,$C$6:$AJ$991,12,)/VLOOKUP($D104,$C$6:$AJ$991,4,))*$F104</f>
        <v>5019927.9572201977</v>
      </c>
      <c r="O104" s="25">
        <f>(VLOOKUP($D104,$C$6:$AJ$991,13,)/VLOOKUP($D104,$C$6:$AJ$991,4,))*$F104</f>
        <v>119838172.40783668</v>
      </c>
      <c r="P104" s="25">
        <f>(VLOOKUP($D104,$C$6:$AJ$991,14,)/VLOOKUP($D104,$C$6:$AJ$991,4,))*$F104</f>
        <v>0</v>
      </c>
      <c r="Q104" s="25">
        <f>(VLOOKUP($D104,$C$6:$AJ$991,15,)/VLOOKUP($D104,$C$6:$AJ$991,4,))*$F104</f>
        <v>13153508.458808845</v>
      </c>
      <c r="R104" s="25">
        <f>(VLOOKUP($D104,$C$6:$AJ$991,16,)/VLOOKUP($D104,$C$6:$AJ$991,4,))*$F104</f>
        <v>0</v>
      </c>
      <c r="S104" s="25">
        <f>(VLOOKUP($D104,$C$6:$AJ$991,17,)/VLOOKUP($D104,$C$6:$AJ$991,4,))*$F104</f>
        <v>111944104.04601288</v>
      </c>
      <c r="T104" s="25">
        <f>(VLOOKUP($D104,$C$6:$AJ$991,18,)/VLOOKUP($D104,$C$6:$AJ$991,4,))*$F104</f>
        <v>21609094.815847397</v>
      </c>
      <c r="U104" s="25">
        <f>(VLOOKUP($D104,$C$6:$AJ$991,19,)/VLOOKUP($D104,$C$6:$AJ$991,4,))*$F104</f>
        <v>0</v>
      </c>
      <c r="V104" s="25">
        <f>(VLOOKUP($D104,$C$6:$AJ$991,20,)/VLOOKUP($D104,$C$6:$AJ$991,4,))*$F104</f>
        <v>0</v>
      </c>
      <c r="W104" s="25">
        <f>SUM(G104:V104)</f>
        <v>271564807.68572599</v>
      </c>
      <c r="X104" s="120" t="str">
        <f>IF(ABS(W104-F104)&lt;1,"ok","err")</f>
        <v>ok</v>
      </c>
    </row>
    <row r="105" spans="1:25" x14ac:dyDescent="0.2">
      <c r="A105" s="23" t="s">
        <v>708</v>
      </c>
      <c r="C105" s="114" t="s">
        <v>76</v>
      </c>
      <c r="D105" s="114" t="s">
        <v>62</v>
      </c>
      <c r="F105" s="25">
        <v>5985030.1348561402</v>
      </c>
      <c r="G105" s="25">
        <f>(VLOOKUP($D105,$C$6:$AJ$991,5,)/VLOOKUP($D105,$C$6:$AJ$991,4,))*$F105</f>
        <v>0</v>
      </c>
      <c r="H105" s="25">
        <f>(VLOOKUP($D105,$C$6:$AJ$991,6,)/VLOOKUP($D105,$C$6:$AJ$991,4,))*$F105</f>
        <v>0</v>
      </c>
      <c r="I105" s="25">
        <f>(VLOOKUP($D105,$C$6:$AJ$991,7,)/VLOOKUP($D105,$C$6:$AJ$991,4,))*$F105</f>
        <v>810444.42168040317</v>
      </c>
      <c r="J105" s="25">
        <f>(VLOOKUP($D105,$C$6:$AJ$991,8,)/VLOOKUP($D105,$C$6:$AJ$991,4,))*$F105</f>
        <v>0</v>
      </c>
      <c r="K105" s="25">
        <f>(VLOOKUP($D105,$C$6:$AJ$991,9,)/VLOOKUP($D105,$C$6:$AJ$991,4,))*$F105</f>
        <v>48935.641453289332</v>
      </c>
      <c r="L105" s="25">
        <f>(VLOOKUP($D105,$C$6:$AJ$991,10,)/VLOOKUP($D105,$C$6:$AJ$991,4,))*$F105</f>
        <v>231835.54558095502</v>
      </c>
      <c r="M105" s="25">
        <f>(VLOOKUP($D105,$C$6:$AJ$991,11,)/VLOOKUP($D105,$C$6:$AJ$991,4,))*$F105</f>
        <v>0</v>
      </c>
      <c r="N105" s="25">
        <f>(VLOOKUP($D105,$C$6:$AJ$991,12,)/VLOOKUP($D105,$C$6:$AJ$991,4,))*$F105</f>
        <v>198516.10835015497</v>
      </c>
      <c r="O105" s="25">
        <f>(VLOOKUP($D105,$C$6:$AJ$991,13,)/VLOOKUP($D105,$C$6:$AJ$991,4,))*$F105</f>
        <v>2032813.5655892186</v>
      </c>
      <c r="P105" s="25">
        <f>(VLOOKUP($D105,$C$6:$AJ$991,14,)/VLOOKUP($D105,$C$6:$AJ$991,4,))*$F105</f>
        <v>0</v>
      </c>
      <c r="Q105" s="25">
        <f>(VLOOKUP($D105,$C$6:$AJ$991,15,)/VLOOKUP($D105,$C$6:$AJ$991,4,))*$F105</f>
        <v>223122.81548454773</v>
      </c>
      <c r="R105" s="25">
        <f>(VLOOKUP($D105,$C$6:$AJ$991,16,)/VLOOKUP($D105,$C$6:$AJ$991,4,))*$F105</f>
        <v>0</v>
      </c>
      <c r="S105" s="25">
        <f>(VLOOKUP($D105,$C$6:$AJ$991,17,)/VLOOKUP($D105,$C$6:$AJ$991,4,))*$F105</f>
        <v>1980224.1485634092</v>
      </c>
      <c r="T105" s="25">
        <f>(VLOOKUP($D105,$C$6:$AJ$991,18,)/VLOOKUP($D105,$C$6:$AJ$991,4,))*$F105</f>
        <v>459137.88815416262</v>
      </c>
      <c r="U105" s="25">
        <f>(VLOOKUP($D105,$C$6:$AJ$991,19,)/VLOOKUP($D105,$C$6:$AJ$991,4,))*$F105</f>
        <v>0</v>
      </c>
      <c r="V105" s="25">
        <f>(VLOOKUP($D105,$C$6:$AJ$991,20,)/VLOOKUP($D105,$C$6:$AJ$991,4,))*$F105</f>
        <v>0</v>
      </c>
      <c r="W105" s="25">
        <f>SUM(G105:V105)</f>
        <v>5985030.1348561412</v>
      </c>
      <c r="X105" s="120" t="str">
        <f>IF(ABS(W105-F105)&lt;1,"ok","err")</f>
        <v>ok</v>
      </c>
    </row>
    <row r="106" spans="1:25" ht="12.75" customHeight="1" x14ac:dyDescent="0.2">
      <c r="A106" s="23" t="s">
        <v>395</v>
      </c>
      <c r="C106" s="114" t="s">
        <v>397</v>
      </c>
      <c r="D106" s="114" t="s">
        <v>398</v>
      </c>
      <c r="F106" s="25">
        <v>44929599.119095303</v>
      </c>
      <c r="G106" s="25">
        <f>(VLOOKUP($D106,$C$6:$AJ$991,5,)/VLOOKUP($D106,$C$6:$AJ$991,4,))*$F106</f>
        <v>0</v>
      </c>
      <c r="H106" s="25">
        <f>(VLOOKUP($D106,$C$6:$AJ$991,6,)/VLOOKUP($D106,$C$6:$AJ$991,4,))*$F106</f>
        <v>0</v>
      </c>
      <c r="I106" s="25">
        <f>(VLOOKUP($D106,$C$6:$AJ$991,7,)/VLOOKUP($D106,$C$6:$AJ$991,4,))*$F106</f>
        <v>6084003.2805085937</v>
      </c>
      <c r="J106" s="25">
        <f>(VLOOKUP($D106,$C$6:$AJ$991,8,)/VLOOKUP($D106,$C$6:$AJ$991,4,))*$F106</f>
        <v>0</v>
      </c>
      <c r="K106" s="25">
        <f>(VLOOKUP($D106,$C$6:$AJ$991,9,)/VLOOKUP($D106,$C$6:$AJ$991,4,))*$F106</f>
        <v>367359.67966599396</v>
      </c>
      <c r="L106" s="25">
        <f>(VLOOKUP($D106,$C$6:$AJ$991,10,)/VLOOKUP($D106,$C$6:$AJ$991,4,))*$F106</f>
        <v>1740388.5844861208</v>
      </c>
      <c r="M106" s="25">
        <f>(VLOOKUP($D106,$C$6:$AJ$991,11,)/VLOOKUP($D106,$C$6:$AJ$991,4,))*$F106</f>
        <v>0</v>
      </c>
      <c r="N106" s="25">
        <f>(VLOOKUP($D106,$C$6:$AJ$991,12,)/VLOOKUP($D106,$C$6:$AJ$991,4,))*$F106</f>
        <v>1490259.6922462678</v>
      </c>
      <c r="O106" s="25">
        <f>(VLOOKUP($D106,$C$6:$AJ$991,13,)/VLOOKUP($D106,$C$6:$AJ$991,4,))*$F106</f>
        <v>15260323.929509787</v>
      </c>
      <c r="P106" s="25">
        <f>(VLOOKUP($D106,$C$6:$AJ$991,14,)/VLOOKUP($D106,$C$6:$AJ$991,4,))*$F106</f>
        <v>0</v>
      </c>
      <c r="Q106" s="25">
        <f>(VLOOKUP($D106,$C$6:$AJ$991,15,)/VLOOKUP($D106,$C$6:$AJ$991,4,))*$F106</f>
        <v>1674982.1518293095</v>
      </c>
      <c r="R106" s="25">
        <f>(VLOOKUP($D106,$C$6:$AJ$991,16,)/VLOOKUP($D106,$C$6:$AJ$991,4,))*$F106</f>
        <v>0</v>
      </c>
      <c r="S106" s="25">
        <f>(VLOOKUP($D106,$C$6:$AJ$991,17,)/VLOOKUP($D106,$C$6:$AJ$991,4,))*$F106</f>
        <v>14865535.370114615</v>
      </c>
      <c r="T106" s="25">
        <f>(VLOOKUP($D106,$C$6:$AJ$991,18,)/VLOOKUP($D106,$C$6:$AJ$991,4,))*$F106</f>
        <v>3446746.43073462</v>
      </c>
      <c r="U106" s="25">
        <f>(VLOOKUP($D106,$C$6:$AJ$991,19,)/VLOOKUP($D106,$C$6:$AJ$991,4,))*$F106</f>
        <v>0</v>
      </c>
      <c r="V106" s="25">
        <f>(VLOOKUP($D106,$C$6:$AJ$991,20,)/VLOOKUP($D106,$C$6:$AJ$991,4,))*$F106</f>
        <v>0</v>
      </c>
      <c r="W106" s="25">
        <f>SUM(G106:V106)</f>
        <v>44929599.119095311</v>
      </c>
      <c r="X106" s="120" t="str">
        <f>IF(ABS(W106-F106)&lt;1,"ok","err")</f>
        <v>ok</v>
      </c>
    </row>
    <row r="108" spans="1:25" x14ac:dyDescent="0.2">
      <c r="A108" s="26" t="s">
        <v>77</v>
      </c>
      <c r="C108" s="114" t="s">
        <v>78</v>
      </c>
      <c r="F108" s="31">
        <f>SUM(F102:F107)</f>
        <v>373470159.87469417</v>
      </c>
      <c r="G108" s="31">
        <f t="shared" ref="G108:V108" si="43">SUM(G102:G107)</f>
        <v>0</v>
      </c>
      <c r="H108" s="31">
        <f t="shared" si="43"/>
        <v>0</v>
      </c>
      <c r="I108" s="31">
        <f t="shared" si="43"/>
        <v>45935529.569727696</v>
      </c>
      <c r="J108" s="31">
        <f t="shared" si="43"/>
        <v>0</v>
      </c>
      <c r="K108" s="31">
        <f t="shared" si="43"/>
        <v>2498999.5934144463</v>
      </c>
      <c r="L108" s="31">
        <f t="shared" si="43"/>
        <v>11839160.925249914</v>
      </c>
      <c r="M108" s="31">
        <f t="shared" si="43"/>
        <v>0</v>
      </c>
      <c r="N108" s="31">
        <f t="shared" si="43"/>
        <v>6708703.7578166202</v>
      </c>
      <c r="O108" s="31">
        <f t="shared" si="43"/>
        <v>137131309.90293568</v>
      </c>
      <c r="P108" s="31">
        <f t="shared" si="43"/>
        <v>0</v>
      </c>
      <c r="Q108" s="31">
        <f>SUM(Q102:Q107)</f>
        <v>15051613.426122703</v>
      </c>
      <c r="R108" s="31">
        <f>SUM(R102:R107)</f>
        <v>0</v>
      </c>
      <c r="S108" s="31">
        <f t="shared" si="43"/>
        <v>128789863.5646909</v>
      </c>
      <c r="T108" s="31">
        <f t="shared" si="43"/>
        <v>25514979.13473618</v>
      </c>
      <c r="U108" s="31">
        <f t="shared" si="43"/>
        <v>0</v>
      </c>
      <c r="V108" s="31">
        <f t="shared" si="43"/>
        <v>0</v>
      </c>
      <c r="W108" s="25">
        <f>SUM(G108:V108)</f>
        <v>373470159.87469417</v>
      </c>
      <c r="X108" s="120" t="str">
        <f>IF(ABS(W108-F108)&lt;1,"ok","err")</f>
        <v>ok</v>
      </c>
      <c r="Y108" s="124">
        <f>+W108-F108</f>
        <v>0</v>
      </c>
    </row>
    <row r="109" spans="1:25" x14ac:dyDescent="0.2">
      <c r="F109" s="31"/>
      <c r="G109" s="23"/>
      <c r="H109" s="23"/>
      <c r="I109" s="23"/>
      <c r="J109" s="23"/>
      <c r="K109" s="23"/>
      <c r="L109" s="23"/>
      <c r="M109" s="23"/>
      <c r="N109" s="23"/>
    </row>
    <row r="110" spans="1:25" x14ac:dyDescent="0.2">
      <c r="A110" s="23" t="s">
        <v>592</v>
      </c>
      <c r="C110" s="114" t="s">
        <v>593</v>
      </c>
      <c r="D110" s="114" t="s">
        <v>637</v>
      </c>
      <c r="F110" s="30">
        <v>53440.57</v>
      </c>
      <c r="G110" s="25">
        <f t="shared" ref="G110:G117" si="44">(VLOOKUP($D110,$C$6:$AJ$991,5,)/VLOOKUP($D110,$C$6:$AJ$991,4,))*$F110</f>
        <v>0</v>
      </c>
      <c r="H110" s="25">
        <f t="shared" ref="H110:H117" si="45">(VLOOKUP($D110,$C$6:$AJ$991,6,)/VLOOKUP($D110,$C$6:$AJ$991,4,))*$F110</f>
        <v>0</v>
      </c>
      <c r="I110" s="25">
        <f t="shared" ref="I110:I117" si="46">(VLOOKUP($D110,$C$6:$AJ$991,7,)/VLOOKUP($D110,$C$6:$AJ$991,4,))*$F110</f>
        <v>0</v>
      </c>
      <c r="J110" s="25">
        <f t="shared" ref="J110:J117" si="47">(VLOOKUP($D110,$C$6:$AJ$991,8,)/VLOOKUP($D110,$C$6:$AJ$991,4,))*$F110</f>
        <v>0</v>
      </c>
      <c r="K110" s="25">
        <f t="shared" ref="K110:K117" si="48">(VLOOKUP($D110,$C$6:$AJ$991,9,)/VLOOKUP($D110,$C$6:$AJ$991,4,))*$F110</f>
        <v>0</v>
      </c>
      <c r="L110" s="25">
        <f t="shared" ref="L110:L117" si="49">(VLOOKUP($D110,$C$6:$AJ$991,10,)/VLOOKUP($D110,$C$6:$AJ$991,4,))*$F110</f>
        <v>0</v>
      </c>
      <c r="M110" s="25">
        <f t="shared" ref="M110:M117" si="50">(VLOOKUP($D110,$C$6:$AJ$991,11,)/VLOOKUP($D110,$C$6:$AJ$991,4,))*$F110</f>
        <v>0</v>
      </c>
      <c r="N110" s="25">
        <f t="shared" ref="N110:N117" si="51">(VLOOKUP($D110,$C$6:$AJ$991,12,)/VLOOKUP($D110,$C$6:$AJ$991,4,))*$F110</f>
        <v>0</v>
      </c>
      <c r="O110" s="25">
        <f t="shared" ref="O110:O117" si="52">(VLOOKUP($D110,$C$6:$AJ$991,13,)/VLOOKUP($D110,$C$6:$AJ$991,4,))*$F110</f>
        <v>25644.617310601472</v>
      </c>
      <c r="P110" s="25">
        <f t="shared" ref="P110:P117" si="53">(VLOOKUP($D110,$C$6:$AJ$991,14,)/VLOOKUP($D110,$C$6:$AJ$991,4,))*$F110</f>
        <v>0</v>
      </c>
      <c r="Q110" s="25">
        <f t="shared" ref="Q110:Q117" si="54">(VLOOKUP($D110,$C$6:$AJ$991,15,)/VLOOKUP($D110,$C$6:$AJ$991,4,))*$F110</f>
        <v>2814.7683158079763</v>
      </c>
      <c r="R110" s="25">
        <f t="shared" ref="R110:R117" si="55">(VLOOKUP($D110,$C$6:$AJ$991,16,)/VLOOKUP($D110,$C$6:$AJ$991,4,))*$F110</f>
        <v>0</v>
      </c>
      <c r="S110" s="25">
        <f t="shared" ref="S110:S117" si="56">(VLOOKUP($D110,$C$6:$AJ$991,17,)/VLOOKUP($D110,$C$6:$AJ$991,4,))*$F110</f>
        <v>24981.184373590542</v>
      </c>
      <c r="T110" s="25">
        <f t="shared" ref="T110:T117" si="57">(VLOOKUP($D110,$C$6:$AJ$991,18,)/VLOOKUP($D110,$C$6:$AJ$991,4,))*$F110</f>
        <v>0</v>
      </c>
      <c r="U110" s="25">
        <f t="shared" ref="U110:U117" si="58">(VLOOKUP($D110,$C$6:$AJ$991,19,)/VLOOKUP($D110,$C$6:$AJ$991,4,))*$F110</f>
        <v>0</v>
      </c>
      <c r="V110" s="25">
        <f t="shared" ref="V110:V117" si="59">(VLOOKUP($D110,$C$6:$AJ$991,20,)/VLOOKUP($D110,$C$6:$AJ$991,4,))*$F110</f>
        <v>0</v>
      </c>
      <c r="W110" s="25">
        <f t="shared" ref="W110:W117" si="60">SUM(G110:V110)</f>
        <v>53440.569999999992</v>
      </c>
      <c r="X110" s="120" t="str">
        <f t="shared" ref="X110:X117" si="61">IF(ABS(W110-F110)&lt;1,"ok","err")</f>
        <v>ok</v>
      </c>
    </row>
    <row r="111" spans="1:25" x14ac:dyDescent="0.2">
      <c r="A111" s="23" t="s">
        <v>79</v>
      </c>
      <c r="C111" s="114" t="s">
        <v>80</v>
      </c>
      <c r="D111" s="114" t="s">
        <v>56</v>
      </c>
      <c r="F111" s="25">
        <v>221284687.98887199</v>
      </c>
      <c r="G111" s="25">
        <f t="shared" si="44"/>
        <v>0</v>
      </c>
      <c r="H111" s="25">
        <f t="shared" si="45"/>
        <v>0</v>
      </c>
      <c r="I111" s="25">
        <f t="shared" si="46"/>
        <v>29964584.462059777</v>
      </c>
      <c r="J111" s="25">
        <f t="shared" si="47"/>
        <v>0</v>
      </c>
      <c r="K111" s="25">
        <f t="shared" si="48"/>
        <v>1809298.8517236139</v>
      </c>
      <c r="L111" s="25">
        <f t="shared" si="49"/>
        <v>8571662.165882254</v>
      </c>
      <c r="M111" s="25">
        <f t="shared" si="50"/>
        <v>0</v>
      </c>
      <c r="N111" s="25">
        <f t="shared" si="51"/>
        <v>7339741.6733449819</v>
      </c>
      <c r="O111" s="25">
        <f t="shared" si="52"/>
        <v>75159273.297755748</v>
      </c>
      <c r="P111" s="25">
        <f t="shared" si="53"/>
        <v>0</v>
      </c>
      <c r="Q111" s="25">
        <f t="shared" si="54"/>
        <v>8249526.1502778679</v>
      </c>
      <c r="R111" s="25">
        <f t="shared" si="55"/>
        <v>0</v>
      </c>
      <c r="S111" s="25">
        <f t="shared" si="56"/>
        <v>73214883.298731521</v>
      </c>
      <c r="T111" s="25">
        <f t="shared" si="57"/>
        <v>16975718.089096237</v>
      </c>
      <c r="U111" s="25">
        <f t="shared" si="58"/>
        <v>0</v>
      </c>
      <c r="V111" s="25">
        <f t="shared" si="59"/>
        <v>0</v>
      </c>
      <c r="W111" s="25">
        <f t="shared" si="60"/>
        <v>221284687.98887202</v>
      </c>
      <c r="X111" s="120" t="str">
        <f t="shared" si="61"/>
        <v>ok</v>
      </c>
    </row>
    <row r="112" spans="1:25" hidden="1" x14ac:dyDescent="0.2">
      <c r="A112" s="23" t="s">
        <v>738</v>
      </c>
      <c r="D112" s="114" t="s">
        <v>56</v>
      </c>
      <c r="F112" s="25">
        <v>0</v>
      </c>
      <c r="G112" s="25">
        <f t="shared" si="44"/>
        <v>0</v>
      </c>
      <c r="H112" s="25">
        <f t="shared" si="45"/>
        <v>0</v>
      </c>
      <c r="I112" s="25">
        <f t="shared" si="46"/>
        <v>0</v>
      </c>
      <c r="J112" s="25">
        <f t="shared" si="47"/>
        <v>0</v>
      </c>
      <c r="K112" s="25">
        <f t="shared" si="48"/>
        <v>0</v>
      </c>
      <c r="L112" s="25">
        <f t="shared" si="49"/>
        <v>0</v>
      </c>
      <c r="M112" s="25">
        <f t="shared" si="50"/>
        <v>0</v>
      </c>
      <c r="N112" s="25">
        <f t="shared" si="51"/>
        <v>0</v>
      </c>
      <c r="O112" s="25">
        <f t="shared" si="52"/>
        <v>0</v>
      </c>
      <c r="P112" s="25">
        <f t="shared" si="53"/>
        <v>0</v>
      </c>
      <c r="Q112" s="25">
        <f t="shared" si="54"/>
        <v>0</v>
      </c>
      <c r="R112" s="25">
        <f t="shared" si="55"/>
        <v>0</v>
      </c>
      <c r="S112" s="25">
        <f t="shared" si="56"/>
        <v>0</v>
      </c>
      <c r="T112" s="25">
        <f t="shared" si="57"/>
        <v>0</v>
      </c>
      <c r="U112" s="25">
        <f t="shared" si="58"/>
        <v>0</v>
      </c>
      <c r="V112" s="25">
        <f t="shared" si="59"/>
        <v>0</v>
      </c>
      <c r="W112" s="25">
        <f t="shared" si="60"/>
        <v>0</v>
      </c>
      <c r="X112" s="120" t="str">
        <f t="shared" si="61"/>
        <v>ok</v>
      </c>
    </row>
    <row r="113" spans="1:24" hidden="1" x14ac:dyDescent="0.2">
      <c r="A113" s="23" t="s">
        <v>739</v>
      </c>
      <c r="D113" s="114" t="s">
        <v>78</v>
      </c>
      <c r="F113" s="25">
        <v>0</v>
      </c>
      <c r="G113" s="25">
        <f t="shared" si="44"/>
        <v>0</v>
      </c>
      <c r="H113" s="25">
        <f t="shared" si="45"/>
        <v>0</v>
      </c>
      <c r="I113" s="25">
        <f t="shared" si="46"/>
        <v>0</v>
      </c>
      <c r="J113" s="25">
        <f t="shared" si="47"/>
        <v>0</v>
      </c>
      <c r="K113" s="25">
        <f t="shared" si="48"/>
        <v>0</v>
      </c>
      <c r="L113" s="25">
        <f t="shared" si="49"/>
        <v>0</v>
      </c>
      <c r="M113" s="25">
        <f t="shared" si="50"/>
        <v>0</v>
      </c>
      <c r="N113" s="25">
        <f t="shared" si="51"/>
        <v>0</v>
      </c>
      <c r="O113" s="25">
        <f t="shared" si="52"/>
        <v>0</v>
      </c>
      <c r="P113" s="25">
        <f t="shared" si="53"/>
        <v>0</v>
      </c>
      <c r="Q113" s="25">
        <f t="shared" si="54"/>
        <v>0</v>
      </c>
      <c r="R113" s="25">
        <f t="shared" si="55"/>
        <v>0</v>
      </c>
      <c r="S113" s="25">
        <f t="shared" si="56"/>
        <v>0</v>
      </c>
      <c r="T113" s="25">
        <f t="shared" si="57"/>
        <v>0</v>
      </c>
      <c r="U113" s="25">
        <f t="shared" si="58"/>
        <v>0</v>
      </c>
      <c r="V113" s="25">
        <f t="shared" si="59"/>
        <v>0</v>
      </c>
      <c r="W113" s="25">
        <f t="shared" si="60"/>
        <v>0</v>
      </c>
      <c r="X113" s="120" t="str">
        <f t="shared" si="61"/>
        <v>ok</v>
      </c>
    </row>
    <row r="114" spans="1:24" hidden="1" x14ac:dyDescent="0.2">
      <c r="A114" s="192" t="s">
        <v>741</v>
      </c>
      <c r="D114" s="114" t="s">
        <v>78</v>
      </c>
      <c r="F114" s="25">
        <v>0</v>
      </c>
      <c r="G114" s="25">
        <f t="shared" si="44"/>
        <v>0</v>
      </c>
      <c r="H114" s="25">
        <f t="shared" si="45"/>
        <v>0</v>
      </c>
      <c r="I114" s="25">
        <f t="shared" si="46"/>
        <v>0</v>
      </c>
      <c r="J114" s="25">
        <f t="shared" si="47"/>
        <v>0</v>
      </c>
      <c r="K114" s="25">
        <f t="shared" si="48"/>
        <v>0</v>
      </c>
      <c r="L114" s="25">
        <f t="shared" si="49"/>
        <v>0</v>
      </c>
      <c r="M114" s="25">
        <f t="shared" si="50"/>
        <v>0</v>
      </c>
      <c r="N114" s="25">
        <f t="shared" si="51"/>
        <v>0</v>
      </c>
      <c r="O114" s="25">
        <f t="shared" si="52"/>
        <v>0</v>
      </c>
      <c r="P114" s="25">
        <f t="shared" si="53"/>
        <v>0</v>
      </c>
      <c r="Q114" s="25">
        <f t="shared" si="54"/>
        <v>0</v>
      </c>
      <c r="R114" s="25">
        <f t="shared" si="55"/>
        <v>0</v>
      </c>
      <c r="S114" s="25">
        <f t="shared" si="56"/>
        <v>0</v>
      </c>
      <c r="T114" s="25">
        <f t="shared" si="57"/>
        <v>0</v>
      </c>
      <c r="U114" s="25">
        <f t="shared" si="58"/>
        <v>0</v>
      </c>
      <c r="V114" s="25">
        <f t="shared" si="59"/>
        <v>0</v>
      </c>
      <c r="W114" s="25">
        <f t="shared" si="60"/>
        <v>0</v>
      </c>
      <c r="X114" s="120" t="str">
        <f t="shared" si="61"/>
        <v>ok</v>
      </c>
    </row>
    <row r="115" spans="1:24" hidden="1" x14ac:dyDescent="0.2">
      <c r="A115" s="192" t="s">
        <v>742</v>
      </c>
      <c r="D115" s="114" t="s">
        <v>78</v>
      </c>
      <c r="F115" s="25">
        <v>0</v>
      </c>
      <c r="G115" s="25">
        <f t="shared" si="44"/>
        <v>0</v>
      </c>
      <c r="H115" s="25">
        <f t="shared" si="45"/>
        <v>0</v>
      </c>
      <c r="I115" s="25">
        <f t="shared" si="46"/>
        <v>0</v>
      </c>
      <c r="J115" s="25">
        <f t="shared" si="47"/>
        <v>0</v>
      </c>
      <c r="K115" s="25">
        <f t="shared" si="48"/>
        <v>0</v>
      </c>
      <c r="L115" s="25">
        <f t="shared" si="49"/>
        <v>0</v>
      </c>
      <c r="M115" s="25">
        <f t="shared" si="50"/>
        <v>0</v>
      </c>
      <c r="N115" s="25">
        <f t="shared" si="51"/>
        <v>0</v>
      </c>
      <c r="O115" s="25">
        <f t="shared" si="52"/>
        <v>0</v>
      </c>
      <c r="P115" s="25">
        <f t="shared" si="53"/>
        <v>0</v>
      </c>
      <c r="Q115" s="25">
        <f t="shared" si="54"/>
        <v>0</v>
      </c>
      <c r="R115" s="25">
        <f t="shared" si="55"/>
        <v>0</v>
      </c>
      <c r="S115" s="25">
        <f t="shared" si="56"/>
        <v>0</v>
      </c>
      <c r="T115" s="25">
        <f t="shared" si="57"/>
        <v>0</v>
      </c>
      <c r="U115" s="25">
        <f t="shared" si="58"/>
        <v>0</v>
      </c>
      <c r="V115" s="25">
        <f t="shared" si="59"/>
        <v>0</v>
      </c>
      <c r="W115" s="25">
        <f t="shared" si="60"/>
        <v>0</v>
      </c>
      <c r="X115" s="120" t="str">
        <f t="shared" si="61"/>
        <v>ok</v>
      </c>
    </row>
    <row r="116" spans="1:24" hidden="1" x14ac:dyDescent="0.2">
      <c r="A116" s="192" t="s">
        <v>743</v>
      </c>
      <c r="D116" s="114" t="s">
        <v>78</v>
      </c>
      <c r="F116" s="25">
        <v>0</v>
      </c>
      <c r="G116" s="25">
        <f t="shared" si="44"/>
        <v>0</v>
      </c>
      <c r="H116" s="25">
        <f t="shared" si="45"/>
        <v>0</v>
      </c>
      <c r="I116" s="25">
        <f t="shared" si="46"/>
        <v>0</v>
      </c>
      <c r="J116" s="25">
        <f t="shared" si="47"/>
        <v>0</v>
      </c>
      <c r="K116" s="25">
        <f t="shared" si="48"/>
        <v>0</v>
      </c>
      <c r="L116" s="25">
        <f t="shared" si="49"/>
        <v>0</v>
      </c>
      <c r="M116" s="25">
        <f t="shared" si="50"/>
        <v>0</v>
      </c>
      <c r="N116" s="25">
        <f t="shared" si="51"/>
        <v>0</v>
      </c>
      <c r="O116" s="25">
        <f t="shared" si="52"/>
        <v>0</v>
      </c>
      <c r="P116" s="25">
        <f t="shared" si="53"/>
        <v>0</v>
      </c>
      <c r="Q116" s="25">
        <f t="shared" si="54"/>
        <v>0</v>
      </c>
      <c r="R116" s="25">
        <f t="shared" si="55"/>
        <v>0</v>
      </c>
      <c r="S116" s="25">
        <f t="shared" si="56"/>
        <v>0</v>
      </c>
      <c r="T116" s="25">
        <f t="shared" si="57"/>
        <v>0</v>
      </c>
      <c r="U116" s="25">
        <f t="shared" si="58"/>
        <v>0</v>
      </c>
      <c r="V116" s="25">
        <f t="shared" si="59"/>
        <v>0</v>
      </c>
      <c r="W116" s="25">
        <f t="shared" si="60"/>
        <v>0</v>
      </c>
      <c r="X116" s="120" t="str">
        <f t="shared" si="61"/>
        <v>ok</v>
      </c>
    </row>
    <row r="117" spans="1:24" hidden="1" x14ac:dyDescent="0.2">
      <c r="A117" s="23" t="s">
        <v>740</v>
      </c>
      <c r="C117" s="114" t="s">
        <v>81</v>
      </c>
      <c r="D117" s="114" t="s">
        <v>56</v>
      </c>
      <c r="F117" s="25">
        <v>0</v>
      </c>
      <c r="G117" s="25">
        <f t="shared" si="44"/>
        <v>0</v>
      </c>
      <c r="H117" s="25">
        <f t="shared" si="45"/>
        <v>0</v>
      </c>
      <c r="I117" s="25">
        <f t="shared" si="46"/>
        <v>0</v>
      </c>
      <c r="J117" s="25">
        <f t="shared" si="47"/>
        <v>0</v>
      </c>
      <c r="K117" s="25">
        <f t="shared" si="48"/>
        <v>0</v>
      </c>
      <c r="L117" s="25">
        <f t="shared" si="49"/>
        <v>0</v>
      </c>
      <c r="M117" s="25">
        <f t="shared" si="50"/>
        <v>0</v>
      </c>
      <c r="N117" s="25">
        <f t="shared" si="51"/>
        <v>0</v>
      </c>
      <c r="O117" s="25">
        <f t="shared" si="52"/>
        <v>0</v>
      </c>
      <c r="P117" s="25">
        <f t="shared" si="53"/>
        <v>0</v>
      </c>
      <c r="Q117" s="25">
        <f t="shared" si="54"/>
        <v>0</v>
      </c>
      <c r="R117" s="25">
        <f t="shared" si="55"/>
        <v>0</v>
      </c>
      <c r="S117" s="25">
        <f t="shared" si="56"/>
        <v>0</v>
      </c>
      <c r="T117" s="25">
        <f t="shared" si="57"/>
        <v>0</v>
      </c>
      <c r="U117" s="25">
        <f t="shared" si="58"/>
        <v>0</v>
      </c>
      <c r="V117" s="25">
        <f t="shared" si="59"/>
        <v>0</v>
      </c>
      <c r="W117" s="25">
        <f t="shared" si="60"/>
        <v>0</v>
      </c>
      <c r="X117" s="120" t="str">
        <f t="shared" si="61"/>
        <v>ok</v>
      </c>
    </row>
    <row r="118" spans="1:24" x14ac:dyDescent="0.2">
      <c r="G118" s="23"/>
      <c r="H118" s="23"/>
      <c r="I118" s="23"/>
      <c r="J118" s="23"/>
      <c r="K118" s="23"/>
      <c r="L118" s="23"/>
      <c r="M118" s="23"/>
      <c r="N118" s="23"/>
    </row>
    <row r="119" spans="1:24" x14ac:dyDescent="0.2">
      <c r="A119" s="13" t="s">
        <v>594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25"/>
      <c r="X119" s="120"/>
    </row>
    <row r="121" spans="1:24" x14ac:dyDescent="0.2">
      <c r="A121" s="23" t="s">
        <v>82</v>
      </c>
      <c r="C121" s="114" t="s">
        <v>83</v>
      </c>
      <c r="D121" s="114" t="s">
        <v>56</v>
      </c>
      <c r="F121" s="30">
        <v>323951.18574307708</v>
      </c>
      <c r="G121" s="25">
        <f>(VLOOKUP($D121,$C$6:$AJ$991,5,)/VLOOKUP($D121,$C$6:$AJ$991,4,))*$F121</f>
        <v>0</v>
      </c>
      <c r="H121" s="25">
        <f>(VLOOKUP($D121,$C$6:$AJ$991,6,)/VLOOKUP($D121,$C$6:$AJ$991,4,))*$F121</f>
        <v>0</v>
      </c>
      <c r="I121" s="25">
        <f>(VLOOKUP($D121,$C$6:$AJ$991,7,)/VLOOKUP($D121,$C$6:$AJ$991,4,))*$F121</f>
        <v>43866.852040259553</v>
      </c>
      <c r="J121" s="25">
        <f>(VLOOKUP($D121,$C$6:$AJ$991,8,)/VLOOKUP($D121,$C$6:$AJ$991,4,))*$F121</f>
        <v>0</v>
      </c>
      <c r="K121" s="25">
        <f>(VLOOKUP($D121,$C$6:$AJ$991,9,)/VLOOKUP($D121,$C$6:$AJ$991,4,))*$F121</f>
        <v>2648.7350467237375</v>
      </c>
      <c r="L121" s="25">
        <f>(VLOOKUP($D121,$C$6:$AJ$991,10,)/VLOOKUP($D121,$C$6:$AJ$991,4,))*$F121</f>
        <v>12548.541644084604</v>
      </c>
      <c r="M121" s="25">
        <f>(VLOOKUP($D121,$C$6:$AJ$991,11,)/VLOOKUP($D121,$C$6:$AJ$991,4,))*$F121</f>
        <v>0</v>
      </c>
      <c r="N121" s="25">
        <f>(VLOOKUP($D121,$C$6:$AJ$991,12,)/VLOOKUP($D121,$C$6:$AJ$991,4,))*$F121</f>
        <v>10745.063473382103</v>
      </c>
      <c r="O121" s="25">
        <f>(VLOOKUP($D121,$C$6:$AJ$991,13,)/VLOOKUP($D121,$C$6:$AJ$991,4,))*$F121</f>
        <v>110029.91632941354</v>
      </c>
      <c r="P121" s="25">
        <f>(VLOOKUP($D121,$C$6:$AJ$991,14,)/VLOOKUP($D121,$C$6:$AJ$991,4,))*$F121</f>
        <v>0</v>
      </c>
      <c r="Q121" s="25">
        <f>(VLOOKUP($D121,$C$6:$AJ$991,15,)/VLOOKUP($D121,$C$6:$AJ$991,4,))*$F121</f>
        <v>12076.94848879661</v>
      </c>
      <c r="R121" s="25">
        <f>(VLOOKUP($D121,$C$6:$AJ$991,16,)/VLOOKUP($D121,$C$6:$AJ$991,4,))*$F121</f>
        <v>0</v>
      </c>
      <c r="S121" s="25">
        <f>(VLOOKUP($D121,$C$6:$AJ$991,17,)/VLOOKUP($D121,$C$6:$AJ$991,4,))*$F121</f>
        <v>107183.41370216191</v>
      </c>
      <c r="T121" s="25">
        <f>(VLOOKUP($D121,$C$6:$AJ$991,18,)/VLOOKUP($D121,$C$6:$AJ$991,4,))*$F121</f>
        <v>24851.715018255032</v>
      </c>
      <c r="U121" s="25">
        <f>(VLOOKUP($D121,$C$6:$AJ$991,19,)/VLOOKUP($D121,$C$6:$AJ$991,4,))*$F121</f>
        <v>0</v>
      </c>
      <c r="V121" s="25">
        <f>(VLOOKUP($D121,$C$6:$AJ$991,20,)/VLOOKUP($D121,$C$6:$AJ$991,4,))*$F121</f>
        <v>0</v>
      </c>
      <c r="W121" s="25">
        <f>SUM(G121:V121)</f>
        <v>323951.18574307713</v>
      </c>
      <c r="X121" s="120" t="str">
        <f>IF(ABS(W121-F121)&lt;1,"ok","err")</f>
        <v>ok</v>
      </c>
    </row>
    <row r="122" spans="1:24" x14ac:dyDescent="0.2">
      <c r="A122" s="23" t="s">
        <v>84</v>
      </c>
      <c r="C122" s="114" t="s">
        <v>85</v>
      </c>
      <c r="D122" s="114" t="s">
        <v>56</v>
      </c>
      <c r="F122" s="25">
        <v>2521950.4200675171</v>
      </c>
      <c r="G122" s="25">
        <f>(VLOOKUP($D122,$C$6:$AJ$991,5,)/VLOOKUP($D122,$C$6:$AJ$991,4,))*$F122</f>
        <v>0</v>
      </c>
      <c r="H122" s="25">
        <f>(VLOOKUP($D122,$C$6:$AJ$991,6,)/VLOOKUP($D122,$C$6:$AJ$991,4,))*$F122</f>
        <v>0</v>
      </c>
      <c r="I122" s="25">
        <f>(VLOOKUP($D122,$C$6:$AJ$991,7,)/VLOOKUP($D122,$C$6:$AJ$991,4,))*$F122</f>
        <v>341502.14846786187</v>
      </c>
      <c r="J122" s="25">
        <f>(VLOOKUP($D122,$C$6:$AJ$991,8,)/VLOOKUP($D122,$C$6:$AJ$991,4,))*$F122</f>
        <v>0</v>
      </c>
      <c r="K122" s="25">
        <f>(VLOOKUP($D122,$C$6:$AJ$991,9,)/VLOOKUP($D122,$C$6:$AJ$991,4,))*$F122</f>
        <v>20620.324165228765</v>
      </c>
      <c r="L122" s="25">
        <f>(VLOOKUP($D122,$C$6:$AJ$991,10,)/VLOOKUP($D122,$C$6:$AJ$991,4,))*$F122</f>
        <v>97690.026347465522</v>
      </c>
      <c r="M122" s="25">
        <f>(VLOOKUP($D122,$C$6:$AJ$991,11,)/VLOOKUP($D122,$C$6:$AJ$991,4,))*$F122</f>
        <v>0</v>
      </c>
      <c r="N122" s="25">
        <f>(VLOOKUP($D122,$C$6:$AJ$991,12,)/VLOOKUP($D122,$C$6:$AJ$991,4,))*$F122</f>
        <v>83650.002015549748</v>
      </c>
      <c r="O122" s="25">
        <f>(VLOOKUP($D122,$C$6:$AJ$991,13,)/VLOOKUP($D122,$C$6:$AJ$991,4,))*$F122</f>
        <v>856579.65125348605</v>
      </c>
      <c r="P122" s="25">
        <f>(VLOOKUP($D122,$C$6:$AJ$991,14,)/VLOOKUP($D122,$C$6:$AJ$991,4,))*$F122</f>
        <v>0</v>
      </c>
      <c r="Q122" s="25">
        <f>(VLOOKUP($D122,$C$6:$AJ$991,15,)/VLOOKUP($D122,$C$6:$AJ$991,4,))*$F122</f>
        <v>94018.68755192621</v>
      </c>
      <c r="R122" s="25">
        <f>(VLOOKUP($D122,$C$6:$AJ$991,16,)/VLOOKUP($D122,$C$6:$AJ$991,4,))*$F122</f>
        <v>0</v>
      </c>
      <c r="S122" s="25">
        <f>(VLOOKUP($D122,$C$6:$AJ$991,17,)/VLOOKUP($D122,$C$6:$AJ$991,4,))*$F122</f>
        <v>834419.71231066668</v>
      </c>
      <c r="T122" s="25">
        <f>(VLOOKUP($D122,$C$6:$AJ$991,18,)/VLOOKUP($D122,$C$6:$AJ$991,4,))*$F122</f>
        <v>193469.86795533245</v>
      </c>
      <c r="U122" s="25">
        <f>(VLOOKUP($D122,$C$6:$AJ$991,19,)/VLOOKUP($D122,$C$6:$AJ$991,4,))*$F122</f>
        <v>0</v>
      </c>
      <c r="V122" s="25">
        <f>(VLOOKUP($D122,$C$6:$AJ$991,20,)/VLOOKUP($D122,$C$6:$AJ$991,4,))*$F122</f>
        <v>0</v>
      </c>
      <c r="W122" s="25">
        <f>SUM(G122:V122)</f>
        <v>2521950.4200675171</v>
      </c>
      <c r="X122" s="120" t="str">
        <f>IF(ABS(W122-F122)&lt;1,"ok","err")</f>
        <v>ok</v>
      </c>
    </row>
    <row r="123" spans="1:24" x14ac:dyDescent="0.2">
      <c r="A123" s="23" t="s">
        <v>86</v>
      </c>
      <c r="C123" s="114" t="s">
        <v>87</v>
      </c>
      <c r="D123" s="114" t="s">
        <v>25</v>
      </c>
      <c r="F123" s="25">
        <v>24895211.389706697</v>
      </c>
      <c r="G123" s="25">
        <f>(VLOOKUP($D123,$C$6:$AJ$991,5,)/VLOOKUP($D123,$C$6:$AJ$991,4,))*$F123</f>
        <v>0</v>
      </c>
      <c r="H123" s="25">
        <f>(VLOOKUP($D123,$C$6:$AJ$991,6,)/VLOOKUP($D123,$C$6:$AJ$991,4,))*$F123</f>
        <v>0</v>
      </c>
      <c r="I123" s="25">
        <f>(VLOOKUP($D123,$C$6:$AJ$991,7,)/VLOOKUP($D123,$C$6:$AJ$991,4,))*$F123</f>
        <v>24895211.389706697</v>
      </c>
      <c r="J123" s="25">
        <f>(VLOOKUP($D123,$C$6:$AJ$991,8,)/VLOOKUP($D123,$C$6:$AJ$991,4,))*$F123</f>
        <v>0</v>
      </c>
      <c r="K123" s="25">
        <f>(VLOOKUP($D123,$C$6:$AJ$991,9,)/VLOOKUP($D123,$C$6:$AJ$991,4,))*$F123</f>
        <v>0</v>
      </c>
      <c r="L123" s="25">
        <f>(VLOOKUP($D123,$C$6:$AJ$991,10,)/VLOOKUP($D123,$C$6:$AJ$991,4,))*$F123</f>
        <v>0</v>
      </c>
      <c r="M123" s="25">
        <f>(VLOOKUP($D123,$C$6:$AJ$991,11,)/VLOOKUP($D123,$C$6:$AJ$991,4,))*$F123</f>
        <v>0</v>
      </c>
      <c r="N123" s="25">
        <f>(VLOOKUP($D123,$C$6:$AJ$991,12,)/VLOOKUP($D123,$C$6:$AJ$991,4,))*$F123</f>
        <v>0</v>
      </c>
      <c r="O123" s="25">
        <f>(VLOOKUP($D123,$C$6:$AJ$991,13,)/VLOOKUP($D123,$C$6:$AJ$991,4,))*$F123</f>
        <v>0</v>
      </c>
      <c r="P123" s="25">
        <f>(VLOOKUP($D123,$C$6:$AJ$991,14,)/VLOOKUP($D123,$C$6:$AJ$991,4,))*$F123</f>
        <v>0</v>
      </c>
      <c r="Q123" s="25">
        <f>(VLOOKUP($D123,$C$6:$AJ$991,15,)/VLOOKUP($D123,$C$6:$AJ$991,4,))*$F123</f>
        <v>0</v>
      </c>
      <c r="R123" s="25">
        <f>(VLOOKUP($D123,$C$6:$AJ$991,16,)/VLOOKUP($D123,$C$6:$AJ$991,4,))*$F123</f>
        <v>0</v>
      </c>
      <c r="S123" s="25">
        <f>(VLOOKUP($D123,$C$6:$AJ$991,17,)/VLOOKUP($D123,$C$6:$AJ$991,4,))*$F123</f>
        <v>0</v>
      </c>
      <c r="T123" s="25">
        <f>(VLOOKUP($D123,$C$6:$AJ$991,18,)/VLOOKUP($D123,$C$6:$AJ$991,4,))*$F123</f>
        <v>0</v>
      </c>
      <c r="U123" s="25">
        <f>(VLOOKUP($D123,$C$6:$AJ$991,19,)/VLOOKUP($D123,$C$6:$AJ$991,4,))*$F123</f>
        <v>0</v>
      </c>
      <c r="V123" s="25">
        <f>(VLOOKUP($D123,$C$6:$AJ$991,20,)/VLOOKUP($D123,$C$6:$AJ$991,4,))*$F123</f>
        <v>0</v>
      </c>
      <c r="W123" s="25">
        <f>SUM(G123:V123)</f>
        <v>24895211.389706697</v>
      </c>
      <c r="X123" s="120" t="str">
        <f>IF(ABS(W123-F123)&lt;1,"ok","err")</f>
        <v>ok</v>
      </c>
    </row>
    <row r="124" spans="1:24" x14ac:dyDescent="0.2">
      <c r="A124" s="23" t="s">
        <v>88</v>
      </c>
      <c r="C124" s="114" t="s">
        <v>89</v>
      </c>
      <c r="D124" s="114" t="s">
        <v>90</v>
      </c>
      <c r="F124" s="25">
        <v>9932408.8288240321</v>
      </c>
      <c r="G124" s="25">
        <f>(VLOOKUP($D124,$C$6:$AJ$991,5,)/VLOOKUP($D124,$C$6:$AJ$991,4,))*$F124</f>
        <v>17092.484277896383</v>
      </c>
      <c r="H124" s="25">
        <f>(VLOOKUP($D124,$C$6:$AJ$991,6,)/VLOOKUP($D124,$C$6:$AJ$991,4,))*$F124</f>
        <v>128499.3749886827</v>
      </c>
      <c r="I124" s="25">
        <f>(VLOOKUP($D124,$C$6:$AJ$991,7,)/VLOOKUP($D124,$C$6:$AJ$991,4,))*$F124</f>
        <v>574634.58141014969</v>
      </c>
      <c r="J124" s="25">
        <f>(VLOOKUP($D124,$C$6:$AJ$991,8,)/VLOOKUP($D124,$C$6:$AJ$991,4,))*$F124</f>
        <v>1398815.974088432</v>
      </c>
      <c r="K124" s="25">
        <f>(VLOOKUP($D124,$C$6:$AJ$991,9,)/VLOOKUP($D124,$C$6:$AJ$991,4,))*$F124</f>
        <v>150464.1000813664</v>
      </c>
      <c r="L124" s="25">
        <f>(VLOOKUP($D124,$C$6:$AJ$991,10,)/VLOOKUP($D124,$C$6:$AJ$991,4,))*$F124</f>
        <v>712832.72675618017</v>
      </c>
      <c r="M124" s="25">
        <f>(VLOOKUP($D124,$C$6:$AJ$991,11,)/VLOOKUP($D124,$C$6:$AJ$991,4,))*$F124</f>
        <v>231676.10033752577</v>
      </c>
      <c r="N124" s="25">
        <f>(VLOOKUP($D124,$C$6:$AJ$991,12,)/VLOOKUP($D124,$C$6:$AJ$991,4,))*$F124</f>
        <v>468397.21967547917</v>
      </c>
      <c r="O124" s="25">
        <f>(VLOOKUP($D124,$C$6:$AJ$991,13,)/VLOOKUP($D124,$C$6:$AJ$991,4,))*$F124</f>
        <v>2512657.0386372469</v>
      </c>
      <c r="P124" s="25">
        <f>(VLOOKUP($D124,$C$6:$AJ$991,14,)/VLOOKUP($D124,$C$6:$AJ$991,4,))*$F124</f>
        <v>0</v>
      </c>
      <c r="Q124" s="25">
        <f>(VLOOKUP($D124,$C$6:$AJ$991,15,)/VLOOKUP($D124,$C$6:$AJ$991,4,))*$F124</f>
        <v>275790.71799695882</v>
      </c>
      <c r="R124" s="25">
        <f>(VLOOKUP($D124,$C$6:$AJ$991,16,)/VLOOKUP($D124,$C$6:$AJ$991,4,))*$F124</f>
        <v>0</v>
      </c>
      <c r="S124" s="25">
        <f>(VLOOKUP($D124,$C$6:$AJ$991,17,)/VLOOKUP($D124,$C$6:$AJ$991,4,))*$F124</f>
        <v>944227.12158161646</v>
      </c>
      <c r="T124" s="25">
        <f>(VLOOKUP($D124,$C$6:$AJ$991,18,)/VLOOKUP($D124,$C$6:$AJ$991,4,))*$F124</f>
        <v>605331.06163906842</v>
      </c>
      <c r="U124" s="25">
        <f>(VLOOKUP($D124,$C$6:$AJ$991,19,)/VLOOKUP($D124,$C$6:$AJ$991,4,))*$F124</f>
        <v>1808349.8864779996</v>
      </c>
      <c r="V124" s="25">
        <f>(VLOOKUP($D124,$C$6:$AJ$991,20,)/VLOOKUP($D124,$C$6:$AJ$991,4,))*$F124</f>
        <v>103640.44087543002</v>
      </c>
      <c r="W124" s="25">
        <f>SUM(G124:V124)</f>
        <v>9932408.8288240321</v>
      </c>
      <c r="X124" s="120" t="str">
        <f>IF(ABS(W124-F124)&lt;1,"ok","err")</f>
        <v>ok</v>
      </c>
    </row>
    <row r="125" spans="1:24" x14ac:dyDescent="0.2">
      <c r="F125" s="31"/>
    </row>
    <row r="126" spans="1:24" x14ac:dyDescent="0.2">
      <c r="A126" s="13" t="s">
        <v>183</v>
      </c>
    </row>
    <row r="128" spans="1:24" x14ac:dyDescent="0.2">
      <c r="A128" s="23" t="s">
        <v>184</v>
      </c>
      <c r="D128" s="114" t="s">
        <v>56</v>
      </c>
      <c r="F128" s="30">
        <v>0</v>
      </c>
      <c r="G128" s="25">
        <f>(VLOOKUP($D128,$C$6:$AJ$991,5,)/VLOOKUP($D128,$C$6:$AJ$991,4,))*$F128</f>
        <v>0</v>
      </c>
      <c r="H128" s="25">
        <f>(VLOOKUP($D128,$C$6:$AJ$991,6,)/VLOOKUP($D128,$C$6:$AJ$991,4,))*$F128</f>
        <v>0</v>
      </c>
      <c r="I128" s="25">
        <f>(VLOOKUP($D128,$C$6:$AJ$991,7,)/VLOOKUP($D128,$C$6:$AJ$991,4,))*$F128</f>
        <v>0</v>
      </c>
      <c r="J128" s="25">
        <f>(VLOOKUP($D128,$C$6:$AJ$991,8,)/VLOOKUP($D128,$C$6:$AJ$991,4,))*$F128</f>
        <v>0</v>
      </c>
      <c r="K128" s="25">
        <f>(VLOOKUP($D128,$C$6:$AJ$991,9,)/VLOOKUP($D128,$C$6:$AJ$991,4,))*$F128</f>
        <v>0</v>
      </c>
      <c r="L128" s="25">
        <f>(VLOOKUP($D128,$C$6:$AJ$991,10,)/VLOOKUP($D128,$C$6:$AJ$991,4,))*$F128</f>
        <v>0</v>
      </c>
      <c r="M128" s="25">
        <f>(VLOOKUP($D128,$C$6:$AJ$991,11,)/VLOOKUP($D128,$C$6:$AJ$991,4,))*$F128</f>
        <v>0</v>
      </c>
      <c r="N128" s="25">
        <f>(VLOOKUP($D128,$C$6:$AJ$991,12,)/VLOOKUP($D128,$C$6:$AJ$991,4,))*$F128</f>
        <v>0</v>
      </c>
      <c r="O128" s="25">
        <f>(VLOOKUP($D128,$C$6:$AJ$991,13,)/VLOOKUP($D128,$C$6:$AJ$991,4,))*$F128</f>
        <v>0</v>
      </c>
      <c r="P128" s="25">
        <f>(VLOOKUP($D128,$C$6:$AJ$991,14,)/VLOOKUP($D128,$C$6:$AJ$991,4,))*$F128</f>
        <v>0</v>
      </c>
      <c r="Q128" s="25">
        <f>(VLOOKUP($D128,$C$6:$AJ$991,15,)/VLOOKUP($D128,$C$6:$AJ$991,4,))*$F128</f>
        <v>0</v>
      </c>
      <c r="R128" s="25">
        <f>(VLOOKUP($D128,$C$6:$AJ$991,16,)/VLOOKUP($D128,$C$6:$AJ$991,4,))*$F128</f>
        <v>0</v>
      </c>
      <c r="S128" s="25">
        <f>(VLOOKUP($D128,$C$6:$AJ$991,17,)/VLOOKUP($D128,$C$6:$AJ$991,4,))*$F128</f>
        <v>0</v>
      </c>
      <c r="T128" s="25">
        <f>(VLOOKUP($D128,$C$6:$AJ$991,18,)/VLOOKUP($D128,$C$6:$AJ$991,4,))*$F128</f>
        <v>0</v>
      </c>
      <c r="U128" s="25">
        <f>(VLOOKUP($D128,$C$6:$AJ$991,19,)/VLOOKUP($D128,$C$6:$AJ$991,4,))*$F128</f>
        <v>0</v>
      </c>
      <c r="V128" s="25">
        <f>(VLOOKUP($D128,$C$6:$AJ$991,20,)/VLOOKUP($D128,$C$6:$AJ$991,4,))*$F128</f>
        <v>0</v>
      </c>
      <c r="W128" s="25">
        <f>SUM(G128:V128)</f>
        <v>0</v>
      </c>
      <c r="X128" s="120" t="str">
        <f>IF(ABS(W128-F128)&lt;1,"ok","err")</f>
        <v>ok</v>
      </c>
    </row>
    <row r="129" spans="1:24" x14ac:dyDescent="0.2">
      <c r="A129" s="23" t="s">
        <v>202</v>
      </c>
      <c r="D129" s="114" t="s">
        <v>56</v>
      </c>
      <c r="F129" s="25">
        <v>0</v>
      </c>
      <c r="G129" s="25">
        <f>(VLOOKUP($D129,$C$6:$AJ$991,5,)/VLOOKUP($D129,$C$6:$AJ$991,4,))*$F129</f>
        <v>0</v>
      </c>
      <c r="H129" s="25">
        <f>(VLOOKUP($D129,$C$6:$AJ$991,6,)/VLOOKUP($D129,$C$6:$AJ$991,4,))*$F129</f>
        <v>0</v>
      </c>
      <c r="I129" s="25">
        <f>(VLOOKUP($D129,$C$6:$AJ$991,7,)/VLOOKUP($D129,$C$6:$AJ$991,4,))*$F129</f>
        <v>0</v>
      </c>
      <c r="J129" s="25">
        <f>(VLOOKUP($D129,$C$6:$AJ$991,8,)/VLOOKUP($D129,$C$6:$AJ$991,4,))*$F129</f>
        <v>0</v>
      </c>
      <c r="K129" s="25">
        <f>(VLOOKUP($D129,$C$6:$AJ$991,9,)/VLOOKUP($D129,$C$6:$AJ$991,4,))*$F129</f>
        <v>0</v>
      </c>
      <c r="L129" s="25">
        <f>(VLOOKUP($D129,$C$6:$AJ$991,10,)/VLOOKUP($D129,$C$6:$AJ$991,4,))*$F129</f>
        <v>0</v>
      </c>
      <c r="M129" s="25">
        <f>(VLOOKUP($D129,$C$6:$AJ$991,11,)/VLOOKUP($D129,$C$6:$AJ$991,4,))*$F129</f>
        <v>0</v>
      </c>
      <c r="N129" s="25">
        <f>(VLOOKUP($D129,$C$6:$AJ$991,12,)/VLOOKUP($D129,$C$6:$AJ$991,4,))*$F129</f>
        <v>0</v>
      </c>
      <c r="O129" s="25">
        <f>(VLOOKUP($D129,$C$6:$AJ$991,13,)/VLOOKUP($D129,$C$6:$AJ$991,4,))*$F129</f>
        <v>0</v>
      </c>
      <c r="P129" s="25">
        <f>(VLOOKUP($D129,$C$6:$AJ$991,14,)/VLOOKUP($D129,$C$6:$AJ$991,4,))*$F129</f>
        <v>0</v>
      </c>
      <c r="Q129" s="25">
        <f>(VLOOKUP($D129,$C$6:$AJ$991,15,)/VLOOKUP($D129,$C$6:$AJ$991,4,))*$F129</f>
        <v>0</v>
      </c>
      <c r="R129" s="25">
        <f>(VLOOKUP($D129,$C$6:$AJ$991,16,)/VLOOKUP($D129,$C$6:$AJ$991,4,))*$F129</f>
        <v>0</v>
      </c>
      <c r="S129" s="25">
        <f>(VLOOKUP($D129,$C$6:$AJ$991,17,)/VLOOKUP($D129,$C$6:$AJ$991,4,))*$F129</f>
        <v>0</v>
      </c>
      <c r="T129" s="25">
        <f>(VLOOKUP($D129,$C$6:$AJ$991,18,)/VLOOKUP($D129,$C$6:$AJ$991,4,))*$F129</f>
        <v>0</v>
      </c>
      <c r="U129" s="25">
        <f>(VLOOKUP($D129,$C$6:$AJ$991,19,)/VLOOKUP($D129,$C$6:$AJ$991,4,))*$F129</f>
        <v>0</v>
      </c>
      <c r="V129" s="25">
        <f>(VLOOKUP($D129,$C$6:$AJ$991,20,)/VLOOKUP($D129,$C$6:$AJ$991,4,))*$F129</f>
        <v>0</v>
      </c>
      <c r="W129" s="25">
        <f>SUM(G129:V129)</f>
        <v>0</v>
      </c>
      <c r="X129" s="120" t="str">
        <f>IF(ABS(W129-F129)&lt;1,"ok","err")</f>
        <v>ok</v>
      </c>
    </row>
    <row r="130" spans="1:24" x14ac:dyDescent="0.2">
      <c r="A130" s="23" t="s">
        <v>399</v>
      </c>
      <c r="D130" s="114" t="s">
        <v>56</v>
      </c>
      <c r="F130" s="25">
        <v>0</v>
      </c>
      <c r="G130" s="25">
        <f>(VLOOKUP($D130,$C$6:$AJ$991,5,)/VLOOKUP($D130,$C$6:$AJ$991,4,))*$F130</f>
        <v>0</v>
      </c>
      <c r="H130" s="25">
        <f>(VLOOKUP($D130,$C$6:$AJ$991,6,)/VLOOKUP($D130,$C$6:$AJ$991,4,))*$F130</f>
        <v>0</v>
      </c>
      <c r="I130" s="25">
        <f>(VLOOKUP($D130,$C$6:$AJ$991,7,)/VLOOKUP($D130,$C$6:$AJ$991,4,))*$F130</f>
        <v>0</v>
      </c>
      <c r="J130" s="25">
        <f>(VLOOKUP($D130,$C$6:$AJ$991,8,)/VLOOKUP($D130,$C$6:$AJ$991,4,))*$F130</f>
        <v>0</v>
      </c>
      <c r="K130" s="25">
        <f>(VLOOKUP($D130,$C$6:$AJ$991,9,)/VLOOKUP($D130,$C$6:$AJ$991,4,))*$F130</f>
        <v>0</v>
      </c>
      <c r="L130" s="25">
        <f>(VLOOKUP($D130,$C$6:$AJ$991,10,)/VLOOKUP($D130,$C$6:$AJ$991,4,))*$F130</f>
        <v>0</v>
      </c>
      <c r="M130" s="25">
        <f>(VLOOKUP($D130,$C$6:$AJ$991,11,)/VLOOKUP($D130,$C$6:$AJ$991,4,))*$F130</f>
        <v>0</v>
      </c>
      <c r="N130" s="25">
        <f>(VLOOKUP($D130,$C$6:$AJ$991,12,)/VLOOKUP($D130,$C$6:$AJ$991,4,))*$F130</f>
        <v>0</v>
      </c>
      <c r="O130" s="25">
        <f>(VLOOKUP($D130,$C$6:$AJ$991,13,)/VLOOKUP($D130,$C$6:$AJ$991,4,))*$F130</f>
        <v>0</v>
      </c>
      <c r="P130" s="25">
        <f>(VLOOKUP($D130,$C$6:$AJ$991,14,)/VLOOKUP($D130,$C$6:$AJ$991,4,))*$F130</f>
        <v>0</v>
      </c>
      <c r="Q130" s="25">
        <f>(VLOOKUP($D130,$C$6:$AJ$991,15,)/VLOOKUP($D130,$C$6:$AJ$991,4,))*$F130</f>
        <v>0</v>
      </c>
      <c r="R130" s="25">
        <f>(VLOOKUP($D130,$C$6:$AJ$991,16,)/VLOOKUP($D130,$C$6:$AJ$991,4,))*$F130</f>
        <v>0</v>
      </c>
      <c r="S130" s="25">
        <f>(VLOOKUP($D130,$C$6:$AJ$991,17,)/VLOOKUP($D130,$C$6:$AJ$991,4,))*$F130</f>
        <v>0</v>
      </c>
      <c r="T130" s="25">
        <f>(VLOOKUP($D130,$C$6:$AJ$991,18,)/VLOOKUP($D130,$C$6:$AJ$991,4,))*$F130</f>
        <v>0</v>
      </c>
      <c r="U130" s="25">
        <f>(VLOOKUP($D130,$C$6:$AJ$991,19,)/VLOOKUP($D130,$C$6:$AJ$991,4,))*$F130</f>
        <v>0</v>
      </c>
      <c r="V130" s="25">
        <f>(VLOOKUP($D130,$C$6:$AJ$991,20,)/VLOOKUP($D130,$C$6:$AJ$991,4,))*$F130</f>
        <v>0</v>
      </c>
      <c r="W130" s="25">
        <f>SUM(G130:V130)</f>
        <v>0</v>
      </c>
      <c r="X130" s="120" t="str">
        <f>IF(ABS(W130-F130)&lt;1,"ok","err")</f>
        <v>ok</v>
      </c>
    </row>
    <row r="131" spans="1:24" x14ac:dyDescent="0.2">
      <c r="A131" s="23" t="s">
        <v>185</v>
      </c>
      <c r="D131" s="114" t="s">
        <v>56</v>
      </c>
      <c r="F131" s="25">
        <v>0</v>
      </c>
      <c r="G131" s="25">
        <f>(VLOOKUP($D131,$C$6:$AJ$991,5,)/VLOOKUP($D131,$C$6:$AJ$991,4,))*$F131</f>
        <v>0</v>
      </c>
      <c r="H131" s="25">
        <f>(VLOOKUP($D131,$C$6:$AJ$991,6,)/VLOOKUP($D131,$C$6:$AJ$991,4,))*$F131</f>
        <v>0</v>
      </c>
      <c r="I131" s="25">
        <f>(VLOOKUP($D131,$C$6:$AJ$991,7,)/VLOOKUP($D131,$C$6:$AJ$991,4,))*$F131</f>
        <v>0</v>
      </c>
      <c r="J131" s="25">
        <f>(VLOOKUP($D131,$C$6:$AJ$991,8,)/VLOOKUP($D131,$C$6:$AJ$991,4,))*$F131</f>
        <v>0</v>
      </c>
      <c r="K131" s="25">
        <f>(VLOOKUP($D131,$C$6:$AJ$991,9,)/VLOOKUP($D131,$C$6:$AJ$991,4,))*$F131</f>
        <v>0</v>
      </c>
      <c r="L131" s="25">
        <f>(VLOOKUP($D131,$C$6:$AJ$991,10,)/VLOOKUP($D131,$C$6:$AJ$991,4,))*$F131</f>
        <v>0</v>
      </c>
      <c r="M131" s="25">
        <f>(VLOOKUP($D131,$C$6:$AJ$991,11,)/VLOOKUP($D131,$C$6:$AJ$991,4,))*$F131</f>
        <v>0</v>
      </c>
      <c r="N131" s="25">
        <f>(VLOOKUP($D131,$C$6:$AJ$991,12,)/VLOOKUP($D131,$C$6:$AJ$991,4,))*$F131</f>
        <v>0</v>
      </c>
      <c r="O131" s="25">
        <f>(VLOOKUP($D131,$C$6:$AJ$991,13,)/VLOOKUP($D131,$C$6:$AJ$991,4,))*$F131</f>
        <v>0</v>
      </c>
      <c r="P131" s="25">
        <f>(VLOOKUP($D131,$C$6:$AJ$991,14,)/VLOOKUP($D131,$C$6:$AJ$991,4,))*$F131</f>
        <v>0</v>
      </c>
      <c r="Q131" s="25">
        <f>(VLOOKUP($D131,$C$6:$AJ$991,15,)/VLOOKUP($D131,$C$6:$AJ$991,4,))*$F131</f>
        <v>0</v>
      </c>
      <c r="R131" s="25">
        <f>(VLOOKUP($D131,$C$6:$AJ$991,16,)/VLOOKUP($D131,$C$6:$AJ$991,4,))*$F131</f>
        <v>0</v>
      </c>
      <c r="S131" s="25">
        <f>(VLOOKUP($D131,$C$6:$AJ$991,17,)/VLOOKUP($D131,$C$6:$AJ$991,4,))*$F131</f>
        <v>0</v>
      </c>
      <c r="T131" s="25">
        <f>(VLOOKUP($D131,$C$6:$AJ$991,18,)/VLOOKUP($D131,$C$6:$AJ$991,4,))*$F131</f>
        <v>0</v>
      </c>
      <c r="U131" s="25">
        <f>(VLOOKUP($D131,$C$6:$AJ$991,19,)/VLOOKUP($D131,$C$6:$AJ$991,4,))*$F131</f>
        <v>0</v>
      </c>
      <c r="V131" s="25">
        <f>(VLOOKUP($D131,$C$6:$AJ$991,20,)/VLOOKUP($D131,$C$6:$AJ$991,4,))*$F131</f>
        <v>0</v>
      </c>
      <c r="W131" s="25">
        <f>SUM(G131:V131)</f>
        <v>0</v>
      </c>
      <c r="X131" s="120" t="str">
        <f>IF(ABS(W131-F131)&lt;1,"ok","err")</f>
        <v>ok</v>
      </c>
    </row>
    <row r="133" spans="1:24" x14ac:dyDescent="0.2">
      <c r="A133" s="117" t="s">
        <v>91</v>
      </c>
      <c r="C133" s="114" t="s">
        <v>92</v>
      </c>
      <c r="F133" s="31">
        <f>F97-F108-SUM(F110:F117)+SUM(F121:F124)</f>
        <v>712384727.09200501</v>
      </c>
      <c r="G133" s="31">
        <f t="shared" ref="G133:V133" si="62">G97-G108-SUM(G110:G117)+SUM(G121:G124)</f>
        <v>17092.484277896383</v>
      </c>
      <c r="H133" s="31">
        <f t="shared" si="62"/>
        <v>128499.3749886827</v>
      </c>
      <c r="I133" s="31">
        <f t="shared" si="62"/>
        <v>134206511.84462966</v>
      </c>
      <c r="J133" s="31">
        <f t="shared" si="62"/>
        <v>1398815.974088432</v>
      </c>
      <c r="K133" s="31">
        <f t="shared" si="62"/>
        <v>7208768.6996744126</v>
      </c>
      <c r="L133" s="31">
        <f t="shared" si="62"/>
        <v>34151975.427791029</v>
      </c>
      <c r="M133" s="31">
        <f t="shared" si="62"/>
        <v>231676.10033752577</v>
      </c>
      <c r="N133" s="31">
        <f t="shared" si="62"/>
        <v>27668496.68266625</v>
      </c>
      <c r="O133" s="31">
        <f t="shared" si="62"/>
        <v>217677993.60439947</v>
      </c>
      <c r="P133" s="31">
        <f t="shared" si="62"/>
        <v>0</v>
      </c>
      <c r="Q133" s="31">
        <f t="shared" si="62"/>
        <v>23892464.918672029</v>
      </c>
      <c r="R133" s="31">
        <f t="shared" si="62"/>
        <v>0</v>
      </c>
      <c r="S133" s="31">
        <f t="shared" si="62"/>
        <v>210374130.08986315</v>
      </c>
      <c r="T133" s="31">
        <f t="shared" si="62"/>
        <v>53516311.563263133</v>
      </c>
      <c r="U133" s="31">
        <f t="shared" si="62"/>
        <v>1808349.8864779996</v>
      </c>
      <c r="V133" s="31">
        <f t="shared" si="62"/>
        <v>103640.44087543002</v>
      </c>
      <c r="W133" s="25">
        <f>SUM(G133:V133)</f>
        <v>712384727.09200501</v>
      </c>
      <c r="X133" s="120" t="str">
        <f>IF(ABS(W133-F133)&lt;1,"ok","err")</f>
        <v>ok</v>
      </c>
    </row>
    <row r="134" spans="1:24" x14ac:dyDescent="0.2">
      <c r="A134" s="117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25"/>
      <c r="X134" s="120"/>
    </row>
    <row r="135" spans="1:24" x14ac:dyDescent="0.2">
      <c r="A135" s="117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25"/>
      <c r="X135" s="120"/>
    </row>
    <row r="136" spans="1:24" x14ac:dyDescent="0.2">
      <c r="A136" s="117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25"/>
      <c r="X136" s="120"/>
    </row>
    <row r="137" spans="1:24" x14ac:dyDescent="0.2">
      <c r="A137" s="117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25"/>
      <c r="X137" s="120"/>
    </row>
    <row r="138" spans="1:24" x14ac:dyDescent="0.2">
      <c r="A138" s="117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25"/>
      <c r="X138" s="120"/>
    </row>
    <row r="139" spans="1:24" x14ac:dyDescent="0.2">
      <c r="A139" s="117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25"/>
      <c r="X139" s="120"/>
    </row>
    <row r="140" spans="1:24" x14ac:dyDescent="0.2">
      <c r="A140" s="184"/>
      <c r="F140" s="30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120"/>
    </row>
    <row r="141" spans="1:24" x14ac:dyDescent="0.2">
      <c r="A141" s="117"/>
      <c r="F141" s="31"/>
    </row>
    <row r="142" spans="1:24" x14ac:dyDescent="0.2">
      <c r="A142" s="187" t="s">
        <v>456</v>
      </c>
      <c r="F142" s="31"/>
    </row>
    <row r="143" spans="1:24" x14ac:dyDescent="0.2">
      <c r="F143" s="31"/>
    </row>
    <row r="144" spans="1:24" x14ac:dyDescent="0.2">
      <c r="A144" s="26" t="s">
        <v>454</v>
      </c>
      <c r="B144" s="23" t="s">
        <v>455</v>
      </c>
      <c r="C144" s="114" t="s">
        <v>476</v>
      </c>
      <c r="D144" s="114" t="s">
        <v>638</v>
      </c>
      <c r="F144" s="25">
        <v>614676</v>
      </c>
      <c r="G144" s="25">
        <f>(VLOOKUP($D144,$C$6:$AJ$991,5,)/VLOOKUP($D144,$C$6:$AJ$991,4,))*$F144</f>
        <v>72162.962400000004</v>
      </c>
      <c r="H144" s="25">
        <f>(VLOOKUP($D144,$C$6:$AJ$991,6,)/VLOOKUP($D144,$C$6:$AJ$991,4,))*$F144</f>
        <v>542513.03760000004</v>
      </c>
      <c r="I144" s="25">
        <f>(VLOOKUP($D144,$C$6:$AJ$991,7,)/VLOOKUP($D144,$C$6:$AJ$991,4,))*$F144</f>
        <v>0</v>
      </c>
      <c r="J144" s="25">
        <f>(VLOOKUP($D144,$C$6:$AJ$991,8,)/VLOOKUP($D144,$C$6:$AJ$991,4,))*$F144</f>
        <v>0</v>
      </c>
      <c r="K144" s="25">
        <f>(VLOOKUP($D144,$C$6:$AJ$991,9,)/VLOOKUP($D144,$C$6:$AJ$991,4,))*$F144</f>
        <v>0</v>
      </c>
      <c r="L144" s="25">
        <f>(VLOOKUP($D144,$C$6:$AJ$991,10,)/VLOOKUP($D144,$C$6:$AJ$991,4,))*$F144</f>
        <v>0</v>
      </c>
      <c r="M144" s="25">
        <f>(VLOOKUP($D144,$C$6:$AJ$991,11,)/VLOOKUP($D144,$C$6:$AJ$991,4,))*$F144</f>
        <v>0</v>
      </c>
      <c r="N144" s="25">
        <f>(VLOOKUP($D144,$C$6:$AJ$991,12,)/VLOOKUP($D144,$C$6:$AJ$991,4,))*$F144</f>
        <v>0</v>
      </c>
      <c r="O144" s="25">
        <f>(VLOOKUP($D144,$C$6:$AJ$991,13,)/VLOOKUP($D144,$C$6:$AJ$991,4,))*$F144</f>
        <v>0</v>
      </c>
      <c r="P144" s="25">
        <f>(VLOOKUP($D144,$C$6:$AJ$991,14,)/VLOOKUP($D144,$C$6:$AJ$991,4,))*$F144</f>
        <v>0</v>
      </c>
      <c r="Q144" s="25">
        <f>(VLOOKUP($D144,$C$6:$AJ$991,15,)/VLOOKUP($D144,$C$6:$AJ$991,4,))*$F144</f>
        <v>0</v>
      </c>
      <c r="R144" s="25">
        <f>(VLOOKUP($D144,$C$6:$AJ$991,16,)/VLOOKUP($D144,$C$6:$AJ$991,4,))*$F144</f>
        <v>0</v>
      </c>
      <c r="S144" s="25">
        <f>(VLOOKUP($D144,$C$6:$AJ$991,15,)/VLOOKUP($D144,$C$6:$AJ$991,4,))*$F144</f>
        <v>0</v>
      </c>
      <c r="T144" s="25">
        <f>(VLOOKUP($D144,$C$6:$AJ$991,16,)/VLOOKUP($D144,$C$6:$AJ$991,4,))*$F144</f>
        <v>0</v>
      </c>
      <c r="U144" s="25">
        <f>(VLOOKUP($D144,$C$6:$AJ$991,17,)/VLOOKUP($D144,$C$6:$AJ$991,4,))*$F144</f>
        <v>0</v>
      </c>
      <c r="V144" s="25">
        <f>(VLOOKUP($D144,$C$6:$AJ$991,18,)/VLOOKUP($D144,$C$6:$AJ$991,4,))*$F144</f>
        <v>0</v>
      </c>
      <c r="W144" s="25">
        <f>SUM(G144:V144)</f>
        <v>614676</v>
      </c>
      <c r="X144" s="120" t="str">
        <f>IF(ABS(W144-F144)&lt;1,"ok","err")</f>
        <v>ok</v>
      </c>
    </row>
    <row r="145" spans="1:24" x14ac:dyDescent="0.2">
      <c r="F145" s="31"/>
    </row>
    <row r="146" spans="1:24" x14ac:dyDescent="0.2">
      <c r="A146" s="117" t="s">
        <v>457</v>
      </c>
      <c r="F146" s="31"/>
    </row>
    <row r="147" spans="1:24" x14ac:dyDescent="0.2">
      <c r="A147" s="117" t="s">
        <v>433</v>
      </c>
      <c r="C147" s="23"/>
      <c r="D147" s="23"/>
      <c r="E147" s="23"/>
      <c r="F147" s="25"/>
      <c r="G147" s="23"/>
      <c r="H147" s="23"/>
      <c r="I147" s="23"/>
      <c r="J147" s="23"/>
      <c r="K147" s="23"/>
      <c r="L147" s="23"/>
      <c r="M147" s="23"/>
      <c r="N147" s="23"/>
    </row>
    <row r="148" spans="1:24" x14ac:dyDescent="0.2">
      <c r="A148" s="26">
        <v>814</v>
      </c>
      <c r="B148" s="23" t="s">
        <v>400</v>
      </c>
      <c r="C148" s="114" t="s">
        <v>477</v>
      </c>
      <c r="D148" s="114" t="s">
        <v>633</v>
      </c>
      <c r="F148" s="25">
        <v>536969</v>
      </c>
      <c r="G148" s="25">
        <f t="shared" ref="G148:G159" si="63">(VLOOKUP($D148,$C$6:$AJ$991,5,)/VLOOKUP($D148,$C$6:$AJ$991,4,))*$F148</f>
        <v>0</v>
      </c>
      <c r="H148" s="25">
        <f t="shared" ref="H148:H159" si="64">(VLOOKUP($D148,$C$6:$AJ$991,6,)/VLOOKUP($D148,$C$6:$AJ$991,4,))*$F148</f>
        <v>0</v>
      </c>
      <c r="I148" s="25">
        <f t="shared" ref="I148:I159" si="65">(VLOOKUP($D148,$C$6:$AJ$991,7,)/VLOOKUP($D148,$C$6:$AJ$991,4,))*$F148</f>
        <v>124733.87665844784</v>
      </c>
      <c r="J148" s="25">
        <f t="shared" ref="J148:J159" si="66">(VLOOKUP($D148,$C$6:$AJ$991,8,)/VLOOKUP($D148,$C$6:$AJ$991,4,))*$F148</f>
        <v>412235.12334155216</v>
      </c>
      <c r="K148" s="25">
        <f t="shared" ref="K148:K159" si="67">(VLOOKUP($D148,$C$6:$AJ$991,9,)/VLOOKUP($D148,$C$6:$AJ$991,4,))*$F148</f>
        <v>0</v>
      </c>
      <c r="L148" s="25">
        <f t="shared" ref="L148:L159" si="68">(VLOOKUP($D148,$C$6:$AJ$991,10,)/VLOOKUP($D148,$C$6:$AJ$991,4,))*$F148</f>
        <v>0</v>
      </c>
      <c r="M148" s="25">
        <f t="shared" ref="M148:M159" si="69">(VLOOKUP($D148,$C$6:$AJ$991,11,)/VLOOKUP($D148,$C$6:$AJ$991,4,))*$F148</f>
        <v>0</v>
      </c>
      <c r="N148" s="25">
        <f t="shared" ref="N148:N159" si="70">(VLOOKUP($D148,$C$6:$AJ$991,12,)/VLOOKUP($D148,$C$6:$AJ$991,4,))*$F148</f>
        <v>0</v>
      </c>
      <c r="O148" s="25">
        <f t="shared" ref="O148:O159" si="71">(VLOOKUP($D148,$C$6:$AJ$991,13,)/VLOOKUP($D148,$C$6:$AJ$991,4,))*$F148</f>
        <v>0</v>
      </c>
      <c r="P148" s="25">
        <f t="shared" ref="P148:P159" si="72">(VLOOKUP($D148,$C$6:$AJ$991,14,)/VLOOKUP($D148,$C$6:$AJ$991,4,))*$F148</f>
        <v>0</v>
      </c>
      <c r="Q148" s="25">
        <f t="shared" ref="Q148:Q159" si="73">(VLOOKUP($D148,$C$6:$AJ$991,15,)/VLOOKUP($D148,$C$6:$AJ$991,4,))*$F148</f>
        <v>0</v>
      </c>
      <c r="R148" s="25">
        <f t="shared" ref="R148:R159" si="74">(VLOOKUP($D148,$C$6:$AJ$991,16,)/VLOOKUP($D148,$C$6:$AJ$991,4,))*$F148</f>
        <v>0</v>
      </c>
      <c r="S148" s="25">
        <f t="shared" ref="S148:S159" si="75">(VLOOKUP($D148,$C$6:$AJ$991,17,)/VLOOKUP($D148,$C$6:$AJ$991,4,))*$F148</f>
        <v>0</v>
      </c>
      <c r="T148" s="25">
        <f t="shared" ref="T148:T159" si="76">(VLOOKUP($D148,$C$6:$AJ$991,18,)/VLOOKUP($D148,$C$6:$AJ$991,4,))*$F148</f>
        <v>0</v>
      </c>
      <c r="U148" s="25">
        <f t="shared" ref="U148:U159" si="77">(VLOOKUP($D148,$C$6:$AJ$991,19,)/VLOOKUP($D148,$C$6:$AJ$991,4,))*$F148</f>
        <v>0</v>
      </c>
      <c r="V148" s="25">
        <f t="shared" ref="V148:V159" si="78">(VLOOKUP($D148,$C$6:$AJ$991,20,)/VLOOKUP($D148,$C$6:$AJ$991,4,))*$F148</f>
        <v>0</v>
      </c>
      <c r="W148" s="25">
        <f t="shared" ref="W148:W159" si="79">SUM(G148:V148)</f>
        <v>536969</v>
      </c>
      <c r="X148" s="120" t="str">
        <f t="shared" ref="X148:X159" si="80">IF(ABS(W148-F148)&lt;1,"ok","err")</f>
        <v>ok</v>
      </c>
    </row>
    <row r="149" spans="1:24" x14ac:dyDescent="0.2">
      <c r="A149" s="26">
        <v>815</v>
      </c>
      <c r="B149" s="23" t="s">
        <v>401</v>
      </c>
      <c r="C149" s="114" t="s">
        <v>478</v>
      </c>
      <c r="D149" s="114" t="s">
        <v>25</v>
      </c>
      <c r="F149" s="25">
        <v>0</v>
      </c>
      <c r="G149" s="25">
        <f t="shared" si="63"/>
        <v>0</v>
      </c>
      <c r="H149" s="25">
        <f t="shared" si="64"/>
        <v>0</v>
      </c>
      <c r="I149" s="25">
        <f t="shared" si="65"/>
        <v>0</v>
      </c>
      <c r="J149" s="25">
        <f t="shared" si="66"/>
        <v>0</v>
      </c>
      <c r="K149" s="25">
        <f t="shared" si="67"/>
        <v>0</v>
      </c>
      <c r="L149" s="25">
        <f t="shared" si="68"/>
        <v>0</v>
      </c>
      <c r="M149" s="25">
        <f t="shared" si="69"/>
        <v>0</v>
      </c>
      <c r="N149" s="25">
        <f t="shared" si="70"/>
        <v>0</v>
      </c>
      <c r="O149" s="25">
        <f t="shared" si="71"/>
        <v>0</v>
      </c>
      <c r="P149" s="25">
        <f t="shared" si="72"/>
        <v>0</v>
      </c>
      <c r="Q149" s="25">
        <f t="shared" si="73"/>
        <v>0</v>
      </c>
      <c r="R149" s="25">
        <f t="shared" si="74"/>
        <v>0</v>
      </c>
      <c r="S149" s="25">
        <f t="shared" si="75"/>
        <v>0</v>
      </c>
      <c r="T149" s="25">
        <f t="shared" si="76"/>
        <v>0</v>
      </c>
      <c r="U149" s="25">
        <f t="shared" si="77"/>
        <v>0</v>
      </c>
      <c r="V149" s="25">
        <f t="shared" si="78"/>
        <v>0</v>
      </c>
      <c r="W149" s="25">
        <f t="shared" si="79"/>
        <v>0</v>
      </c>
      <c r="X149" s="120" t="str">
        <f t="shared" si="80"/>
        <v>ok</v>
      </c>
    </row>
    <row r="150" spans="1:24" x14ac:dyDescent="0.2">
      <c r="A150" s="26">
        <v>816</v>
      </c>
      <c r="B150" s="23" t="s">
        <v>402</v>
      </c>
      <c r="C150" s="114" t="s">
        <v>479</v>
      </c>
      <c r="D150" s="114" t="s">
        <v>25</v>
      </c>
      <c r="F150" s="25">
        <v>26000</v>
      </c>
      <c r="G150" s="25">
        <f t="shared" si="63"/>
        <v>0</v>
      </c>
      <c r="H150" s="25">
        <f t="shared" si="64"/>
        <v>0</v>
      </c>
      <c r="I150" s="25">
        <f t="shared" si="65"/>
        <v>26000</v>
      </c>
      <c r="J150" s="25">
        <f t="shared" si="66"/>
        <v>0</v>
      </c>
      <c r="K150" s="25">
        <f t="shared" si="67"/>
        <v>0</v>
      </c>
      <c r="L150" s="25">
        <f t="shared" si="68"/>
        <v>0</v>
      </c>
      <c r="M150" s="25">
        <f t="shared" si="69"/>
        <v>0</v>
      </c>
      <c r="N150" s="25">
        <f t="shared" si="70"/>
        <v>0</v>
      </c>
      <c r="O150" s="25">
        <f t="shared" si="71"/>
        <v>0</v>
      </c>
      <c r="P150" s="25">
        <f t="shared" si="72"/>
        <v>0</v>
      </c>
      <c r="Q150" s="25">
        <f t="shared" si="73"/>
        <v>0</v>
      </c>
      <c r="R150" s="25">
        <f t="shared" si="74"/>
        <v>0</v>
      </c>
      <c r="S150" s="25">
        <f t="shared" si="75"/>
        <v>0</v>
      </c>
      <c r="T150" s="25">
        <f t="shared" si="76"/>
        <v>0</v>
      </c>
      <c r="U150" s="25">
        <f t="shared" si="77"/>
        <v>0</v>
      </c>
      <c r="V150" s="25">
        <f t="shared" si="78"/>
        <v>0</v>
      </c>
      <c r="W150" s="25">
        <f t="shared" si="79"/>
        <v>26000</v>
      </c>
      <c r="X150" s="120" t="str">
        <f t="shared" si="80"/>
        <v>ok</v>
      </c>
    </row>
    <row r="151" spans="1:24" x14ac:dyDescent="0.2">
      <c r="A151" s="26">
        <v>817</v>
      </c>
      <c r="B151" s="23" t="s">
        <v>97</v>
      </c>
      <c r="C151" s="114" t="s">
        <v>480</v>
      </c>
      <c r="D151" s="114" t="s">
        <v>25</v>
      </c>
      <c r="F151" s="25">
        <v>393901</v>
      </c>
      <c r="G151" s="25">
        <f t="shared" si="63"/>
        <v>0</v>
      </c>
      <c r="H151" s="25">
        <f t="shared" si="64"/>
        <v>0</v>
      </c>
      <c r="I151" s="25">
        <f t="shared" si="65"/>
        <v>393901</v>
      </c>
      <c r="J151" s="25">
        <f t="shared" si="66"/>
        <v>0</v>
      </c>
      <c r="K151" s="25">
        <f t="shared" si="67"/>
        <v>0</v>
      </c>
      <c r="L151" s="25">
        <f t="shared" si="68"/>
        <v>0</v>
      </c>
      <c r="M151" s="25">
        <f t="shared" si="69"/>
        <v>0</v>
      </c>
      <c r="N151" s="25">
        <f t="shared" si="70"/>
        <v>0</v>
      </c>
      <c r="O151" s="25">
        <f t="shared" si="71"/>
        <v>0</v>
      </c>
      <c r="P151" s="25">
        <f t="shared" si="72"/>
        <v>0</v>
      </c>
      <c r="Q151" s="25">
        <f t="shared" si="73"/>
        <v>0</v>
      </c>
      <c r="R151" s="25">
        <f t="shared" si="74"/>
        <v>0</v>
      </c>
      <c r="S151" s="25">
        <f t="shared" si="75"/>
        <v>0</v>
      </c>
      <c r="T151" s="25">
        <f t="shared" si="76"/>
        <v>0</v>
      </c>
      <c r="U151" s="25">
        <f t="shared" si="77"/>
        <v>0</v>
      </c>
      <c r="V151" s="25">
        <f t="shared" si="78"/>
        <v>0</v>
      </c>
      <c r="W151" s="25">
        <f t="shared" si="79"/>
        <v>393901</v>
      </c>
      <c r="X151" s="120" t="str">
        <f t="shared" si="80"/>
        <v>ok</v>
      </c>
    </row>
    <row r="152" spans="1:24" x14ac:dyDescent="0.2">
      <c r="A152" s="26">
        <v>818</v>
      </c>
      <c r="B152" s="23" t="s">
        <v>661</v>
      </c>
      <c r="C152" s="114" t="s">
        <v>481</v>
      </c>
      <c r="D152" s="114" t="s">
        <v>124</v>
      </c>
      <c r="F152" s="25">
        <v>708539</v>
      </c>
      <c r="G152" s="25">
        <f t="shared" si="63"/>
        <v>0</v>
      </c>
      <c r="H152" s="25">
        <f t="shared" si="64"/>
        <v>0</v>
      </c>
      <c r="I152" s="25">
        <f t="shared" si="65"/>
        <v>0</v>
      </c>
      <c r="J152" s="25">
        <f t="shared" si="66"/>
        <v>708539</v>
      </c>
      <c r="K152" s="25">
        <f t="shared" si="67"/>
        <v>0</v>
      </c>
      <c r="L152" s="25">
        <f t="shared" si="68"/>
        <v>0</v>
      </c>
      <c r="M152" s="25">
        <f t="shared" si="69"/>
        <v>0</v>
      </c>
      <c r="N152" s="25">
        <f t="shared" si="70"/>
        <v>0</v>
      </c>
      <c r="O152" s="25">
        <f t="shared" si="71"/>
        <v>0</v>
      </c>
      <c r="P152" s="25">
        <f t="shared" si="72"/>
        <v>0</v>
      </c>
      <c r="Q152" s="25">
        <f t="shared" si="73"/>
        <v>0</v>
      </c>
      <c r="R152" s="25">
        <f t="shared" si="74"/>
        <v>0</v>
      </c>
      <c r="S152" s="25">
        <f t="shared" si="75"/>
        <v>0</v>
      </c>
      <c r="T152" s="25">
        <f t="shared" si="76"/>
        <v>0</v>
      </c>
      <c r="U152" s="25">
        <f t="shared" si="77"/>
        <v>0</v>
      </c>
      <c r="V152" s="25">
        <f t="shared" si="78"/>
        <v>0</v>
      </c>
      <c r="W152" s="25">
        <f t="shared" si="79"/>
        <v>708539</v>
      </c>
      <c r="X152" s="120" t="str">
        <f t="shared" si="80"/>
        <v>ok</v>
      </c>
    </row>
    <row r="153" spans="1:24" x14ac:dyDescent="0.2">
      <c r="A153" s="26">
        <v>819</v>
      </c>
      <c r="B153" s="23" t="s">
        <v>403</v>
      </c>
      <c r="C153" s="114" t="s">
        <v>482</v>
      </c>
      <c r="D153" s="114" t="s">
        <v>124</v>
      </c>
      <c r="F153" s="25">
        <v>0</v>
      </c>
      <c r="G153" s="25">
        <f t="shared" si="63"/>
        <v>0</v>
      </c>
      <c r="H153" s="25">
        <f t="shared" si="64"/>
        <v>0</v>
      </c>
      <c r="I153" s="25">
        <f t="shared" si="65"/>
        <v>0</v>
      </c>
      <c r="J153" s="25">
        <f t="shared" si="66"/>
        <v>0</v>
      </c>
      <c r="K153" s="25">
        <f t="shared" si="67"/>
        <v>0</v>
      </c>
      <c r="L153" s="25">
        <f t="shared" si="68"/>
        <v>0</v>
      </c>
      <c r="M153" s="25">
        <f t="shared" si="69"/>
        <v>0</v>
      </c>
      <c r="N153" s="25">
        <f t="shared" si="70"/>
        <v>0</v>
      </c>
      <c r="O153" s="25">
        <f t="shared" si="71"/>
        <v>0</v>
      </c>
      <c r="P153" s="25">
        <f t="shared" si="72"/>
        <v>0</v>
      </c>
      <c r="Q153" s="25">
        <f t="shared" si="73"/>
        <v>0</v>
      </c>
      <c r="R153" s="25">
        <f t="shared" si="74"/>
        <v>0</v>
      </c>
      <c r="S153" s="25">
        <f t="shared" si="75"/>
        <v>0</v>
      </c>
      <c r="T153" s="25">
        <f t="shared" si="76"/>
        <v>0</v>
      </c>
      <c r="U153" s="25">
        <f t="shared" si="77"/>
        <v>0</v>
      </c>
      <c r="V153" s="25">
        <f t="shared" si="78"/>
        <v>0</v>
      </c>
      <c r="W153" s="25">
        <f t="shared" si="79"/>
        <v>0</v>
      </c>
      <c r="X153" s="120" t="str">
        <f t="shared" si="80"/>
        <v>ok</v>
      </c>
    </row>
    <row r="154" spans="1:24" x14ac:dyDescent="0.2">
      <c r="A154" s="26">
        <v>820</v>
      </c>
      <c r="B154" s="23" t="s">
        <v>404</v>
      </c>
      <c r="C154" s="114" t="s">
        <v>483</v>
      </c>
      <c r="D154" s="114" t="s">
        <v>25</v>
      </c>
      <c r="F154" s="25">
        <v>0</v>
      </c>
      <c r="G154" s="25">
        <f t="shared" si="63"/>
        <v>0</v>
      </c>
      <c r="H154" s="25">
        <f t="shared" si="64"/>
        <v>0</v>
      </c>
      <c r="I154" s="25">
        <f t="shared" si="65"/>
        <v>0</v>
      </c>
      <c r="J154" s="25">
        <f t="shared" si="66"/>
        <v>0</v>
      </c>
      <c r="K154" s="25">
        <f t="shared" si="67"/>
        <v>0</v>
      </c>
      <c r="L154" s="25">
        <f t="shared" si="68"/>
        <v>0</v>
      </c>
      <c r="M154" s="25">
        <f t="shared" si="69"/>
        <v>0</v>
      </c>
      <c r="N154" s="25">
        <f t="shared" si="70"/>
        <v>0</v>
      </c>
      <c r="O154" s="25">
        <f t="shared" si="71"/>
        <v>0</v>
      </c>
      <c r="P154" s="25">
        <f t="shared" si="72"/>
        <v>0</v>
      </c>
      <c r="Q154" s="25">
        <f t="shared" si="73"/>
        <v>0</v>
      </c>
      <c r="R154" s="25">
        <f t="shared" si="74"/>
        <v>0</v>
      </c>
      <c r="S154" s="25">
        <f t="shared" si="75"/>
        <v>0</v>
      </c>
      <c r="T154" s="25">
        <f t="shared" si="76"/>
        <v>0</v>
      </c>
      <c r="U154" s="25">
        <f t="shared" si="77"/>
        <v>0</v>
      </c>
      <c r="V154" s="25">
        <f t="shared" si="78"/>
        <v>0</v>
      </c>
      <c r="W154" s="25">
        <f t="shared" si="79"/>
        <v>0</v>
      </c>
      <c r="X154" s="120" t="str">
        <f t="shared" si="80"/>
        <v>ok</v>
      </c>
    </row>
    <row r="155" spans="1:24" x14ac:dyDescent="0.2">
      <c r="A155" s="26">
        <v>821</v>
      </c>
      <c r="B155" s="23" t="s">
        <v>662</v>
      </c>
      <c r="C155" s="114" t="s">
        <v>484</v>
      </c>
      <c r="D155" s="114" t="s">
        <v>124</v>
      </c>
      <c r="F155" s="25">
        <v>679199</v>
      </c>
      <c r="G155" s="25">
        <f t="shared" si="63"/>
        <v>0</v>
      </c>
      <c r="H155" s="25">
        <f t="shared" si="64"/>
        <v>0</v>
      </c>
      <c r="I155" s="25">
        <f t="shared" si="65"/>
        <v>0</v>
      </c>
      <c r="J155" s="25">
        <f t="shared" si="66"/>
        <v>679199</v>
      </c>
      <c r="K155" s="25">
        <f t="shared" si="67"/>
        <v>0</v>
      </c>
      <c r="L155" s="25">
        <f t="shared" si="68"/>
        <v>0</v>
      </c>
      <c r="M155" s="25">
        <f t="shared" si="69"/>
        <v>0</v>
      </c>
      <c r="N155" s="25">
        <f t="shared" si="70"/>
        <v>0</v>
      </c>
      <c r="O155" s="25">
        <f t="shared" si="71"/>
        <v>0</v>
      </c>
      <c r="P155" s="25">
        <f t="shared" si="72"/>
        <v>0</v>
      </c>
      <c r="Q155" s="25">
        <f t="shared" si="73"/>
        <v>0</v>
      </c>
      <c r="R155" s="25">
        <f t="shared" si="74"/>
        <v>0</v>
      </c>
      <c r="S155" s="25">
        <f t="shared" si="75"/>
        <v>0</v>
      </c>
      <c r="T155" s="25">
        <f t="shared" si="76"/>
        <v>0</v>
      </c>
      <c r="U155" s="25">
        <f t="shared" si="77"/>
        <v>0</v>
      </c>
      <c r="V155" s="25">
        <f t="shared" si="78"/>
        <v>0</v>
      </c>
      <c r="W155" s="25">
        <f t="shared" si="79"/>
        <v>679199</v>
      </c>
      <c r="X155" s="120" t="str">
        <f t="shared" si="80"/>
        <v>ok</v>
      </c>
    </row>
    <row r="156" spans="1:24" x14ac:dyDescent="0.2">
      <c r="A156" s="26">
        <v>823</v>
      </c>
      <c r="B156" s="23" t="s">
        <v>405</v>
      </c>
      <c r="C156" s="114" t="s">
        <v>485</v>
      </c>
      <c r="D156" s="114" t="s">
        <v>124</v>
      </c>
      <c r="F156" s="25">
        <v>0</v>
      </c>
      <c r="G156" s="25">
        <f t="shared" si="63"/>
        <v>0</v>
      </c>
      <c r="H156" s="25">
        <f t="shared" si="64"/>
        <v>0</v>
      </c>
      <c r="I156" s="25">
        <f t="shared" si="65"/>
        <v>0</v>
      </c>
      <c r="J156" s="25">
        <f t="shared" si="66"/>
        <v>0</v>
      </c>
      <c r="K156" s="25">
        <f t="shared" si="67"/>
        <v>0</v>
      </c>
      <c r="L156" s="25">
        <f t="shared" si="68"/>
        <v>0</v>
      </c>
      <c r="M156" s="25">
        <f t="shared" si="69"/>
        <v>0</v>
      </c>
      <c r="N156" s="25">
        <f t="shared" si="70"/>
        <v>0</v>
      </c>
      <c r="O156" s="25">
        <f t="shared" si="71"/>
        <v>0</v>
      </c>
      <c r="P156" s="25">
        <f t="shared" si="72"/>
        <v>0</v>
      </c>
      <c r="Q156" s="25">
        <f t="shared" si="73"/>
        <v>0</v>
      </c>
      <c r="R156" s="25">
        <f t="shared" si="74"/>
        <v>0</v>
      </c>
      <c r="S156" s="25">
        <f t="shared" si="75"/>
        <v>0</v>
      </c>
      <c r="T156" s="25">
        <f t="shared" si="76"/>
        <v>0</v>
      </c>
      <c r="U156" s="25">
        <f t="shared" si="77"/>
        <v>0</v>
      </c>
      <c r="V156" s="25">
        <f t="shared" si="78"/>
        <v>0</v>
      </c>
      <c r="W156" s="25">
        <f t="shared" si="79"/>
        <v>0</v>
      </c>
      <c r="X156" s="120" t="str">
        <f t="shared" si="80"/>
        <v>ok</v>
      </c>
    </row>
    <row r="157" spans="1:24" x14ac:dyDescent="0.2">
      <c r="A157" s="26">
        <v>824</v>
      </c>
      <c r="B157" s="23" t="s">
        <v>105</v>
      </c>
      <c r="C157" s="114" t="s">
        <v>486</v>
      </c>
      <c r="D157" s="114" t="s">
        <v>124</v>
      </c>
      <c r="F157" s="25">
        <v>0</v>
      </c>
      <c r="G157" s="25">
        <f t="shared" si="63"/>
        <v>0</v>
      </c>
      <c r="H157" s="25">
        <f t="shared" si="64"/>
        <v>0</v>
      </c>
      <c r="I157" s="25">
        <f t="shared" si="65"/>
        <v>0</v>
      </c>
      <c r="J157" s="25">
        <f t="shared" si="66"/>
        <v>0</v>
      </c>
      <c r="K157" s="25">
        <f t="shared" si="67"/>
        <v>0</v>
      </c>
      <c r="L157" s="25">
        <f t="shared" si="68"/>
        <v>0</v>
      </c>
      <c r="M157" s="25">
        <f t="shared" si="69"/>
        <v>0</v>
      </c>
      <c r="N157" s="25">
        <f t="shared" si="70"/>
        <v>0</v>
      </c>
      <c r="O157" s="25">
        <f t="shared" si="71"/>
        <v>0</v>
      </c>
      <c r="P157" s="25">
        <f t="shared" si="72"/>
        <v>0</v>
      </c>
      <c r="Q157" s="25">
        <f t="shared" si="73"/>
        <v>0</v>
      </c>
      <c r="R157" s="25">
        <f t="shared" si="74"/>
        <v>0</v>
      </c>
      <c r="S157" s="25">
        <f t="shared" si="75"/>
        <v>0</v>
      </c>
      <c r="T157" s="25">
        <f t="shared" si="76"/>
        <v>0</v>
      </c>
      <c r="U157" s="25">
        <f t="shared" si="77"/>
        <v>0</v>
      </c>
      <c r="V157" s="25">
        <f t="shared" si="78"/>
        <v>0</v>
      </c>
      <c r="W157" s="25">
        <f t="shared" si="79"/>
        <v>0</v>
      </c>
      <c r="X157" s="120" t="str">
        <f t="shared" si="80"/>
        <v>ok</v>
      </c>
    </row>
    <row r="158" spans="1:24" x14ac:dyDescent="0.2">
      <c r="A158" s="26">
        <v>825</v>
      </c>
      <c r="B158" s="23" t="s">
        <v>406</v>
      </c>
      <c r="C158" s="114" t="s">
        <v>487</v>
      </c>
      <c r="D158" s="114" t="s">
        <v>25</v>
      </c>
      <c r="F158" s="25">
        <v>0</v>
      </c>
      <c r="G158" s="25">
        <f t="shared" si="63"/>
        <v>0</v>
      </c>
      <c r="H158" s="25">
        <f t="shared" si="64"/>
        <v>0</v>
      </c>
      <c r="I158" s="25">
        <f t="shared" si="65"/>
        <v>0</v>
      </c>
      <c r="J158" s="25">
        <f t="shared" si="66"/>
        <v>0</v>
      </c>
      <c r="K158" s="25">
        <f t="shared" si="67"/>
        <v>0</v>
      </c>
      <c r="L158" s="25">
        <f t="shared" si="68"/>
        <v>0</v>
      </c>
      <c r="M158" s="25">
        <f t="shared" si="69"/>
        <v>0</v>
      </c>
      <c r="N158" s="25">
        <f t="shared" si="70"/>
        <v>0</v>
      </c>
      <c r="O158" s="25">
        <f t="shared" si="71"/>
        <v>0</v>
      </c>
      <c r="P158" s="25">
        <f t="shared" si="72"/>
        <v>0</v>
      </c>
      <c r="Q158" s="25">
        <f t="shared" si="73"/>
        <v>0</v>
      </c>
      <c r="R158" s="25">
        <f t="shared" si="74"/>
        <v>0</v>
      </c>
      <c r="S158" s="25">
        <f t="shared" si="75"/>
        <v>0</v>
      </c>
      <c r="T158" s="25">
        <f t="shared" si="76"/>
        <v>0</v>
      </c>
      <c r="U158" s="25">
        <f t="shared" si="77"/>
        <v>0</v>
      </c>
      <c r="V158" s="25">
        <f t="shared" si="78"/>
        <v>0</v>
      </c>
      <c r="W158" s="25">
        <f t="shared" si="79"/>
        <v>0</v>
      </c>
      <c r="X158" s="120" t="str">
        <f t="shared" si="80"/>
        <v>ok</v>
      </c>
    </row>
    <row r="159" spans="1:24" x14ac:dyDescent="0.2">
      <c r="A159" s="26">
        <v>826</v>
      </c>
      <c r="B159" s="23" t="s">
        <v>108</v>
      </c>
      <c r="C159" s="114" t="s">
        <v>488</v>
      </c>
      <c r="D159" s="114" t="s">
        <v>25</v>
      </c>
      <c r="F159" s="25">
        <v>0</v>
      </c>
      <c r="G159" s="25">
        <f t="shared" si="63"/>
        <v>0</v>
      </c>
      <c r="H159" s="25">
        <f t="shared" si="64"/>
        <v>0</v>
      </c>
      <c r="I159" s="25">
        <f t="shared" si="65"/>
        <v>0</v>
      </c>
      <c r="J159" s="25">
        <f t="shared" si="66"/>
        <v>0</v>
      </c>
      <c r="K159" s="25">
        <f t="shared" si="67"/>
        <v>0</v>
      </c>
      <c r="L159" s="25">
        <f t="shared" si="68"/>
        <v>0</v>
      </c>
      <c r="M159" s="25">
        <f t="shared" si="69"/>
        <v>0</v>
      </c>
      <c r="N159" s="25">
        <f t="shared" si="70"/>
        <v>0</v>
      </c>
      <c r="O159" s="25">
        <f t="shared" si="71"/>
        <v>0</v>
      </c>
      <c r="P159" s="25">
        <f t="shared" si="72"/>
        <v>0</v>
      </c>
      <c r="Q159" s="25">
        <f t="shared" si="73"/>
        <v>0</v>
      </c>
      <c r="R159" s="25">
        <f t="shared" si="74"/>
        <v>0</v>
      </c>
      <c r="S159" s="25">
        <f t="shared" si="75"/>
        <v>0</v>
      </c>
      <c r="T159" s="25">
        <f t="shared" si="76"/>
        <v>0</v>
      </c>
      <c r="U159" s="25">
        <f t="shared" si="77"/>
        <v>0</v>
      </c>
      <c r="V159" s="25">
        <f t="shared" si="78"/>
        <v>0</v>
      </c>
      <c r="W159" s="25">
        <f t="shared" si="79"/>
        <v>0</v>
      </c>
      <c r="X159" s="120" t="str">
        <f t="shared" si="80"/>
        <v>ok</v>
      </c>
    </row>
    <row r="160" spans="1:24" x14ac:dyDescent="0.2">
      <c r="A160" s="26"/>
      <c r="F160" s="25"/>
    </row>
    <row r="161" spans="1:24" x14ac:dyDescent="0.2">
      <c r="A161" s="26" t="s">
        <v>632</v>
      </c>
      <c r="C161" s="114" t="s">
        <v>534</v>
      </c>
      <c r="F161" s="30">
        <f>SUM(F148:F160)</f>
        <v>2344608</v>
      </c>
      <c r="G161" s="30">
        <f t="shared" ref="G161:V161" si="81">SUM(G148:G160)</f>
        <v>0</v>
      </c>
      <c r="H161" s="30">
        <f t="shared" si="81"/>
        <v>0</v>
      </c>
      <c r="I161" s="30">
        <f t="shared" si="81"/>
        <v>544634.87665844779</v>
      </c>
      <c r="J161" s="30">
        <f t="shared" si="81"/>
        <v>1799973.1233415522</v>
      </c>
      <c r="K161" s="30">
        <f t="shared" si="81"/>
        <v>0</v>
      </c>
      <c r="L161" s="30">
        <f t="shared" si="81"/>
        <v>0</v>
      </c>
      <c r="M161" s="30">
        <f t="shared" si="81"/>
        <v>0</v>
      </c>
      <c r="N161" s="30">
        <f t="shared" si="81"/>
        <v>0</v>
      </c>
      <c r="O161" s="30">
        <f t="shared" si="81"/>
        <v>0</v>
      </c>
      <c r="P161" s="30">
        <f t="shared" si="81"/>
        <v>0</v>
      </c>
      <c r="Q161" s="30">
        <f>SUM(Q148:Q160)</f>
        <v>0</v>
      </c>
      <c r="R161" s="30">
        <f>SUM(R148:R160)</f>
        <v>0</v>
      </c>
      <c r="S161" s="30">
        <f t="shared" si="81"/>
        <v>0</v>
      </c>
      <c r="T161" s="30">
        <f t="shared" si="81"/>
        <v>0</v>
      </c>
      <c r="U161" s="30">
        <f t="shared" si="81"/>
        <v>0</v>
      </c>
      <c r="V161" s="30">
        <f t="shared" si="81"/>
        <v>0</v>
      </c>
      <c r="W161" s="25">
        <f>SUM(G161:V161)</f>
        <v>2344608</v>
      </c>
      <c r="X161" s="120" t="str">
        <f>IF(ABS(W161-F161)&lt;1,"ok","err")</f>
        <v>ok</v>
      </c>
    </row>
    <row r="162" spans="1:24" x14ac:dyDescent="0.2">
      <c r="A162" s="26"/>
      <c r="F162" s="25"/>
    </row>
    <row r="163" spans="1:24" x14ac:dyDescent="0.2">
      <c r="A163" s="117"/>
      <c r="F163" s="31"/>
      <c r="G163" s="125"/>
    </row>
    <row r="164" spans="1:24" x14ac:dyDescent="0.2">
      <c r="A164" s="26"/>
      <c r="F164" s="31"/>
      <c r="G164" s="125"/>
    </row>
    <row r="165" spans="1:24" x14ac:dyDescent="0.2">
      <c r="A165" s="117" t="s">
        <v>458</v>
      </c>
      <c r="F165" s="31"/>
      <c r="G165" s="125"/>
    </row>
    <row r="166" spans="1:24" x14ac:dyDescent="0.2">
      <c r="A166" s="26" t="s">
        <v>459</v>
      </c>
      <c r="F166" s="31"/>
      <c r="G166" s="125"/>
    </row>
    <row r="167" spans="1:24" x14ac:dyDescent="0.2">
      <c r="A167" s="26">
        <v>830</v>
      </c>
      <c r="B167" s="23" t="s">
        <v>407</v>
      </c>
      <c r="C167" s="114" t="s">
        <v>489</v>
      </c>
      <c r="D167" s="114" t="s">
        <v>634</v>
      </c>
      <c r="F167" s="25">
        <v>410327</v>
      </c>
      <c r="G167" s="25">
        <f t="shared" ref="G167:G174" si="82">(VLOOKUP($D167,$C$6:$AJ$991,5,)/VLOOKUP($D167,$C$6:$AJ$991,4,))*$F167</f>
        <v>0</v>
      </c>
      <c r="H167" s="25">
        <f t="shared" ref="H167:H174" si="83">(VLOOKUP($D167,$C$6:$AJ$991,6,)/VLOOKUP($D167,$C$6:$AJ$991,4,))*$F167</f>
        <v>0</v>
      </c>
      <c r="I167" s="25">
        <f t="shared" ref="I167:I174" si="84">(VLOOKUP($D167,$C$6:$AJ$991,7,)/VLOOKUP($D167,$C$6:$AJ$991,4,))*$F167</f>
        <v>176230.48768226133</v>
      </c>
      <c r="J167" s="25">
        <f t="shared" ref="J167:J174" si="85">(VLOOKUP($D167,$C$6:$AJ$991,8,)/VLOOKUP($D167,$C$6:$AJ$991,4,))*$F167</f>
        <v>234096.51231773867</v>
      </c>
      <c r="K167" s="25">
        <f t="shared" ref="K167:K174" si="86">(VLOOKUP($D167,$C$6:$AJ$991,9,)/VLOOKUP($D167,$C$6:$AJ$991,4,))*$F167</f>
        <v>0</v>
      </c>
      <c r="L167" s="25">
        <f t="shared" ref="L167:L174" si="87">(VLOOKUP($D167,$C$6:$AJ$991,10,)/VLOOKUP($D167,$C$6:$AJ$991,4,))*$F167</f>
        <v>0</v>
      </c>
      <c r="M167" s="25">
        <f t="shared" ref="M167:M174" si="88">(VLOOKUP($D167,$C$6:$AJ$991,11,)/VLOOKUP($D167,$C$6:$AJ$991,4,))*$F167</f>
        <v>0</v>
      </c>
      <c r="N167" s="25">
        <f t="shared" ref="N167:N174" si="89">(VLOOKUP($D167,$C$6:$AJ$991,12,)/VLOOKUP($D167,$C$6:$AJ$991,4,))*$F167</f>
        <v>0</v>
      </c>
      <c r="O167" s="25">
        <f t="shared" ref="O167:O174" si="90">(VLOOKUP($D167,$C$6:$AJ$991,13,)/VLOOKUP($D167,$C$6:$AJ$991,4,))*$F167</f>
        <v>0</v>
      </c>
      <c r="P167" s="25">
        <f t="shared" ref="P167:P174" si="91">(VLOOKUP($D167,$C$6:$AJ$991,14,)/VLOOKUP($D167,$C$6:$AJ$991,4,))*$F167</f>
        <v>0</v>
      </c>
      <c r="Q167" s="25">
        <f t="shared" ref="Q167:Q174" si="92">(VLOOKUP($D167,$C$6:$AJ$991,15,)/VLOOKUP($D167,$C$6:$AJ$991,4,))*$F167</f>
        <v>0</v>
      </c>
      <c r="R167" s="25">
        <f t="shared" ref="R167:R174" si="93">(VLOOKUP($D167,$C$6:$AJ$991,16,)/VLOOKUP($D167,$C$6:$AJ$991,4,))*$F167</f>
        <v>0</v>
      </c>
      <c r="S167" s="25">
        <f t="shared" ref="S167:S174" si="94">(VLOOKUP($D167,$C$6:$AJ$991,17,)/VLOOKUP($D167,$C$6:$AJ$991,4,))*$F167</f>
        <v>0</v>
      </c>
      <c r="T167" s="25">
        <f t="shared" ref="T167:T174" si="95">(VLOOKUP($D167,$C$6:$AJ$991,18,)/VLOOKUP($D167,$C$6:$AJ$991,4,))*$F167</f>
        <v>0</v>
      </c>
      <c r="U167" s="25">
        <f t="shared" ref="U167:U174" si="96">(VLOOKUP($D167,$C$6:$AJ$991,19,)/VLOOKUP($D167,$C$6:$AJ$991,4,))*$F167</f>
        <v>0</v>
      </c>
      <c r="V167" s="25">
        <f t="shared" ref="V167:V174" si="97">(VLOOKUP($D167,$C$6:$AJ$991,20,)/VLOOKUP($D167,$C$6:$AJ$991,4,))*$F167</f>
        <v>0</v>
      </c>
      <c r="W167" s="25">
        <f>SUM(G167:V167)</f>
        <v>410327</v>
      </c>
      <c r="X167" s="120" t="str">
        <f>IF(ABS(W167-F167)&lt;1,"ok","err")</f>
        <v>ok</v>
      </c>
    </row>
    <row r="168" spans="1:24" x14ac:dyDescent="0.2">
      <c r="A168" s="26">
        <v>831</v>
      </c>
      <c r="B168" s="23" t="s">
        <v>111</v>
      </c>
      <c r="C168" s="114" t="s">
        <v>490</v>
      </c>
      <c r="D168" s="114" t="s">
        <v>25</v>
      </c>
      <c r="F168" s="25">
        <v>0</v>
      </c>
      <c r="G168" s="25">
        <f t="shared" si="82"/>
        <v>0</v>
      </c>
      <c r="H168" s="25">
        <f t="shared" si="83"/>
        <v>0</v>
      </c>
      <c r="I168" s="25">
        <f t="shared" si="84"/>
        <v>0</v>
      </c>
      <c r="J168" s="25">
        <f t="shared" si="85"/>
        <v>0</v>
      </c>
      <c r="K168" s="25">
        <f t="shared" si="86"/>
        <v>0</v>
      </c>
      <c r="L168" s="25">
        <f t="shared" si="87"/>
        <v>0</v>
      </c>
      <c r="M168" s="25">
        <f t="shared" si="88"/>
        <v>0</v>
      </c>
      <c r="N168" s="25">
        <f t="shared" si="89"/>
        <v>0</v>
      </c>
      <c r="O168" s="25">
        <f t="shared" si="90"/>
        <v>0</v>
      </c>
      <c r="P168" s="25">
        <f t="shared" si="91"/>
        <v>0</v>
      </c>
      <c r="Q168" s="25">
        <f t="shared" si="92"/>
        <v>0</v>
      </c>
      <c r="R168" s="25">
        <f t="shared" si="93"/>
        <v>0</v>
      </c>
      <c r="S168" s="25">
        <f t="shared" si="94"/>
        <v>0</v>
      </c>
      <c r="T168" s="25">
        <f t="shared" si="95"/>
        <v>0</v>
      </c>
      <c r="U168" s="25">
        <f t="shared" si="96"/>
        <v>0</v>
      </c>
      <c r="V168" s="25">
        <f t="shared" si="97"/>
        <v>0</v>
      </c>
      <c r="W168" s="25">
        <f t="shared" ref="W168:W174" si="98">SUM(G168:V168)</f>
        <v>0</v>
      </c>
      <c r="X168" s="120" t="str">
        <f t="shared" ref="X168:X174" si="99">IF(ABS(W168-F168)&lt;1,"ok","err")</f>
        <v>ok</v>
      </c>
    </row>
    <row r="169" spans="1:24" x14ac:dyDescent="0.2">
      <c r="A169" s="26">
        <v>832</v>
      </c>
      <c r="B169" s="23" t="s">
        <v>408</v>
      </c>
      <c r="C169" s="114" t="s">
        <v>491</v>
      </c>
      <c r="D169" s="114" t="s">
        <v>25</v>
      </c>
      <c r="F169" s="25">
        <v>234554</v>
      </c>
      <c r="G169" s="25">
        <f t="shared" si="82"/>
        <v>0</v>
      </c>
      <c r="H169" s="25">
        <f t="shared" si="83"/>
        <v>0</v>
      </c>
      <c r="I169" s="25">
        <f t="shared" si="84"/>
        <v>234554</v>
      </c>
      <c r="J169" s="25">
        <f t="shared" si="85"/>
        <v>0</v>
      </c>
      <c r="K169" s="25">
        <f t="shared" si="86"/>
        <v>0</v>
      </c>
      <c r="L169" s="25">
        <f t="shared" si="87"/>
        <v>0</v>
      </c>
      <c r="M169" s="25">
        <f t="shared" si="88"/>
        <v>0</v>
      </c>
      <c r="N169" s="25">
        <f t="shared" si="89"/>
        <v>0</v>
      </c>
      <c r="O169" s="25">
        <f t="shared" si="90"/>
        <v>0</v>
      </c>
      <c r="P169" s="25">
        <f t="shared" si="91"/>
        <v>0</v>
      </c>
      <c r="Q169" s="25">
        <f t="shared" si="92"/>
        <v>0</v>
      </c>
      <c r="R169" s="25">
        <f t="shared" si="93"/>
        <v>0</v>
      </c>
      <c r="S169" s="25">
        <f t="shared" si="94"/>
        <v>0</v>
      </c>
      <c r="T169" s="25">
        <f t="shared" si="95"/>
        <v>0</v>
      </c>
      <c r="U169" s="25">
        <f t="shared" si="96"/>
        <v>0</v>
      </c>
      <c r="V169" s="25">
        <f t="shared" si="97"/>
        <v>0</v>
      </c>
      <c r="W169" s="25">
        <f t="shared" si="98"/>
        <v>234554</v>
      </c>
      <c r="X169" s="120" t="str">
        <f t="shared" si="99"/>
        <v>ok</v>
      </c>
    </row>
    <row r="170" spans="1:24" x14ac:dyDescent="0.2">
      <c r="A170" s="26">
        <v>833</v>
      </c>
      <c r="B170" s="23" t="s">
        <v>114</v>
      </c>
      <c r="C170" s="114" t="s">
        <v>492</v>
      </c>
      <c r="D170" s="114" t="s">
        <v>25</v>
      </c>
      <c r="F170" s="25">
        <v>78000</v>
      </c>
      <c r="G170" s="25">
        <f t="shared" si="82"/>
        <v>0</v>
      </c>
      <c r="H170" s="25">
        <f t="shared" si="83"/>
        <v>0</v>
      </c>
      <c r="I170" s="25">
        <f t="shared" si="84"/>
        <v>78000</v>
      </c>
      <c r="J170" s="25">
        <f t="shared" si="85"/>
        <v>0</v>
      </c>
      <c r="K170" s="25">
        <f t="shared" si="86"/>
        <v>0</v>
      </c>
      <c r="L170" s="25">
        <f t="shared" si="87"/>
        <v>0</v>
      </c>
      <c r="M170" s="25">
        <f t="shared" si="88"/>
        <v>0</v>
      </c>
      <c r="N170" s="25">
        <f t="shared" si="89"/>
        <v>0</v>
      </c>
      <c r="O170" s="25">
        <f t="shared" si="90"/>
        <v>0</v>
      </c>
      <c r="P170" s="25">
        <f t="shared" si="91"/>
        <v>0</v>
      </c>
      <c r="Q170" s="25">
        <f t="shared" si="92"/>
        <v>0</v>
      </c>
      <c r="R170" s="25">
        <f t="shared" si="93"/>
        <v>0</v>
      </c>
      <c r="S170" s="25">
        <f t="shared" si="94"/>
        <v>0</v>
      </c>
      <c r="T170" s="25">
        <f t="shared" si="95"/>
        <v>0</v>
      </c>
      <c r="U170" s="25">
        <f t="shared" si="96"/>
        <v>0</v>
      </c>
      <c r="V170" s="25">
        <f t="shared" si="97"/>
        <v>0</v>
      </c>
      <c r="W170" s="25">
        <f t="shared" si="98"/>
        <v>78000</v>
      </c>
      <c r="X170" s="120" t="str">
        <f t="shared" si="99"/>
        <v>ok</v>
      </c>
    </row>
    <row r="171" spans="1:24" x14ac:dyDescent="0.2">
      <c r="A171" s="26">
        <v>834</v>
      </c>
      <c r="B171" s="23" t="s">
        <v>409</v>
      </c>
      <c r="C171" s="114" t="s">
        <v>493</v>
      </c>
      <c r="D171" s="114" t="s">
        <v>124</v>
      </c>
      <c r="F171" s="25">
        <v>368303</v>
      </c>
      <c r="G171" s="25">
        <f t="shared" si="82"/>
        <v>0</v>
      </c>
      <c r="H171" s="25">
        <f t="shared" si="83"/>
        <v>0</v>
      </c>
      <c r="I171" s="25">
        <f t="shared" si="84"/>
        <v>0</v>
      </c>
      <c r="J171" s="25">
        <f t="shared" si="85"/>
        <v>368303</v>
      </c>
      <c r="K171" s="25">
        <f t="shared" si="86"/>
        <v>0</v>
      </c>
      <c r="L171" s="25">
        <f t="shared" si="87"/>
        <v>0</v>
      </c>
      <c r="M171" s="25">
        <f t="shared" si="88"/>
        <v>0</v>
      </c>
      <c r="N171" s="25">
        <f t="shared" si="89"/>
        <v>0</v>
      </c>
      <c r="O171" s="25">
        <f t="shared" si="90"/>
        <v>0</v>
      </c>
      <c r="P171" s="25">
        <f t="shared" si="91"/>
        <v>0</v>
      </c>
      <c r="Q171" s="25">
        <f t="shared" si="92"/>
        <v>0</v>
      </c>
      <c r="R171" s="25">
        <f t="shared" si="93"/>
        <v>0</v>
      </c>
      <c r="S171" s="25">
        <f t="shared" si="94"/>
        <v>0</v>
      </c>
      <c r="T171" s="25">
        <f t="shared" si="95"/>
        <v>0</v>
      </c>
      <c r="U171" s="25">
        <f t="shared" si="96"/>
        <v>0</v>
      </c>
      <c r="V171" s="25">
        <f t="shared" si="97"/>
        <v>0</v>
      </c>
      <c r="W171" s="25">
        <f t="shared" si="98"/>
        <v>368303</v>
      </c>
      <c r="X171" s="120" t="str">
        <f t="shared" si="99"/>
        <v>ok</v>
      </c>
    </row>
    <row r="172" spans="1:24" x14ac:dyDescent="0.2">
      <c r="A172" s="26">
        <v>835</v>
      </c>
      <c r="B172" s="23" t="s">
        <v>410</v>
      </c>
      <c r="C172" s="114" t="s">
        <v>494</v>
      </c>
      <c r="D172" s="114" t="s">
        <v>25</v>
      </c>
      <c r="F172" s="25">
        <v>19000</v>
      </c>
      <c r="G172" s="25">
        <f t="shared" si="82"/>
        <v>0</v>
      </c>
      <c r="H172" s="25">
        <f t="shared" si="83"/>
        <v>0</v>
      </c>
      <c r="I172" s="25">
        <f t="shared" si="84"/>
        <v>19000</v>
      </c>
      <c r="J172" s="25">
        <f t="shared" si="85"/>
        <v>0</v>
      </c>
      <c r="K172" s="25">
        <f t="shared" si="86"/>
        <v>0</v>
      </c>
      <c r="L172" s="25">
        <f t="shared" si="87"/>
        <v>0</v>
      </c>
      <c r="M172" s="25">
        <f t="shared" si="88"/>
        <v>0</v>
      </c>
      <c r="N172" s="25">
        <f t="shared" si="89"/>
        <v>0</v>
      </c>
      <c r="O172" s="25">
        <f t="shared" si="90"/>
        <v>0</v>
      </c>
      <c r="P172" s="25">
        <f t="shared" si="91"/>
        <v>0</v>
      </c>
      <c r="Q172" s="25">
        <f t="shared" si="92"/>
        <v>0</v>
      </c>
      <c r="R172" s="25">
        <f t="shared" si="93"/>
        <v>0</v>
      </c>
      <c r="S172" s="25">
        <f t="shared" si="94"/>
        <v>0</v>
      </c>
      <c r="T172" s="25">
        <f t="shared" si="95"/>
        <v>0</v>
      </c>
      <c r="U172" s="25">
        <f t="shared" si="96"/>
        <v>0</v>
      </c>
      <c r="V172" s="25">
        <f t="shared" si="97"/>
        <v>0</v>
      </c>
      <c r="W172" s="25">
        <f t="shared" si="98"/>
        <v>19000</v>
      </c>
      <c r="X172" s="120" t="str">
        <f t="shared" si="99"/>
        <v>ok</v>
      </c>
    </row>
    <row r="173" spans="1:24" x14ac:dyDescent="0.2">
      <c r="A173" s="26">
        <v>836</v>
      </c>
      <c r="B173" s="23" t="s">
        <v>411</v>
      </c>
      <c r="C173" s="114" t="s">
        <v>495</v>
      </c>
      <c r="D173" s="114" t="s">
        <v>124</v>
      </c>
      <c r="F173" s="25">
        <v>337789</v>
      </c>
      <c r="G173" s="25">
        <f t="shared" si="82"/>
        <v>0</v>
      </c>
      <c r="H173" s="25">
        <f t="shared" si="83"/>
        <v>0</v>
      </c>
      <c r="I173" s="25">
        <f t="shared" si="84"/>
        <v>0</v>
      </c>
      <c r="J173" s="25">
        <f t="shared" si="85"/>
        <v>337789</v>
      </c>
      <c r="K173" s="25">
        <f t="shared" si="86"/>
        <v>0</v>
      </c>
      <c r="L173" s="25">
        <f t="shared" si="87"/>
        <v>0</v>
      </c>
      <c r="M173" s="25">
        <f t="shared" si="88"/>
        <v>0</v>
      </c>
      <c r="N173" s="25">
        <f t="shared" si="89"/>
        <v>0</v>
      </c>
      <c r="O173" s="25">
        <f t="shared" si="90"/>
        <v>0</v>
      </c>
      <c r="P173" s="25">
        <f t="shared" si="91"/>
        <v>0</v>
      </c>
      <c r="Q173" s="25">
        <f t="shared" si="92"/>
        <v>0</v>
      </c>
      <c r="R173" s="25">
        <f t="shared" si="93"/>
        <v>0</v>
      </c>
      <c r="S173" s="25">
        <f t="shared" si="94"/>
        <v>0</v>
      </c>
      <c r="T173" s="25">
        <f t="shared" si="95"/>
        <v>0</v>
      </c>
      <c r="U173" s="25">
        <f t="shared" si="96"/>
        <v>0</v>
      </c>
      <c r="V173" s="25">
        <f t="shared" si="97"/>
        <v>0</v>
      </c>
      <c r="W173" s="25">
        <f t="shared" si="98"/>
        <v>337789</v>
      </c>
      <c r="X173" s="120" t="str">
        <f t="shared" si="99"/>
        <v>ok</v>
      </c>
    </row>
    <row r="174" spans="1:24" x14ac:dyDescent="0.2">
      <c r="A174" s="26">
        <v>837</v>
      </c>
      <c r="B174" s="23" t="s">
        <v>412</v>
      </c>
      <c r="C174" s="114" t="s">
        <v>496</v>
      </c>
      <c r="D174" s="114" t="s">
        <v>25</v>
      </c>
      <c r="F174" s="25">
        <v>200000</v>
      </c>
      <c r="G174" s="25">
        <f t="shared" si="82"/>
        <v>0</v>
      </c>
      <c r="H174" s="25">
        <f t="shared" si="83"/>
        <v>0</v>
      </c>
      <c r="I174" s="25">
        <f t="shared" si="84"/>
        <v>200000</v>
      </c>
      <c r="J174" s="25">
        <f t="shared" si="85"/>
        <v>0</v>
      </c>
      <c r="K174" s="25">
        <f t="shared" si="86"/>
        <v>0</v>
      </c>
      <c r="L174" s="25">
        <f t="shared" si="87"/>
        <v>0</v>
      </c>
      <c r="M174" s="25">
        <f t="shared" si="88"/>
        <v>0</v>
      </c>
      <c r="N174" s="25">
        <f t="shared" si="89"/>
        <v>0</v>
      </c>
      <c r="O174" s="25">
        <f t="shared" si="90"/>
        <v>0</v>
      </c>
      <c r="P174" s="25">
        <f t="shared" si="91"/>
        <v>0</v>
      </c>
      <c r="Q174" s="25">
        <f t="shared" si="92"/>
        <v>0</v>
      </c>
      <c r="R174" s="25">
        <f t="shared" si="93"/>
        <v>0</v>
      </c>
      <c r="S174" s="25">
        <f t="shared" si="94"/>
        <v>0</v>
      </c>
      <c r="T174" s="25">
        <f t="shared" si="95"/>
        <v>0</v>
      </c>
      <c r="U174" s="25">
        <f t="shared" si="96"/>
        <v>0</v>
      </c>
      <c r="V174" s="25">
        <f t="shared" si="97"/>
        <v>0</v>
      </c>
      <c r="W174" s="25">
        <f t="shared" si="98"/>
        <v>200000</v>
      </c>
      <c r="X174" s="120" t="str">
        <f t="shared" si="99"/>
        <v>ok</v>
      </c>
    </row>
    <row r="175" spans="1:24" x14ac:dyDescent="0.2">
      <c r="A175" s="26"/>
      <c r="F175" s="25"/>
    </row>
    <row r="176" spans="1:24" x14ac:dyDescent="0.2">
      <c r="A176" s="26" t="s">
        <v>187</v>
      </c>
      <c r="C176" s="114" t="s">
        <v>533</v>
      </c>
      <c r="F176" s="30">
        <f>+SUM(F167:F174)</f>
        <v>1647973</v>
      </c>
      <c r="G176" s="30">
        <f t="shared" ref="G176:V176" si="100">SUM(G167:G175)</f>
        <v>0</v>
      </c>
      <c r="H176" s="30">
        <f t="shared" si="100"/>
        <v>0</v>
      </c>
      <c r="I176" s="30">
        <f t="shared" si="100"/>
        <v>707784.48768226127</v>
      </c>
      <c r="J176" s="30">
        <f t="shared" si="100"/>
        <v>940188.51231773873</v>
      </c>
      <c r="K176" s="30">
        <f t="shared" si="100"/>
        <v>0</v>
      </c>
      <c r="L176" s="30">
        <f t="shared" si="100"/>
        <v>0</v>
      </c>
      <c r="M176" s="30">
        <f t="shared" si="100"/>
        <v>0</v>
      </c>
      <c r="N176" s="30">
        <f t="shared" si="100"/>
        <v>0</v>
      </c>
      <c r="O176" s="30">
        <f t="shared" si="100"/>
        <v>0</v>
      </c>
      <c r="P176" s="30">
        <f t="shared" si="100"/>
        <v>0</v>
      </c>
      <c r="Q176" s="30">
        <f>SUM(Q167:Q175)</f>
        <v>0</v>
      </c>
      <c r="R176" s="30">
        <f>SUM(R167:R175)</f>
        <v>0</v>
      </c>
      <c r="S176" s="30">
        <f t="shared" si="100"/>
        <v>0</v>
      </c>
      <c r="T176" s="30">
        <f t="shared" si="100"/>
        <v>0</v>
      </c>
      <c r="U176" s="30">
        <f t="shared" si="100"/>
        <v>0</v>
      </c>
      <c r="V176" s="30">
        <f t="shared" si="100"/>
        <v>0</v>
      </c>
      <c r="W176" s="25">
        <f>SUM(G176:V176)</f>
        <v>1647973</v>
      </c>
      <c r="X176" s="120" t="str">
        <f>IF(ABS(W176-F176)&lt;1,"ok","err")</f>
        <v>ok</v>
      </c>
    </row>
    <row r="177" spans="1:24" x14ac:dyDescent="0.2">
      <c r="A177" s="26"/>
      <c r="F177" s="25"/>
    </row>
    <row r="178" spans="1:24" x14ac:dyDescent="0.2">
      <c r="A178" s="26"/>
      <c r="F178" s="25"/>
    </row>
    <row r="179" spans="1:24" x14ac:dyDescent="0.2">
      <c r="A179" s="26" t="s">
        <v>453</v>
      </c>
      <c r="C179" s="114" t="s">
        <v>497</v>
      </c>
      <c r="F179" s="30">
        <f>+F161+F176</f>
        <v>3992581</v>
      </c>
      <c r="G179" s="25">
        <f t="shared" ref="G179:W179" si="101">+G161+G176</f>
        <v>0</v>
      </c>
      <c r="H179" s="25">
        <f t="shared" si="101"/>
        <v>0</v>
      </c>
      <c r="I179" s="25">
        <f t="shared" si="101"/>
        <v>1252419.3643407091</v>
      </c>
      <c r="J179" s="25">
        <f t="shared" si="101"/>
        <v>2740161.6356592909</v>
      </c>
      <c r="K179" s="25">
        <f t="shared" si="101"/>
        <v>0</v>
      </c>
      <c r="L179" s="25">
        <f t="shared" si="101"/>
        <v>0</v>
      </c>
      <c r="M179" s="25">
        <f t="shared" si="101"/>
        <v>0</v>
      </c>
      <c r="N179" s="25">
        <f t="shared" si="101"/>
        <v>0</v>
      </c>
      <c r="O179" s="25">
        <f t="shared" si="101"/>
        <v>0</v>
      </c>
      <c r="P179" s="25">
        <f t="shared" si="101"/>
        <v>0</v>
      </c>
      <c r="Q179" s="25">
        <f t="shared" si="101"/>
        <v>0</v>
      </c>
      <c r="R179" s="25">
        <f t="shared" si="101"/>
        <v>0</v>
      </c>
      <c r="S179" s="25">
        <f t="shared" si="101"/>
        <v>0</v>
      </c>
      <c r="T179" s="25">
        <f t="shared" si="101"/>
        <v>0</v>
      </c>
      <c r="U179" s="25">
        <f t="shared" si="101"/>
        <v>0</v>
      </c>
      <c r="V179" s="25">
        <f t="shared" si="101"/>
        <v>0</v>
      </c>
      <c r="W179" s="25">
        <f t="shared" si="101"/>
        <v>3992581</v>
      </c>
      <c r="X179" s="120" t="str">
        <f>IF(ABS(W179-F179)&lt;1,"ok","err")</f>
        <v>ok</v>
      </c>
    </row>
    <row r="180" spans="1:24" x14ac:dyDescent="0.2">
      <c r="A180" s="26"/>
      <c r="F180" s="25"/>
    </row>
    <row r="181" spans="1:24" x14ac:dyDescent="0.2">
      <c r="A181" s="26"/>
      <c r="F181" s="25"/>
    </row>
    <row r="182" spans="1:24" x14ac:dyDescent="0.2">
      <c r="A182" s="26"/>
      <c r="F182" s="25"/>
    </row>
    <row r="183" spans="1:24" x14ac:dyDescent="0.2">
      <c r="A183" s="184"/>
      <c r="F183" s="30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120"/>
    </row>
    <row r="184" spans="1:24" x14ac:dyDescent="0.2">
      <c r="A184" s="26"/>
      <c r="F184" s="25"/>
    </row>
    <row r="185" spans="1:24" x14ac:dyDescent="0.2">
      <c r="A185" s="187" t="s">
        <v>460</v>
      </c>
      <c r="F185" s="25"/>
    </row>
    <row r="186" spans="1:24" x14ac:dyDescent="0.2">
      <c r="A186" s="26"/>
      <c r="F186" s="25"/>
    </row>
    <row r="187" spans="1:24" x14ac:dyDescent="0.2">
      <c r="A187" s="117"/>
      <c r="F187" s="25"/>
    </row>
    <row r="188" spans="1:24" x14ac:dyDescent="0.2">
      <c r="A188" s="117" t="s">
        <v>4</v>
      </c>
      <c r="F188" s="25"/>
    </row>
    <row r="189" spans="1:24" x14ac:dyDescent="0.2">
      <c r="A189" s="26" t="s">
        <v>120</v>
      </c>
      <c r="B189" s="23" t="s">
        <v>432</v>
      </c>
      <c r="C189" s="114" t="s">
        <v>498</v>
      </c>
      <c r="D189" s="114" t="s">
        <v>28</v>
      </c>
      <c r="F189" s="30">
        <v>2082630</v>
      </c>
      <c r="G189" s="25">
        <f>(VLOOKUP($D189,$C$6:$AJ$991,5,)/VLOOKUP($D189,$C$6:$AJ$991,4)*F189)</f>
        <v>0</v>
      </c>
      <c r="H189" s="25">
        <f>(VLOOKUP($D189,$C$6:$AJ$991,6,)/VLOOKUP($D189,$C$6:$AJ$991,4,))*F189</f>
        <v>0</v>
      </c>
      <c r="I189" s="25">
        <f>(VLOOKUP($D189,$C$6:$AJ$991,7,)/VLOOKUP($D189,$C$6:$AJ$991,4,))*F189</f>
        <v>0</v>
      </c>
      <c r="J189" s="25">
        <f>(VLOOKUP($D189,$C$6:$AJ$991,8,)/VLOOKUP($D189,$C$6:$AJ$991,4,))*F189</f>
        <v>0</v>
      </c>
      <c r="K189" s="25">
        <f>(VLOOKUP($D189,$C$6:$AJ$991,9,)/VLOOKUP($D189,$C$6:$AJ$991,4,))*F189</f>
        <v>362981.81460989406</v>
      </c>
      <c r="L189" s="25">
        <f>(VLOOKUP($D189,$C$6:$AJ$991,10,)/VLOOKUP($D189,$C$6:$AJ$991,4,))*F189</f>
        <v>1719648.1853901062</v>
      </c>
      <c r="M189" s="25">
        <f>(VLOOKUP($D189,$C$6:$AJ$991,11,)/VLOOKUP($D189,$C$6:$AJ$991,4,))*F189</f>
        <v>0</v>
      </c>
      <c r="N189" s="25">
        <f>(VLOOKUP($D189,$C$6:$AJ$991,12,)/VLOOKUP($D189,$C$6:$AJ$991,4,))*F189</f>
        <v>0</v>
      </c>
      <c r="O189" s="25">
        <f>(VLOOKUP($D189,$C$6:$AJ$991,13,)/VLOOKUP($D189,$C$6:$AJ$991,4,))*F189</f>
        <v>0</v>
      </c>
      <c r="P189" s="25">
        <f>(VLOOKUP($D189,$C$6:$AJ$991,14,)/VLOOKUP($D189,$C$6:$AJ$991,4,))*F189</f>
        <v>0</v>
      </c>
      <c r="Q189" s="25">
        <f>(VLOOKUP($D189,$C$6:$AJ$991,15,)/VLOOKUP($D189,$C$6:$AJ$991,4,))*F189</f>
        <v>0</v>
      </c>
      <c r="R189" s="25">
        <f>(VLOOKUP($D189,$C$6:$AJ$991,16,)/VLOOKUP($D189,$C$6:$AJ$991,4,))*F189</f>
        <v>0</v>
      </c>
      <c r="S189" s="25">
        <f>(VLOOKUP($D189,$C$6:$AJ$991,17,)/VLOOKUP($D189,$C$6:$AJ$991,4,))*F189</f>
        <v>0</v>
      </c>
      <c r="T189" s="25">
        <f>(VLOOKUP($D189,$C$6:$AJ$991,18,)/VLOOKUP($D189,$C$6:$AJ$991,4,))*F189</f>
        <v>0</v>
      </c>
      <c r="U189" s="25">
        <f>(VLOOKUP($D189,$C$6:$AJ$991,19,)/VLOOKUP($D189,$C$6:$AJ$991,4,))*F189</f>
        <v>0</v>
      </c>
      <c r="V189" s="25">
        <f>(VLOOKUP($D189,$C$6:$AJ$991,20,)/VLOOKUP($D189,$C$6:$AJ$991,4,))*F189</f>
        <v>0</v>
      </c>
      <c r="W189" s="25">
        <f>SUM(G189:V189)</f>
        <v>2082630.0000000002</v>
      </c>
      <c r="X189" s="120" t="str">
        <f>IF(ABS(W189-F189)&lt;1,"ok","err")</f>
        <v>ok</v>
      </c>
    </row>
    <row r="190" spans="1:24" x14ac:dyDescent="0.2">
      <c r="A190" s="117"/>
      <c r="F190" s="25"/>
    </row>
    <row r="191" spans="1:24" x14ac:dyDescent="0.2">
      <c r="A191" s="117" t="s">
        <v>6</v>
      </c>
      <c r="F191" s="25"/>
    </row>
    <row r="192" spans="1:24" x14ac:dyDescent="0.2">
      <c r="A192" s="26" t="s">
        <v>433</v>
      </c>
      <c r="F192" s="25"/>
    </row>
    <row r="193" spans="1:24" x14ac:dyDescent="0.2">
      <c r="A193" s="26">
        <v>870</v>
      </c>
      <c r="B193" s="23" t="s">
        <v>413</v>
      </c>
      <c r="C193" s="114" t="s">
        <v>499</v>
      </c>
      <c r="D193" s="114" t="s">
        <v>640</v>
      </c>
      <c r="F193" s="30">
        <v>0</v>
      </c>
      <c r="G193" s="25">
        <f t="shared" ref="G193:V193" si="102">(VLOOKUP($D193,$C$6:$AJ$991,5,)/VLOOKUP($D193,$C$6:$AJ$991,4,))*$F193</f>
        <v>0</v>
      </c>
      <c r="H193" s="25">
        <f t="shared" si="102"/>
        <v>0</v>
      </c>
      <c r="I193" s="25">
        <f t="shared" si="102"/>
        <v>0</v>
      </c>
      <c r="J193" s="25">
        <f t="shared" si="102"/>
        <v>0</v>
      </c>
      <c r="K193" s="25">
        <f t="shared" si="102"/>
        <v>0</v>
      </c>
      <c r="L193" s="25">
        <f t="shared" si="102"/>
        <v>0</v>
      </c>
      <c r="M193" s="25">
        <f t="shared" si="102"/>
        <v>0</v>
      </c>
      <c r="N193" s="25">
        <f t="shared" si="102"/>
        <v>0</v>
      </c>
      <c r="O193" s="25">
        <f t="shared" si="102"/>
        <v>0</v>
      </c>
      <c r="P193" s="25">
        <f t="shared" si="102"/>
        <v>0</v>
      </c>
      <c r="Q193" s="25">
        <f t="shared" si="102"/>
        <v>0</v>
      </c>
      <c r="R193" s="25">
        <f t="shared" si="102"/>
        <v>0</v>
      </c>
      <c r="S193" s="25">
        <f t="shared" si="102"/>
        <v>0</v>
      </c>
      <c r="T193" s="25">
        <f t="shared" si="102"/>
        <v>0</v>
      </c>
      <c r="U193" s="25">
        <f t="shared" si="102"/>
        <v>0</v>
      </c>
      <c r="V193" s="25">
        <f t="shared" si="102"/>
        <v>0</v>
      </c>
      <c r="W193" s="25">
        <f>SUM(G193:V193)</f>
        <v>0</v>
      </c>
      <c r="X193" s="120" t="str">
        <f>IF(ABS(W193-F193)&lt;1,"ok","err")</f>
        <v>ok</v>
      </c>
    </row>
    <row r="194" spans="1:24" x14ac:dyDescent="0.2">
      <c r="A194" s="26">
        <v>871</v>
      </c>
      <c r="B194" s="23" t="s">
        <v>414</v>
      </c>
      <c r="C194" s="114" t="s">
        <v>500</v>
      </c>
      <c r="D194" s="114" t="s">
        <v>35</v>
      </c>
      <c r="F194" s="25">
        <v>678000</v>
      </c>
      <c r="G194" s="25">
        <f t="shared" ref="G194:G213" si="103">(VLOOKUP($D194,$C$6:$AJ$991,5,)/VLOOKUP($D194,$C$6:$AJ$991,4,))*$F194</f>
        <v>0</v>
      </c>
      <c r="H194" s="25">
        <f t="shared" ref="H194:H213" si="104">(VLOOKUP($D194,$C$6:$AJ$991,6,)/VLOOKUP($D194,$C$6:$AJ$991,4,))*$F194</f>
        <v>0</v>
      </c>
      <c r="I194" s="25">
        <f t="shared" ref="I194:I213" si="105">(VLOOKUP($D194,$C$6:$AJ$991,7,)/VLOOKUP($D194,$C$6:$AJ$991,4,))*$F194</f>
        <v>0</v>
      </c>
      <c r="J194" s="25">
        <f t="shared" ref="J194:J213" si="106">(VLOOKUP($D194,$C$6:$AJ$991,8,)/VLOOKUP($D194,$C$6:$AJ$991,4,))*$F194</f>
        <v>0</v>
      </c>
      <c r="K194" s="25">
        <f t="shared" ref="K194:K213" si="107">(VLOOKUP($D194,$C$6:$AJ$991,9,)/VLOOKUP($D194,$C$6:$AJ$991,4,))*$F194</f>
        <v>0</v>
      </c>
      <c r="L194" s="25">
        <f t="shared" ref="L194:L213" si="108">(VLOOKUP($D194,$C$6:$AJ$991,10,)/VLOOKUP($D194,$C$6:$AJ$991,4,))*$F194</f>
        <v>0</v>
      </c>
      <c r="M194" s="25">
        <f t="shared" ref="M194:M213" si="109">(VLOOKUP($D194,$C$6:$AJ$991,11,)/VLOOKUP($D194,$C$6:$AJ$991,4,))*$F194</f>
        <v>678000</v>
      </c>
      <c r="N194" s="25">
        <f t="shared" ref="N194:N213" si="110">(VLOOKUP($D194,$C$6:$AJ$991,12,)/VLOOKUP($D194,$C$6:$AJ$991,4,))*$F194</f>
        <v>0</v>
      </c>
      <c r="O194" s="25">
        <f t="shared" ref="O194:O213" si="111">(VLOOKUP($D194,$C$6:$AJ$991,13,)/VLOOKUP($D194,$C$6:$AJ$991,4,))*$F194</f>
        <v>0</v>
      </c>
      <c r="P194" s="25">
        <f t="shared" ref="P194:P213" si="112">(VLOOKUP($D194,$C$6:$AJ$991,14,)/VLOOKUP($D194,$C$6:$AJ$991,4,))*$F194</f>
        <v>0</v>
      </c>
      <c r="Q194" s="25">
        <f t="shared" ref="Q194:Q213" si="113">(VLOOKUP($D194,$C$6:$AJ$991,15,)/VLOOKUP($D194,$C$6:$AJ$991,4,))*$F194</f>
        <v>0</v>
      </c>
      <c r="R194" s="25">
        <f t="shared" ref="R194:R213" si="114">(VLOOKUP($D194,$C$6:$AJ$991,16,)/VLOOKUP($D194,$C$6:$AJ$991,4,))*$F194</f>
        <v>0</v>
      </c>
      <c r="S194" s="25">
        <f t="shared" ref="S194:S213" si="115">(VLOOKUP($D194,$C$6:$AJ$991,17,)/VLOOKUP($D194,$C$6:$AJ$991,4,))*$F194</f>
        <v>0</v>
      </c>
      <c r="T194" s="25">
        <f t="shared" ref="T194:T213" si="116">(VLOOKUP($D194,$C$6:$AJ$991,18,)/VLOOKUP($D194,$C$6:$AJ$991,4,))*$F194</f>
        <v>0</v>
      </c>
      <c r="U194" s="25">
        <f t="shared" ref="U194:U213" si="117">(VLOOKUP($D194,$C$6:$AJ$991,19,)/VLOOKUP($D194,$C$6:$AJ$991,4,))*$F194</f>
        <v>0</v>
      </c>
      <c r="V194" s="25">
        <f t="shared" ref="V194:V213" si="118">(VLOOKUP($D194,$C$6:$AJ$991,20,)/VLOOKUP($D194,$C$6:$AJ$991,4,))*$F194</f>
        <v>0</v>
      </c>
      <c r="W194" s="25">
        <f t="shared" ref="W194:W215" si="119">SUM(G194:V194)</f>
        <v>678000</v>
      </c>
      <c r="X194" s="120" t="str">
        <f t="shared" ref="X194:X215" si="120">IF(ABS(W194-F194)&lt;1,"ok","err")</f>
        <v>ok</v>
      </c>
    </row>
    <row r="195" spans="1:24" x14ac:dyDescent="0.2">
      <c r="A195" s="26">
        <v>872</v>
      </c>
      <c r="B195" s="23" t="s">
        <v>416</v>
      </c>
      <c r="C195" s="114" t="s">
        <v>501</v>
      </c>
      <c r="D195" s="114" t="s">
        <v>35</v>
      </c>
      <c r="F195" s="25">
        <v>0</v>
      </c>
      <c r="G195" s="25">
        <f t="shared" si="103"/>
        <v>0</v>
      </c>
      <c r="H195" s="25">
        <f t="shared" si="104"/>
        <v>0</v>
      </c>
      <c r="I195" s="25">
        <f t="shared" si="105"/>
        <v>0</v>
      </c>
      <c r="J195" s="25">
        <f t="shared" si="106"/>
        <v>0</v>
      </c>
      <c r="K195" s="25">
        <f t="shared" si="107"/>
        <v>0</v>
      </c>
      <c r="L195" s="25">
        <f t="shared" si="108"/>
        <v>0</v>
      </c>
      <c r="M195" s="25">
        <f t="shared" si="109"/>
        <v>0</v>
      </c>
      <c r="N195" s="25">
        <f t="shared" si="110"/>
        <v>0</v>
      </c>
      <c r="O195" s="25">
        <f t="shared" si="111"/>
        <v>0</v>
      </c>
      <c r="P195" s="25">
        <f t="shared" si="112"/>
        <v>0</v>
      </c>
      <c r="Q195" s="25">
        <f t="shared" si="113"/>
        <v>0</v>
      </c>
      <c r="R195" s="25">
        <f t="shared" si="114"/>
        <v>0</v>
      </c>
      <c r="S195" s="25">
        <f t="shared" si="115"/>
        <v>0</v>
      </c>
      <c r="T195" s="25">
        <f t="shared" si="116"/>
        <v>0</v>
      </c>
      <c r="U195" s="25">
        <f t="shared" si="117"/>
        <v>0</v>
      </c>
      <c r="V195" s="25">
        <f t="shared" si="118"/>
        <v>0</v>
      </c>
      <c r="W195" s="25">
        <f t="shared" si="119"/>
        <v>0</v>
      </c>
      <c r="X195" s="120" t="str">
        <f t="shared" si="120"/>
        <v>ok</v>
      </c>
    </row>
    <row r="196" spans="1:24" x14ac:dyDescent="0.2">
      <c r="A196" s="26">
        <v>873</v>
      </c>
      <c r="B196" s="23" t="s">
        <v>415</v>
      </c>
      <c r="C196" s="114" t="s">
        <v>502</v>
      </c>
      <c r="D196" s="114" t="s">
        <v>35</v>
      </c>
      <c r="F196" s="25">
        <v>0</v>
      </c>
      <c r="G196" s="25">
        <f t="shared" si="103"/>
        <v>0</v>
      </c>
      <c r="H196" s="25">
        <f t="shared" si="104"/>
        <v>0</v>
      </c>
      <c r="I196" s="25">
        <f t="shared" si="105"/>
        <v>0</v>
      </c>
      <c r="J196" s="25">
        <f t="shared" si="106"/>
        <v>0</v>
      </c>
      <c r="K196" s="25">
        <f t="shared" si="107"/>
        <v>0</v>
      </c>
      <c r="L196" s="25">
        <f t="shared" si="108"/>
        <v>0</v>
      </c>
      <c r="M196" s="25">
        <f t="shared" si="109"/>
        <v>0</v>
      </c>
      <c r="N196" s="25">
        <f t="shared" si="110"/>
        <v>0</v>
      </c>
      <c r="O196" s="25">
        <f t="shared" si="111"/>
        <v>0</v>
      </c>
      <c r="P196" s="25">
        <f t="shared" si="112"/>
        <v>0</v>
      </c>
      <c r="Q196" s="25">
        <f t="shared" si="113"/>
        <v>0</v>
      </c>
      <c r="R196" s="25">
        <f t="shared" si="114"/>
        <v>0</v>
      </c>
      <c r="S196" s="25">
        <f t="shared" si="115"/>
        <v>0</v>
      </c>
      <c r="T196" s="25">
        <f t="shared" si="116"/>
        <v>0</v>
      </c>
      <c r="U196" s="25">
        <f t="shared" si="117"/>
        <v>0</v>
      </c>
      <c r="V196" s="25">
        <f t="shared" si="118"/>
        <v>0</v>
      </c>
      <c r="W196" s="25">
        <f t="shared" si="119"/>
        <v>0</v>
      </c>
      <c r="X196" s="120" t="str">
        <f t="shared" si="120"/>
        <v>ok</v>
      </c>
    </row>
    <row r="197" spans="1:24" x14ac:dyDescent="0.2">
      <c r="A197" s="26">
        <v>874.01</v>
      </c>
      <c r="B197" s="23" t="s">
        <v>417</v>
      </c>
      <c r="C197" s="114" t="s">
        <v>503</v>
      </c>
      <c r="D197" s="114" t="s">
        <v>637</v>
      </c>
      <c r="F197" s="25">
        <v>944124</v>
      </c>
      <c r="G197" s="25">
        <f t="shared" si="103"/>
        <v>0</v>
      </c>
      <c r="H197" s="25">
        <f t="shared" si="104"/>
        <v>0</v>
      </c>
      <c r="I197" s="25">
        <f t="shared" si="105"/>
        <v>0</v>
      </c>
      <c r="J197" s="25">
        <f t="shared" si="106"/>
        <v>0</v>
      </c>
      <c r="K197" s="25">
        <f t="shared" si="107"/>
        <v>0</v>
      </c>
      <c r="L197" s="25">
        <f t="shared" si="108"/>
        <v>0</v>
      </c>
      <c r="M197" s="25">
        <f t="shared" si="109"/>
        <v>0</v>
      </c>
      <c r="N197" s="25">
        <f t="shared" si="110"/>
        <v>0</v>
      </c>
      <c r="O197" s="25">
        <f t="shared" si="111"/>
        <v>453058.39128875884</v>
      </c>
      <c r="P197" s="25">
        <f t="shared" si="112"/>
        <v>0</v>
      </c>
      <c r="Q197" s="25">
        <f t="shared" si="113"/>
        <v>49727.956146311495</v>
      </c>
      <c r="R197" s="25">
        <f t="shared" si="114"/>
        <v>0</v>
      </c>
      <c r="S197" s="25">
        <f t="shared" si="115"/>
        <v>441337.65256492957</v>
      </c>
      <c r="T197" s="25">
        <f t="shared" si="116"/>
        <v>0</v>
      </c>
      <c r="U197" s="25">
        <f t="shared" si="117"/>
        <v>0</v>
      </c>
      <c r="V197" s="25">
        <f t="shared" si="118"/>
        <v>0</v>
      </c>
      <c r="W197" s="25">
        <f t="shared" si="119"/>
        <v>944123.99999999988</v>
      </c>
      <c r="X197" s="120" t="str">
        <f t="shared" si="120"/>
        <v>ok</v>
      </c>
    </row>
    <row r="198" spans="1:24" x14ac:dyDescent="0.2">
      <c r="A198" s="26">
        <v>874.02</v>
      </c>
      <c r="B198" s="23" t="s">
        <v>418</v>
      </c>
      <c r="C198" s="114" t="s">
        <v>504</v>
      </c>
      <c r="D198" s="114" t="s">
        <v>40</v>
      </c>
      <c r="F198" s="25">
        <v>0</v>
      </c>
      <c r="G198" s="25">
        <f t="shared" si="103"/>
        <v>0</v>
      </c>
      <c r="H198" s="25">
        <f t="shared" si="104"/>
        <v>0</v>
      </c>
      <c r="I198" s="25">
        <f t="shared" si="105"/>
        <v>0</v>
      </c>
      <c r="J198" s="25">
        <f t="shared" si="106"/>
        <v>0</v>
      </c>
      <c r="K198" s="25">
        <f t="shared" si="107"/>
        <v>0</v>
      </c>
      <c r="L198" s="25">
        <f t="shared" si="108"/>
        <v>0</v>
      </c>
      <c r="M198" s="25">
        <f t="shared" si="109"/>
        <v>0</v>
      </c>
      <c r="N198" s="25">
        <f t="shared" si="110"/>
        <v>0</v>
      </c>
      <c r="O198" s="25">
        <f t="shared" si="111"/>
        <v>0</v>
      </c>
      <c r="P198" s="25">
        <f t="shared" si="112"/>
        <v>0</v>
      </c>
      <c r="Q198" s="25">
        <f t="shared" si="113"/>
        <v>0</v>
      </c>
      <c r="R198" s="25">
        <f t="shared" si="114"/>
        <v>0</v>
      </c>
      <c r="S198" s="25">
        <f t="shared" si="115"/>
        <v>0</v>
      </c>
      <c r="T198" s="25">
        <f t="shared" si="116"/>
        <v>0</v>
      </c>
      <c r="U198" s="25">
        <f t="shared" si="117"/>
        <v>0</v>
      </c>
      <c r="V198" s="25">
        <f t="shared" si="118"/>
        <v>0</v>
      </c>
      <c r="W198" s="25">
        <f t="shared" si="119"/>
        <v>0</v>
      </c>
      <c r="X198" s="120" t="str">
        <f t="shared" si="120"/>
        <v>ok</v>
      </c>
    </row>
    <row r="199" spans="1:24" x14ac:dyDescent="0.2">
      <c r="A199" s="26">
        <v>874.03</v>
      </c>
      <c r="B199" s="23" t="s">
        <v>419</v>
      </c>
      <c r="C199" s="114" t="s">
        <v>505</v>
      </c>
      <c r="D199" s="114" t="s">
        <v>42</v>
      </c>
      <c r="F199" s="25">
        <v>0</v>
      </c>
      <c r="G199" s="25">
        <f t="shared" si="103"/>
        <v>0</v>
      </c>
      <c r="H199" s="25">
        <f t="shared" si="104"/>
        <v>0</v>
      </c>
      <c r="I199" s="25">
        <f t="shared" si="105"/>
        <v>0</v>
      </c>
      <c r="J199" s="25">
        <f t="shared" si="106"/>
        <v>0</v>
      </c>
      <c r="K199" s="25">
        <f t="shared" si="107"/>
        <v>0</v>
      </c>
      <c r="L199" s="25">
        <f t="shared" si="108"/>
        <v>0</v>
      </c>
      <c r="M199" s="25">
        <f t="shared" si="109"/>
        <v>0</v>
      </c>
      <c r="N199" s="25">
        <f t="shared" si="110"/>
        <v>0</v>
      </c>
      <c r="O199" s="25">
        <f t="shared" si="111"/>
        <v>0</v>
      </c>
      <c r="P199" s="25">
        <f t="shared" si="112"/>
        <v>0</v>
      </c>
      <c r="Q199" s="25">
        <f t="shared" si="113"/>
        <v>0</v>
      </c>
      <c r="R199" s="25">
        <f t="shared" si="114"/>
        <v>0</v>
      </c>
      <c r="S199" s="25">
        <f t="shared" si="115"/>
        <v>0</v>
      </c>
      <c r="T199" s="25">
        <f t="shared" si="116"/>
        <v>0</v>
      </c>
      <c r="U199" s="25">
        <f t="shared" si="117"/>
        <v>0</v>
      </c>
      <c r="V199" s="25">
        <f t="shared" si="118"/>
        <v>0</v>
      </c>
      <c r="W199" s="25">
        <f t="shared" si="119"/>
        <v>0</v>
      </c>
      <c r="X199" s="120" t="str">
        <f t="shared" si="120"/>
        <v>ok</v>
      </c>
    </row>
    <row r="200" spans="1:24" x14ac:dyDescent="0.2">
      <c r="A200" s="26">
        <v>874.04</v>
      </c>
      <c r="B200" s="23" t="s">
        <v>420</v>
      </c>
      <c r="C200" s="114" t="s">
        <v>506</v>
      </c>
      <c r="D200" s="114" t="s">
        <v>637</v>
      </c>
      <c r="F200" s="25">
        <v>0</v>
      </c>
      <c r="G200" s="25">
        <f t="shared" si="103"/>
        <v>0</v>
      </c>
      <c r="H200" s="25">
        <f t="shared" si="104"/>
        <v>0</v>
      </c>
      <c r="I200" s="25">
        <f t="shared" si="105"/>
        <v>0</v>
      </c>
      <c r="J200" s="25">
        <f t="shared" si="106"/>
        <v>0</v>
      </c>
      <c r="K200" s="25">
        <f t="shared" si="107"/>
        <v>0</v>
      </c>
      <c r="L200" s="25">
        <f t="shared" si="108"/>
        <v>0</v>
      </c>
      <c r="M200" s="25">
        <f t="shared" si="109"/>
        <v>0</v>
      </c>
      <c r="N200" s="25">
        <f t="shared" si="110"/>
        <v>0</v>
      </c>
      <c r="O200" s="25">
        <f t="shared" si="111"/>
        <v>0</v>
      </c>
      <c r="P200" s="25">
        <f t="shared" si="112"/>
        <v>0</v>
      </c>
      <c r="Q200" s="25">
        <f t="shared" si="113"/>
        <v>0</v>
      </c>
      <c r="R200" s="25">
        <f t="shared" si="114"/>
        <v>0</v>
      </c>
      <c r="S200" s="25">
        <f t="shared" si="115"/>
        <v>0</v>
      </c>
      <c r="T200" s="25">
        <f t="shared" si="116"/>
        <v>0</v>
      </c>
      <c r="U200" s="25">
        <f t="shared" si="117"/>
        <v>0</v>
      </c>
      <c r="V200" s="25">
        <f t="shared" si="118"/>
        <v>0</v>
      </c>
      <c r="W200" s="25">
        <f t="shared" si="119"/>
        <v>0</v>
      </c>
      <c r="X200" s="120" t="str">
        <f t="shared" si="120"/>
        <v>ok</v>
      </c>
    </row>
    <row r="201" spans="1:24" x14ac:dyDescent="0.2">
      <c r="A201" s="26">
        <v>874.05</v>
      </c>
      <c r="B201" s="23" t="s">
        <v>421</v>
      </c>
      <c r="C201" s="114" t="s">
        <v>507</v>
      </c>
      <c r="D201" s="114" t="s">
        <v>42</v>
      </c>
      <c r="F201" s="25">
        <v>0</v>
      </c>
      <c r="G201" s="25">
        <f t="shared" si="103"/>
        <v>0</v>
      </c>
      <c r="H201" s="25">
        <f t="shared" si="104"/>
        <v>0</v>
      </c>
      <c r="I201" s="25">
        <f t="shared" si="105"/>
        <v>0</v>
      </c>
      <c r="J201" s="25">
        <f t="shared" si="106"/>
        <v>0</v>
      </c>
      <c r="K201" s="25">
        <f t="shared" si="107"/>
        <v>0</v>
      </c>
      <c r="L201" s="25">
        <f t="shared" si="108"/>
        <v>0</v>
      </c>
      <c r="M201" s="25">
        <f t="shared" si="109"/>
        <v>0</v>
      </c>
      <c r="N201" s="25">
        <f t="shared" si="110"/>
        <v>0</v>
      </c>
      <c r="O201" s="25">
        <f t="shared" si="111"/>
        <v>0</v>
      </c>
      <c r="P201" s="25">
        <f t="shared" si="112"/>
        <v>0</v>
      </c>
      <c r="Q201" s="25">
        <f t="shared" si="113"/>
        <v>0</v>
      </c>
      <c r="R201" s="25">
        <f t="shared" si="114"/>
        <v>0</v>
      </c>
      <c r="S201" s="25">
        <f t="shared" si="115"/>
        <v>0</v>
      </c>
      <c r="T201" s="25">
        <f t="shared" si="116"/>
        <v>0</v>
      </c>
      <c r="U201" s="25">
        <f t="shared" si="117"/>
        <v>0</v>
      </c>
      <c r="V201" s="25">
        <f t="shared" si="118"/>
        <v>0</v>
      </c>
      <c r="W201" s="25">
        <f t="shared" si="119"/>
        <v>0</v>
      </c>
      <c r="X201" s="120" t="str">
        <f t="shared" si="120"/>
        <v>ok</v>
      </c>
    </row>
    <row r="202" spans="1:24" x14ac:dyDescent="0.2">
      <c r="A202" s="26">
        <v>874.06</v>
      </c>
      <c r="B202" s="23" t="s">
        <v>422</v>
      </c>
      <c r="C202" s="114" t="s">
        <v>508</v>
      </c>
      <c r="D202" s="114" t="s">
        <v>40</v>
      </c>
      <c r="F202" s="25">
        <v>0</v>
      </c>
      <c r="G202" s="25">
        <f t="shared" si="103"/>
        <v>0</v>
      </c>
      <c r="H202" s="25">
        <f t="shared" si="104"/>
        <v>0</v>
      </c>
      <c r="I202" s="25">
        <f t="shared" si="105"/>
        <v>0</v>
      </c>
      <c r="J202" s="25">
        <f t="shared" si="106"/>
        <v>0</v>
      </c>
      <c r="K202" s="25">
        <f t="shared" si="107"/>
        <v>0</v>
      </c>
      <c r="L202" s="25">
        <f t="shared" si="108"/>
        <v>0</v>
      </c>
      <c r="M202" s="25">
        <f t="shared" si="109"/>
        <v>0</v>
      </c>
      <c r="N202" s="25">
        <f t="shared" si="110"/>
        <v>0</v>
      </c>
      <c r="O202" s="25">
        <f t="shared" si="111"/>
        <v>0</v>
      </c>
      <c r="P202" s="25">
        <f t="shared" si="112"/>
        <v>0</v>
      </c>
      <c r="Q202" s="25">
        <f t="shared" si="113"/>
        <v>0</v>
      </c>
      <c r="R202" s="25">
        <f t="shared" si="114"/>
        <v>0</v>
      </c>
      <c r="S202" s="25">
        <f t="shared" si="115"/>
        <v>0</v>
      </c>
      <c r="T202" s="25">
        <f t="shared" si="116"/>
        <v>0</v>
      </c>
      <c r="U202" s="25">
        <f t="shared" si="117"/>
        <v>0</v>
      </c>
      <c r="V202" s="25">
        <f t="shared" si="118"/>
        <v>0</v>
      </c>
      <c r="W202" s="25">
        <f t="shared" si="119"/>
        <v>0</v>
      </c>
      <c r="X202" s="120" t="str">
        <f t="shared" si="120"/>
        <v>ok</v>
      </c>
    </row>
    <row r="203" spans="1:24" x14ac:dyDescent="0.2">
      <c r="A203" s="26">
        <v>874.07</v>
      </c>
      <c r="B203" s="23" t="s">
        <v>423</v>
      </c>
      <c r="C203" s="114" t="s">
        <v>509</v>
      </c>
      <c r="D203" s="114" t="s">
        <v>40</v>
      </c>
      <c r="F203" s="25">
        <v>0</v>
      </c>
      <c r="G203" s="25">
        <f t="shared" si="103"/>
        <v>0</v>
      </c>
      <c r="H203" s="25">
        <f t="shared" si="104"/>
        <v>0</v>
      </c>
      <c r="I203" s="25">
        <f t="shared" si="105"/>
        <v>0</v>
      </c>
      <c r="J203" s="25">
        <f t="shared" si="106"/>
        <v>0</v>
      </c>
      <c r="K203" s="25">
        <f t="shared" si="107"/>
        <v>0</v>
      </c>
      <c r="L203" s="25">
        <f t="shared" si="108"/>
        <v>0</v>
      </c>
      <c r="M203" s="25">
        <f t="shared" si="109"/>
        <v>0</v>
      </c>
      <c r="N203" s="25">
        <f t="shared" si="110"/>
        <v>0</v>
      </c>
      <c r="O203" s="25">
        <f t="shared" si="111"/>
        <v>0</v>
      </c>
      <c r="P203" s="25">
        <f t="shared" si="112"/>
        <v>0</v>
      </c>
      <c r="Q203" s="25">
        <f t="shared" si="113"/>
        <v>0</v>
      </c>
      <c r="R203" s="25">
        <f t="shared" si="114"/>
        <v>0</v>
      </c>
      <c r="S203" s="25">
        <f t="shared" si="115"/>
        <v>0</v>
      </c>
      <c r="T203" s="25">
        <f t="shared" si="116"/>
        <v>0</v>
      </c>
      <c r="U203" s="25">
        <f t="shared" si="117"/>
        <v>0</v>
      </c>
      <c r="V203" s="25">
        <f t="shared" si="118"/>
        <v>0</v>
      </c>
      <c r="W203" s="25">
        <f t="shared" si="119"/>
        <v>0</v>
      </c>
      <c r="X203" s="120" t="str">
        <f t="shared" si="120"/>
        <v>ok</v>
      </c>
    </row>
    <row r="204" spans="1:24" x14ac:dyDescent="0.2">
      <c r="A204" s="26">
        <v>874.08</v>
      </c>
      <c r="B204" s="23" t="s">
        <v>424</v>
      </c>
      <c r="C204" s="114" t="s">
        <v>510</v>
      </c>
      <c r="D204" s="114" t="s">
        <v>35</v>
      </c>
      <c r="F204" s="25">
        <v>0</v>
      </c>
      <c r="G204" s="25">
        <f t="shared" si="103"/>
        <v>0</v>
      </c>
      <c r="H204" s="25">
        <f t="shared" si="104"/>
        <v>0</v>
      </c>
      <c r="I204" s="25">
        <f t="shared" si="105"/>
        <v>0</v>
      </c>
      <c r="J204" s="25">
        <f t="shared" si="106"/>
        <v>0</v>
      </c>
      <c r="K204" s="25">
        <f t="shared" si="107"/>
        <v>0</v>
      </c>
      <c r="L204" s="25">
        <f t="shared" si="108"/>
        <v>0</v>
      </c>
      <c r="M204" s="25">
        <f t="shared" si="109"/>
        <v>0</v>
      </c>
      <c r="N204" s="25">
        <f t="shared" si="110"/>
        <v>0</v>
      </c>
      <c r="O204" s="25">
        <f t="shared" si="111"/>
        <v>0</v>
      </c>
      <c r="P204" s="25">
        <f t="shared" si="112"/>
        <v>0</v>
      </c>
      <c r="Q204" s="25">
        <f t="shared" si="113"/>
        <v>0</v>
      </c>
      <c r="R204" s="25">
        <f t="shared" si="114"/>
        <v>0</v>
      </c>
      <c r="S204" s="25">
        <f t="shared" si="115"/>
        <v>0</v>
      </c>
      <c r="T204" s="25">
        <f t="shared" si="116"/>
        <v>0</v>
      </c>
      <c r="U204" s="25">
        <f t="shared" si="117"/>
        <v>0</v>
      </c>
      <c r="V204" s="25">
        <f t="shared" si="118"/>
        <v>0</v>
      </c>
      <c r="W204" s="25">
        <f t="shared" si="119"/>
        <v>0</v>
      </c>
      <c r="X204" s="120" t="str">
        <f t="shared" si="120"/>
        <v>ok</v>
      </c>
    </row>
    <row r="205" spans="1:24" x14ac:dyDescent="0.2">
      <c r="A205" s="26">
        <v>874.09</v>
      </c>
      <c r="B205" s="23" t="s">
        <v>425</v>
      </c>
      <c r="C205" s="114" t="s">
        <v>511</v>
      </c>
      <c r="D205" s="114" t="s">
        <v>40</v>
      </c>
      <c r="F205" s="25">
        <v>0</v>
      </c>
      <c r="G205" s="25">
        <f t="shared" si="103"/>
        <v>0</v>
      </c>
      <c r="H205" s="25">
        <f t="shared" si="104"/>
        <v>0</v>
      </c>
      <c r="I205" s="25">
        <f t="shared" si="105"/>
        <v>0</v>
      </c>
      <c r="J205" s="25">
        <f t="shared" si="106"/>
        <v>0</v>
      </c>
      <c r="K205" s="25">
        <f t="shared" si="107"/>
        <v>0</v>
      </c>
      <c r="L205" s="25">
        <f t="shared" si="108"/>
        <v>0</v>
      </c>
      <c r="M205" s="25">
        <f t="shared" si="109"/>
        <v>0</v>
      </c>
      <c r="N205" s="25">
        <f t="shared" si="110"/>
        <v>0</v>
      </c>
      <c r="O205" s="25">
        <f t="shared" si="111"/>
        <v>0</v>
      </c>
      <c r="P205" s="25">
        <f t="shared" si="112"/>
        <v>0</v>
      </c>
      <c r="Q205" s="25">
        <f t="shared" si="113"/>
        <v>0</v>
      </c>
      <c r="R205" s="25">
        <f t="shared" si="114"/>
        <v>0</v>
      </c>
      <c r="S205" s="25">
        <f t="shared" si="115"/>
        <v>0</v>
      </c>
      <c r="T205" s="25">
        <f t="shared" si="116"/>
        <v>0</v>
      </c>
      <c r="U205" s="25">
        <f t="shared" si="117"/>
        <v>0</v>
      </c>
      <c r="V205" s="25">
        <f t="shared" si="118"/>
        <v>0</v>
      </c>
      <c r="W205" s="25">
        <f t="shared" si="119"/>
        <v>0</v>
      </c>
      <c r="X205" s="120" t="str">
        <f t="shared" si="120"/>
        <v>ok</v>
      </c>
    </row>
    <row r="206" spans="1:24" x14ac:dyDescent="0.2">
      <c r="A206" s="26">
        <v>874.1</v>
      </c>
      <c r="B206" s="23" t="s">
        <v>426</v>
      </c>
      <c r="C206" s="114" t="s">
        <v>512</v>
      </c>
      <c r="D206" s="114" t="s">
        <v>40</v>
      </c>
      <c r="F206" s="25">
        <v>0</v>
      </c>
      <c r="G206" s="25">
        <f t="shared" si="103"/>
        <v>0</v>
      </c>
      <c r="H206" s="25">
        <f t="shared" si="104"/>
        <v>0</v>
      </c>
      <c r="I206" s="25">
        <f t="shared" si="105"/>
        <v>0</v>
      </c>
      <c r="J206" s="25">
        <f t="shared" si="106"/>
        <v>0</v>
      </c>
      <c r="K206" s="25">
        <f t="shared" si="107"/>
        <v>0</v>
      </c>
      <c r="L206" s="25">
        <f t="shared" si="108"/>
        <v>0</v>
      </c>
      <c r="M206" s="25">
        <f t="shared" si="109"/>
        <v>0</v>
      </c>
      <c r="N206" s="25">
        <f t="shared" si="110"/>
        <v>0</v>
      </c>
      <c r="O206" s="25">
        <f t="shared" si="111"/>
        <v>0</v>
      </c>
      <c r="P206" s="25">
        <f t="shared" si="112"/>
        <v>0</v>
      </c>
      <c r="Q206" s="25">
        <f t="shared" si="113"/>
        <v>0</v>
      </c>
      <c r="R206" s="25">
        <f t="shared" si="114"/>
        <v>0</v>
      </c>
      <c r="S206" s="25">
        <f t="shared" si="115"/>
        <v>0</v>
      </c>
      <c r="T206" s="25">
        <f t="shared" si="116"/>
        <v>0</v>
      </c>
      <c r="U206" s="25">
        <f t="shared" si="117"/>
        <v>0</v>
      </c>
      <c r="V206" s="25">
        <f t="shared" si="118"/>
        <v>0</v>
      </c>
      <c r="W206" s="25">
        <f t="shared" si="119"/>
        <v>0</v>
      </c>
      <c r="X206" s="120" t="str">
        <f t="shared" si="120"/>
        <v>ok</v>
      </c>
    </row>
    <row r="207" spans="1:24" x14ac:dyDescent="0.2">
      <c r="A207" s="26">
        <v>875</v>
      </c>
      <c r="B207" s="23" t="s">
        <v>427</v>
      </c>
      <c r="C207" s="114" t="s">
        <v>513</v>
      </c>
      <c r="D207" s="114" t="s">
        <v>38</v>
      </c>
      <c r="F207" s="30">
        <v>695000</v>
      </c>
      <c r="G207" s="25">
        <f t="shared" si="103"/>
        <v>0</v>
      </c>
      <c r="H207" s="25">
        <f t="shared" si="104"/>
        <v>0</v>
      </c>
      <c r="I207" s="25">
        <f t="shared" si="105"/>
        <v>0</v>
      </c>
      <c r="J207" s="25">
        <f t="shared" si="106"/>
        <v>0</v>
      </c>
      <c r="K207" s="25">
        <f t="shared" si="107"/>
        <v>0</v>
      </c>
      <c r="L207" s="25">
        <f t="shared" si="108"/>
        <v>0</v>
      </c>
      <c r="M207" s="25">
        <f t="shared" si="109"/>
        <v>0</v>
      </c>
      <c r="N207" s="25">
        <f t="shared" si="110"/>
        <v>695000</v>
      </c>
      <c r="O207" s="25">
        <f t="shared" si="111"/>
        <v>0</v>
      </c>
      <c r="P207" s="25">
        <f t="shared" si="112"/>
        <v>0</v>
      </c>
      <c r="Q207" s="25">
        <f t="shared" si="113"/>
        <v>0</v>
      </c>
      <c r="R207" s="25">
        <f t="shared" si="114"/>
        <v>0</v>
      </c>
      <c r="S207" s="25">
        <f t="shared" si="115"/>
        <v>0</v>
      </c>
      <c r="T207" s="25">
        <f t="shared" si="116"/>
        <v>0</v>
      </c>
      <c r="U207" s="25">
        <f t="shared" si="117"/>
        <v>0</v>
      </c>
      <c r="V207" s="25">
        <f t="shared" si="118"/>
        <v>0</v>
      </c>
      <c r="W207" s="25">
        <f t="shared" si="119"/>
        <v>695000</v>
      </c>
      <c r="X207" s="120" t="str">
        <f t="shared" si="120"/>
        <v>ok</v>
      </c>
    </row>
    <row r="208" spans="1:24" x14ac:dyDescent="0.2">
      <c r="A208" s="26">
        <v>876</v>
      </c>
      <c r="B208" s="23" t="s">
        <v>428</v>
      </c>
      <c r="C208" s="114" t="s">
        <v>514</v>
      </c>
      <c r="D208" s="114" t="s">
        <v>45</v>
      </c>
      <c r="F208" s="30">
        <v>339000</v>
      </c>
      <c r="G208" s="25">
        <f t="shared" si="103"/>
        <v>0</v>
      </c>
      <c r="H208" s="25">
        <f t="shared" si="104"/>
        <v>0</v>
      </c>
      <c r="I208" s="25">
        <f t="shared" si="105"/>
        <v>0</v>
      </c>
      <c r="J208" s="25">
        <f t="shared" si="106"/>
        <v>0</v>
      </c>
      <c r="K208" s="25">
        <f t="shared" si="107"/>
        <v>0</v>
      </c>
      <c r="L208" s="25">
        <f t="shared" si="108"/>
        <v>0</v>
      </c>
      <c r="M208" s="25">
        <f t="shared" si="109"/>
        <v>0</v>
      </c>
      <c r="N208" s="25">
        <f t="shared" si="110"/>
        <v>0</v>
      </c>
      <c r="O208" s="25">
        <f t="shared" si="111"/>
        <v>0</v>
      </c>
      <c r="P208" s="25">
        <f t="shared" si="112"/>
        <v>0</v>
      </c>
      <c r="Q208" s="25">
        <f t="shared" si="113"/>
        <v>0</v>
      </c>
      <c r="R208" s="25">
        <f t="shared" si="114"/>
        <v>0</v>
      </c>
      <c r="S208" s="25">
        <f t="shared" si="115"/>
        <v>0</v>
      </c>
      <c r="T208" s="25">
        <f t="shared" si="116"/>
        <v>339000</v>
      </c>
      <c r="U208" s="25">
        <f t="shared" si="117"/>
        <v>0</v>
      </c>
      <c r="V208" s="25">
        <f t="shared" si="118"/>
        <v>0</v>
      </c>
      <c r="W208" s="25">
        <f t="shared" si="119"/>
        <v>339000</v>
      </c>
      <c r="X208" s="120" t="str">
        <f t="shared" si="120"/>
        <v>ok</v>
      </c>
    </row>
    <row r="209" spans="1:24" x14ac:dyDescent="0.2">
      <c r="A209" s="26">
        <v>877</v>
      </c>
      <c r="B209" s="23" t="s">
        <v>429</v>
      </c>
      <c r="C209" s="114" t="s">
        <v>515</v>
      </c>
      <c r="D209" s="114" t="s">
        <v>38</v>
      </c>
      <c r="F209" s="30">
        <v>53000</v>
      </c>
      <c r="G209" s="25">
        <f t="shared" si="103"/>
        <v>0</v>
      </c>
      <c r="H209" s="25">
        <f t="shared" si="104"/>
        <v>0</v>
      </c>
      <c r="I209" s="25">
        <f t="shared" si="105"/>
        <v>0</v>
      </c>
      <c r="J209" s="25">
        <f t="shared" si="106"/>
        <v>0</v>
      </c>
      <c r="K209" s="25">
        <f t="shared" si="107"/>
        <v>0</v>
      </c>
      <c r="L209" s="25">
        <f t="shared" si="108"/>
        <v>0</v>
      </c>
      <c r="M209" s="25">
        <f t="shared" si="109"/>
        <v>0</v>
      </c>
      <c r="N209" s="25">
        <f t="shared" si="110"/>
        <v>53000</v>
      </c>
      <c r="O209" s="25">
        <f t="shared" si="111"/>
        <v>0</v>
      </c>
      <c r="P209" s="25">
        <f t="shared" si="112"/>
        <v>0</v>
      </c>
      <c r="Q209" s="25">
        <f t="shared" si="113"/>
        <v>0</v>
      </c>
      <c r="R209" s="25">
        <f t="shared" si="114"/>
        <v>0</v>
      </c>
      <c r="S209" s="25">
        <f t="shared" si="115"/>
        <v>0</v>
      </c>
      <c r="T209" s="25">
        <f t="shared" si="116"/>
        <v>0</v>
      </c>
      <c r="U209" s="25">
        <f t="shared" si="117"/>
        <v>0</v>
      </c>
      <c r="V209" s="25">
        <f t="shared" si="118"/>
        <v>0</v>
      </c>
      <c r="W209" s="25">
        <f t="shared" si="119"/>
        <v>53000</v>
      </c>
      <c r="X209" s="120" t="str">
        <f t="shared" si="120"/>
        <v>ok</v>
      </c>
    </row>
    <row r="210" spans="1:24" x14ac:dyDescent="0.2">
      <c r="A210" s="26">
        <v>878</v>
      </c>
      <c r="B210" s="23" t="s">
        <v>430</v>
      </c>
      <c r="C210" s="114" t="s">
        <v>516</v>
      </c>
      <c r="D210" s="114" t="s">
        <v>45</v>
      </c>
      <c r="F210" s="30">
        <v>656175</v>
      </c>
      <c r="G210" s="25">
        <f t="shared" si="103"/>
        <v>0</v>
      </c>
      <c r="H210" s="25">
        <f t="shared" si="104"/>
        <v>0</v>
      </c>
      <c r="I210" s="25">
        <f t="shared" si="105"/>
        <v>0</v>
      </c>
      <c r="J210" s="25">
        <f t="shared" si="106"/>
        <v>0</v>
      </c>
      <c r="K210" s="25">
        <f t="shared" si="107"/>
        <v>0</v>
      </c>
      <c r="L210" s="25">
        <f t="shared" si="108"/>
        <v>0</v>
      </c>
      <c r="M210" s="25">
        <f t="shared" si="109"/>
        <v>0</v>
      </c>
      <c r="N210" s="25">
        <f t="shared" si="110"/>
        <v>0</v>
      </c>
      <c r="O210" s="25">
        <f t="shared" si="111"/>
        <v>0</v>
      </c>
      <c r="P210" s="25">
        <f t="shared" si="112"/>
        <v>0</v>
      </c>
      <c r="Q210" s="25">
        <f t="shared" si="113"/>
        <v>0</v>
      </c>
      <c r="R210" s="25">
        <f t="shared" si="114"/>
        <v>0</v>
      </c>
      <c r="S210" s="25">
        <f t="shared" si="115"/>
        <v>0</v>
      </c>
      <c r="T210" s="25">
        <f t="shared" si="116"/>
        <v>656175</v>
      </c>
      <c r="U210" s="25">
        <f t="shared" si="117"/>
        <v>0</v>
      </c>
      <c r="V210" s="25">
        <f t="shared" si="118"/>
        <v>0</v>
      </c>
      <c r="W210" s="25">
        <f t="shared" si="119"/>
        <v>656175</v>
      </c>
      <c r="X210" s="120" t="str">
        <f t="shared" si="120"/>
        <v>ok</v>
      </c>
    </row>
    <row r="211" spans="1:24" x14ac:dyDescent="0.2">
      <c r="A211" s="26">
        <v>879</v>
      </c>
      <c r="B211" s="23" t="s">
        <v>431</v>
      </c>
      <c r="C211" s="114" t="s">
        <v>517</v>
      </c>
      <c r="D211" s="114" t="s">
        <v>45</v>
      </c>
      <c r="F211" s="30">
        <v>67000</v>
      </c>
      <c r="G211" s="25">
        <f t="shared" si="103"/>
        <v>0</v>
      </c>
      <c r="H211" s="25">
        <f t="shared" si="104"/>
        <v>0</v>
      </c>
      <c r="I211" s="25">
        <f t="shared" si="105"/>
        <v>0</v>
      </c>
      <c r="J211" s="25">
        <f t="shared" si="106"/>
        <v>0</v>
      </c>
      <c r="K211" s="25">
        <f t="shared" si="107"/>
        <v>0</v>
      </c>
      <c r="L211" s="25">
        <f t="shared" si="108"/>
        <v>0</v>
      </c>
      <c r="M211" s="25">
        <f t="shared" si="109"/>
        <v>0</v>
      </c>
      <c r="N211" s="25">
        <f t="shared" si="110"/>
        <v>0</v>
      </c>
      <c r="O211" s="25">
        <f t="shared" si="111"/>
        <v>0</v>
      </c>
      <c r="P211" s="25">
        <f t="shared" si="112"/>
        <v>0</v>
      </c>
      <c r="Q211" s="25">
        <f t="shared" si="113"/>
        <v>0</v>
      </c>
      <c r="R211" s="25">
        <f t="shared" si="114"/>
        <v>0</v>
      </c>
      <c r="S211" s="25">
        <f t="shared" si="115"/>
        <v>0</v>
      </c>
      <c r="T211" s="25">
        <f t="shared" si="116"/>
        <v>67000</v>
      </c>
      <c r="U211" s="25">
        <f t="shared" si="117"/>
        <v>0</v>
      </c>
      <c r="V211" s="25">
        <f t="shared" si="118"/>
        <v>0</v>
      </c>
      <c r="W211" s="25">
        <f t="shared" si="119"/>
        <v>67000</v>
      </c>
      <c r="X211" s="120" t="str">
        <f t="shared" si="120"/>
        <v>ok</v>
      </c>
    </row>
    <row r="212" spans="1:24" x14ac:dyDescent="0.2">
      <c r="A212" s="26">
        <v>880</v>
      </c>
      <c r="B212" s="23" t="s">
        <v>105</v>
      </c>
      <c r="C212" s="114" t="s">
        <v>518</v>
      </c>
      <c r="D212" s="114" t="s">
        <v>200</v>
      </c>
      <c r="F212" s="30">
        <v>1534995</v>
      </c>
      <c r="G212" s="25">
        <f t="shared" si="103"/>
        <v>0</v>
      </c>
      <c r="H212" s="25">
        <f t="shared" si="104"/>
        <v>0</v>
      </c>
      <c r="I212" s="25">
        <f t="shared" si="105"/>
        <v>0</v>
      </c>
      <c r="J212" s="25">
        <f t="shared" si="106"/>
        <v>0</v>
      </c>
      <c r="K212" s="25">
        <f t="shared" si="107"/>
        <v>0</v>
      </c>
      <c r="L212" s="25">
        <f t="shared" si="108"/>
        <v>0</v>
      </c>
      <c r="M212" s="25">
        <f t="shared" si="109"/>
        <v>0</v>
      </c>
      <c r="N212" s="25">
        <f t="shared" si="110"/>
        <v>62266.608615672703</v>
      </c>
      <c r="O212" s="25">
        <f t="shared" si="111"/>
        <v>637612.77474728005</v>
      </c>
      <c r="P212" s="25">
        <f t="shared" si="112"/>
        <v>0</v>
      </c>
      <c r="Q212" s="25">
        <f t="shared" si="113"/>
        <v>69984.75408604012</v>
      </c>
      <c r="R212" s="25">
        <f t="shared" si="114"/>
        <v>0</v>
      </c>
      <c r="S212" s="25">
        <f t="shared" si="115"/>
        <v>621117.56599829218</v>
      </c>
      <c r="T212" s="25">
        <f t="shared" si="116"/>
        <v>144013.29655271492</v>
      </c>
      <c r="U212" s="25">
        <f t="shared" si="117"/>
        <v>0</v>
      </c>
      <c r="V212" s="25">
        <f t="shared" si="118"/>
        <v>0</v>
      </c>
      <c r="W212" s="25">
        <f t="shared" si="119"/>
        <v>1534995</v>
      </c>
      <c r="X212" s="120" t="str">
        <f t="shared" si="120"/>
        <v>ok</v>
      </c>
    </row>
    <row r="213" spans="1:24" x14ac:dyDescent="0.2">
      <c r="A213" s="26">
        <v>881</v>
      </c>
      <c r="B213" s="23" t="s">
        <v>108</v>
      </c>
      <c r="C213" s="114" t="s">
        <v>519</v>
      </c>
      <c r="D213" s="114" t="s">
        <v>200</v>
      </c>
      <c r="F213" s="30">
        <v>0</v>
      </c>
      <c r="G213" s="25">
        <f t="shared" si="103"/>
        <v>0</v>
      </c>
      <c r="H213" s="25">
        <f t="shared" si="104"/>
        <v>0</v>
      </c>
      <c r="I213" s="25">
        <f t="shared" si="105"/>
        <v>0</v>
      </c>
      <c r="J213" s="25">
        <f t="shared" si="106"/>
        <v>0</v>
      </c>
      <c r="K213" s="25">
        <f t="shared" si="107"/>
        <v>0</v>
      </c>
      <c r="L213" s="25">
        <f t="shared" si="108"/>
        <v>0</v>
      </c>
      <c r="M213" s="25">
        <f t="shared" si="109"/>
        <v>0</v>
      </c>
      <c r="N213" s="25">
        <f t="shared" si="110"/>
        <v>0</v>
      </c>
      <c r="O213" s="25">
        <f t="shared" si="111"/>
        <v>0</v>
      </c>
      <c r="P213" s="25">
        <f t="shared" si="112"/>
        <v>0</v>
      </c>
      <c r="Q213" s="25">
        <f t="shared" si="113"/>
        <v>0</v>
      </c>
      <c r="R213" s="25">
        <f t="shared" si="114"/>
        <v>0</v>
      </c>
      <c r="S213" s="25">
        <f t="shared" si="115"/>
        <v>0</v>
      </c>
      <c r="T213" s="25">
        <f t="shared" si="116"/>
        <v>0</v>
      </c>
      <c r="U213" s="25">
        <f t="shared" si="117"/>
        <v>0</v>
      </c>
      <c r="V213" s="25">
        <f t="shared" si="118"/>
        <v>0</v>
      </c>
      <c r="W213" s="25">
        <f t="shared" si="119"/>
        <v>0</v>
      </c>
      <c r="X213" s="120" t="str">
        <f t="shared" si="120"/>
        <v>ok</v>
      </c>
    </row>
    <row r="214" spans="1:24" x14ac:dyDescent="0.2">
      <c r="A214" s="26"/>
      <c r="F214" s="25"/>
    </row>
    <row r="215" spans="1:24" x14ac:dyDescent="0.2">
      <c r="A215" s="26" t="s">
        <v>473</v>
      </c>
      <c r="C215" s="114" t="s">
        <v>531</v>
      </c>
      <c r="F215" s="30">
        <f>+SUM(F193:F213)</f>
        <v>4967294</v>
      </c>
      <c r="G215" s="30">
        <f t="shared" ref="G215:V215" si="121">+SUM(G193:G213)</f>
        <v>0</v>
      </c>
      <c r="H215" s="30">
        <f t="shared" si="121"/>
        <v>0</v>
      </c>
      <c r="I215" s="30">
        <f t="shared" si="121"/>
        <v>0</v>
      </c>
      <c r="J215" s="30">
        <f t="shared" si="121"/>
        <v>0</v>
      </c>
      <c r="K215" s="30">
        <f t="shared" si="121"/>
        <v>0</v>
      </c>
      <c r="L215" s="30">
        <f t="shared" si="121"/>
        <v>0</v>
      </c>
      <c r="M215" s="30">
        <f t="shared" si="121"/>
        <v>678000</v>
      </c>
      <c r="N215" s="30">
        <f t="shared" si="121"/>
        <v>810266.60861567268</v>
      </c>
      <c r="O215" s="30">
        <f t="shared" si="121"/>
        <v>1090671.1660360389</v>
      </c>
      <c r="P215" s="30">
        <f t="shared" si="121"/>
        <v>0</v>
      </c>
      <c r="Q215" s="30">
        <f>+SUM(Q193:Q213)</f>
        <v>119712.71023235162</v>
      </c>
      <c r="R215" s="30">
        <f>+SUM(R193:R213)</f>
        <v>0</v>
      </c>
      <c r="S215" s="30">
        <f t="shared" si="121"/>
        <v>1062455.2185632219</v>
      </c>
      <c r="T215" s="30">
        <f t="shared" si="121"/>
        <v>1206188.2965527149</v>
      </c>
      <c r="U215" s="30">
        <f t="shared" si="121"/>
        <v>0</v>
      </c>
      <c r="V215" s="30">
        <f t="shared" si="121"/>
        <v>0</v>
      </c>
      <c r="W215" s="25">
        <f t="shared" si="119"/>
        <v>4967294</v>
      </c>
      <c r="X215" s="120" t="str">
        <f t="shared" si="120"/>
        <v>ok</v>
      </c>
    </row>
    <row r="216" spans="1:24" x14ac:dyDescent="0.2">
      <c r="A216" s="26"/>
      <c r="F216" s="25"/>
    </row>
    <row r="217" spans="1:24" x14ac:dyDescent="0.2">
      <c r="A217" s="26" t="s">
        <v>474</v>
      </c>
      <c r="C217" s="114" t="s">
        <v>532</v>
      </c>
      <c r="F217" s="30">
        <f>+F189+F215</f>
        <v>7049924</v>
      </c>
      <c r="G217" s="30">
        <f t="shared" ref="G217:V217" si="122">+G189+G215</f>
        <v>0</v>
      </c>
      <c r="H217" s="30">
        <f t="shared" si="122"/>
        <v>0</v>
      </c>
      <c r="I217" s="30">
        <f t="shared" si="122"/>
        <v>0</v>
      </c>
      <c r="J217" s="30">
        <f t="shared" si="122"/>
        <v>0</v>
      </c>
      <c r="K217" s="30">
        <f t="shared" si="122"/>
        <v>362981.81460989406</v>
      </c>
      <c r="L217" s="30">
        <f t="shared" si="122"/>
        <v>1719648.1853901062</v>
      </c>
      <c r="M217" s="30">
        <f t="shared" si="122"/>
        <v>678000</v>
      </c>
      <c r="N217" s="30">
        <f t="shared" si="122"/>
        <v>810266.60861567268</v>
      </c>
      <c r="O217" s="30">
        <f t="shared" si="122"/>
        <v>1090671.1660360389</v>
      </c>
      <c r="P217" s="30">
        <f t="shared" si="122"/>
        <v>0</v>
      </c>
      <c r="Q217" s="30">
        <f>+Q189+Q215</f>
        <v>119712.71023235162</v>
      </c>
      <c r="R217" s="30">
        <f>+R189+R215</f>
        <v>0</v>
      </c>
      <c r="S217" s="30">
        <f t="shared" si="122"/>
        <v>1062455.2185632219</v>
      </c>
      <c r="T217" s="30">
        <f t="shared" si="122"/>
        <v>1206188.2965527149</v>
      </c>
      <c r="U217" s="30">
        <f t="shared" si="122"/>
        <v>0</v>
      </c>
      <c r="V217" s="30">
        <f t="shared" si="122"/>
        <v>0</v>
      </c>
      <c r="W217" s="25">
        <f>SUM(G217:V217)</f>
        <v>7049924.0000000009</v>
      </c>
      <c r="X217" s="120" t="str">
        <f>IF(ABS(W217-F217)&lt;1,"ok","err")</f>
        <v>ok</v>
      </c>
    </row>
    <row r="218" spans="1:24" x14ac:dyDescent="0.2">
      <c r="A218" s="26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25"/>
      <c r="X218" s="120"/>
    </row>
    <row r="219" spans="1:24" x14ac:dyDescent="0.2">
      <c r="A219" s="26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25"/>
      <c r="X219" s="120"/>
    </row>
    <row r="220" spans="1:24" x14ac:dyDescent="0.2">
      <c r="A220" s="26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25"/>
      <c r="X220" s="120"/>
    </row>
    <row r="221" spans="1:24" x14ac:dyDescent="0.2">
      <c r="A221" s="26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25"/>
      <c r="X221" s="120"/>
    </row>
    <row r="222" spans="1:24" x14ac:dyDescent="0.2">
      <c r="A222" s="26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25"/>
      <c r="X222" s="120"/>
    </row>
    <row r="223" spans="1:24" x14ac:dyDescent="0.2">
      <c r="A223" s="26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25"/>
      <c r="X223" s="120"/>
    </row>
    <row r="224" spans="1:24" x14ac:dyDescent="0.2">
      <c r="A224" s="26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25"/>
      <c r="X224" s="120"/>
    </row>
    <row r="225" spans="1:24" x14ac:dyDescent="0.2">
      <c r="A225" s="26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25"/>
      <c r="X225" s="120"/>
    </row>
    <row r="226" spans="1:24" x14ac:dyDescent="0.2">
      <c r="A226" s="26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25"/>
      <c r="X226" s="120"/>
    </row>
    <row r="227" spans="1:24" x14ac:dyDescent="0.2">
      <c r="A227" s="26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25"/>
      <c r="X227" s="120"/>
    </row>
    <row r="228" spans="1:24" x14ac:dyDescent="0.2">
      <c r="A228" s="187" t="s">
        <v>460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25"/>
      <c r="X228" s="120"/>
    </row>
    <row r="229" spans="1:24" x14ac:dyDescent="0.2">
      <c r="A229" s="26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25"/>
      <c r="X229" s="120"/>
    </row>
    <row r="230" spans="1:24" x14ac:dyDescent="0.2">
      <c r="A230" s="26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25"/>
      <c r="X230" s="120"/>
    </row>
    <row r="231" spans="1:24" x14ac:dyDescent="0.2">
      <c r="A231" s="117" t="s">
        <v>701</v>
      </c>
      <c r="F231" s="31"/>
      <c r="G231" s="23"/>
      <c r="H231" s="23"/>
      <c r="I231" s="23"/>
      <c r="J231" s="23"/>
      <c r="K231" s="23"/>
      <c r="L231" s="23"/>
      <c r="M231" s="23"/>
      <c r="N231" s="23"/>
    </row>
    <row r="232" spans="1:24" x14ac:dyDescent="0.2">
      <c r="A232" s="26"/>
      <c r="F232" s="31"/>
      <c r="G232" s="23"/>
      <c r="H232" s="23"/>
      <c r="I232" s="23"/>
      <c r="J232" s="23"/>
      <c r="K232" s="23"/>
      <c r="L232" s="23"/>
      <c r="M232" s="23"/>
      <c r="N232" s="23"/>
    </row>
    <row r="233" spans="1:24" x14ac:dyDescent="0.2">
      <c r="A233" s="26">
        <v>885</v>
      </c>
      <c r="B233" s="23" t="s">
        <v>442</v>
      </c>
      <c r="C233" s="114" t="s">
        <v>520</v>
      </c>
      <c r="D233" s="114" t="s">
        <v>641</v>
      </c>
      <c r="F233" s="30">
        <v>0</v>
      </c>
      <c r="G233" s="25">
        <f t="shared" ref="G233:G242" si="123">(VLOOKUP($D233,$C$6:$AJ$991,5,)/VLOOKUP($D233,$C$6:$AJ$991,4,))*$F233</f>
        <v>0</v>
      </c>
      <c r="H233" s="25">
        <f t="shared" ref="H233:H242" si="124">(VLOOKUP($D233,$C$6:$AJ$991,6,)/VLOOKUP($D233,$C$6:$AJ$991,4,))*$F233</f>
        <v>0</v>
      </c>
      <c r="I233" s="25">
        <f t="shared" ref="I233:I242" si="125">(VLOOKUP($D233,$C$6:$AJ$991,7,)/VLOOKUP($D233,$C$6:$AJ$991,4,))*$F233</f>
        <v>0</v>
      </c>
      <c r="J233" s="25">
        <f t="shared" ref="J233:J242" si="126">(VLOOKUP($D233,$C$6:$AJ$991,8,)/VLOOKUP($D233,$C$6:$AJ$991,4,))*$F233</f>
        <v>0</v>
      </c>
      <c r="K233" s="25">
        <f t="shared" ref="K233:K242" si="127">(VLOOKUP($D233,$C$6:$AJ$991,9,)/VLOOKUP($D233,$C$6:$AJ$991,4,))*$F233</f>
        <v>0</v>
      </c>
      <c r="L233" s="25">
        <f t="shared" ref="L233:L242" si="128">(VLOOKUP($D233,$C$6:$AJ$991,10,)/VLOOKUP($D233,$C$6:$AJ$991,4,))*$F233</f>
        <v>0</v>
      </c>
      <c r="M233" s="25">
        <f t="shared" ref="M233:M242" si="129">(VLOOKUP($D233,$C$6:$AJ$991,11,)/VLOOKUP($D233,$C$6:$AJ$991,4,))*$F233</f>
        <v>0</v>
      </c>
      <c r="N233" s="25">
        <f t="shared" ref="N233:N242" si="130">(VLOOKUP($D233,$C$6:$AJ$991,12,)/VLOOKUP($D233,$C$6:$AJ$991,4,))*$F233</f>
        <v>0</v>
      </c>
      <c r="O233" s="25">
        <f t="shared" ref="O233:O242" si="131">(VLOOKUP($D233,$C$6:$AJ$991,13,)/VLOOKUP($D233,$C$6:$AJ$991,4,))*$F233</f>
        <v>0</v>
      </c>
      <c r="P233" s="25">
        <f t="shared" ref="P233:P242" si="132">(VLOOKUP($D233,$C$6:$AJ$991,14,)/VLOOKUP($D233,$C$6:$AJ$991,4,))*$F233</f>
        <v>0</v>
      </c>
      <c r="Q233" s="25">
        <f t="shared" ref="Q233:Q242" si="133">(VLOOKUP($D233,$C$6:$AJ$991,15,)/VLOOKUP($D233,$C$6:$AJ$991,4,))*$F233</f>
        <v>0</v>
      </c>
      <c r="R233" s="25">
        <f t="shared" ref="R233:R242" si="134">(VLOOKUP($D233,$C$6:$AJ$991,16,)/VLOOKUP($D233,$C$6:$AJ$991,4,))*$F233</f>
        <v>0</v>
      </c>
      <c r="S233" s="25">
        <f t="shared" ref="S233:S242" si="135">(VLOOKUP($D233,$C$6:$AJ$991,17,)/VLOOKUP($D233,$C$6:$AJ$991,4,))*$F233</f>
        <v>0</v>
      </c>
      <c r="T233" s="25">
        <f t="shared" ref="T233:T242" si="136">(VLOOKUP($D233,$C$6:$AJ$991,18,)/VLOOKUP($D233,$C$6:$AJ$991,4,))*$F233</f>
        <v>0</v>
      </c>
      <c r="U233" s="25">
        <f t="shared" ref="U233:U242" si="137">(VLOOKUP($D233,$C$6:$AJ$991,19,)/VLOOKUP($D233,$C$6:$AJ$991,4,))*$F233</f>
        <v>0</v>
      </c>
      <c r="V233" s="25">
        <f t="shared" ref="V233:V242" si="138">(VLOOKUP($D233,$C$6:$AJ$991,20,)/VLOOKUP($D233,$C$6:$AJ$991,4,))*$F233</f>
        <v>0</v>
      </c>
      <c r="W233" s="25">
        <f>SUM(G233:V233)</f>
        <v>0</v>
      </c>
      <c r="X233" s="120" t="str">
        <f>IF(ABS(W233-F233)&lt;1,"ok","err")</f>
        <v>ok</v>
      </c>
    </row>
    <row r="234" spans="1:24" x14ac:dyDescent="0.2">
      <c r="A234" s="26">
        <v>886</v>
      </c>
      <c r="B234" s="23" t="s">
        <v>443</v>
      </c>
      <c r="C234" s="114" t="s">
        <v>521</v>
      </c>
      <c r="D234" s="114" t="s">
        <v>38</v>
      </c>
      <c r="F234" s="121">
        <v>0</v>
      </c>
      <c r="G234" s="25">
        <f t="shared" si="123"/>
        <v>0</v>
      </c>
      <c r="H234" s="25">
        <f t="shared" si="124"/>
        <v>0</v>
      </c>
      <c r="I234" s="25">
        <f t="shared" si="125"/>
        <v>0</v>
      </c>
      <c r="J234" s="25">
        <f t="shared" si="126"/>
        <v>0</v>
      </c>
      <c r="K234" s="25">
        <f t="shared" si="127"/>
        <v>0</v>
      </c>
      <c r="L234" s="25">
        <f t="shared" si="128"/>
        <v>0</v>
      </c>
      <c r="M234" s="25">
        <f t="shared" si="129"/>
        <v>0</v>
      </c>
      <c r="N234" s="25">
        <f t="shared" si="130"/>
        <v>0</v>
      </c>
      <c r="O234" s="25">
        <f t="shared" si="131"/>
        <v>0</v>
      </c>
      <c r="P234" s="25">
        <f t="shared" si="132"/>
        <v>0</v>
      </c>
      <c r="Q234" s="25">
        <f t="shared" si="133"/>
        <v>0</v>
      </c>
      <c r="R234" s="25">
        <f t="shared" si="134"/>
        <v>0</v>
      </c>
      <c r="S234" s="25">
        <f t="shared" si="135"/>
        <v>0</v>
      </c>
      <c r="T234" s="25">
        <f t="shared" si="136"/>
        <v>0</v>
      </c>
      <c r="U234" s="25">
        <f t="shared" si="137"/>
        <v>0</v>
      </c>
      <c r="V234" s="25">
        <f t="shared" si="138"/>
        <v>0</v>
      </c>
      <c r="W234" s="25">
        <f t="shared" ref="W234:W242" si="139">SUM(G234:V234)</f>
        <v>0</v>
      </c>
      <c r="X234" s="120" t="str">
        <f t="shared" ref="X234:X246" si="140">IF(ABS(W234-F234)&lt;1,"ok","err")</f>
        <v>ok</v>
      </c>
    </row>
    <row r="235" spans="1:24" x14ac:dyDescent="0.2">
      <c r="A235" s="26">
        <v>887</v>
      </c>
      <c r="B235" s="23" t="s">
        <v>444</v>
      </c>
      <c r="C235" s="114" t="s">
        <v>522</v>
      </c>
      <c r="D235" s="114" t="s">
        <v>40</v>
      </c>
      <c r="F235" s="188">
        <v>3914029</v>
      </c>
      <c r="G235" s="25">
        <f t="shared" si="123"/>
        <v>0</v>
      </c>
      <c r="H235" s="25">
        <f t="shared" si="124"/>
        <v>0</v>
      </c>
      <c r="I235" s="25">
        <f t="shared" si="125"/>
        <v>0</v>
      </c>
      <c r="J235" s="25">
        <f t="shared" si="126"/>
        <v>0</v>
      </c>
      <c r="K235" s="25">
        <f t="shared" si="127"/>
        <v>0</v>
      </c>
      <c r="L235" s="25">
        <f t="shared" si="128"/>
        <v>0</v>
      </c>
      <c r="M235" s="25">
        <f t="shared" si="129"/>
        <v>0</v>
      </c>
      <c r="N235" s="25">
        <f t="shared" si="130"/>
        <v>0</v>
      </c>
      <c r="O235" s="25">
        <f t="shared" si="131"/>
        <v>3526912.9546652036</v>
      </c>
      <c r="P235" s="25">
        <f t="shared" si="132"/>
        <v>0</v>
      </c>
      <c r="Q235" s="25">
        <f t="shared" si="133"/>
        <v>387116.04533479642</v>
      </c>
      <c r="R235" s="25">
        <f t="shared" si="134"/>
        <v>0</v>
      </c>
      <c r="S235" s="25">
        <f t="shared" si="135"/>
        <v>0</v>
      </c>
      <c r="T235" s="25">
        <f t="shared" si="136"/>
        <v>0</v>
      </c>
      <c r="U235" s="25">
        <f t="shared" si="137"/>
        <v>0</v>
      </c>
      <c r="V235" s="25">
        <f t="shared" si="138"/>
        <v>0</v>
      </c>
      <c r="W235" s="25">
        <f t="shared" si="139"/>
        <v>3914029</v>
      </c>
      <c r="X235" s="120" t="str">
        <f t="shared" si="140"/>
        <v>ok</v>
      </c>
    </row>
    <row r="236" spans="1:24" x14ac:dyDescent="0.2">
      <c r="A236" s="26">
        <v>888</v>
      </c>
      <c r="B236" s="23" t="s">
        <v>445</v>
      </c>
      <c r="C236" s="114" t="s">
        <v>523</v>
      </c>
      <c r="D236" s="114" t="s">
        <v>35</v>
      </c>
      <c r="F236" s="121">
        <v>0</v>
      </c>
      <c r="G236" s="25">
        <f t="shared" si="123"/>
        <v>0</v>
      </c>
      <c r="H236" s="25">
        <f t="shared" si="124"/>
        <v>0</v>
      </c>
      <c r="I236" s="25">
        <f t="shared" si="125"/>
        <v>0</v>
      </c>
      <c r="J236" s="25">
        <f t="shared" si="126"/>
        <v>0</v>
      </c>
      <c r="K236" s="25">
        <f t="shared" si="127"/>
        <v>0</v>
      </c>
      <c r="L236" s="25">
        <f t="shared" si="128"/>
        <v>0</v>
      </c>
      <c r="M236" s="25">
        <f t="shared" si="129"/>
        <v>0</v>
      </c>
      <c r="N236" s="25">
        <f t="shared" si="130"/>
        <v>0</v>
      </c>
      <c r="O236" s="25">
        <f t="shared" si="131"/>
        <v>0</v>
      </c>
      <c r="P236" s="25">
        <f t="shared" si="132"/>
        <v>0</v>
      </c>
      <c r="Q236" s="25">
        <f t="shared" si="133"/>
        <v>0</v>
      </c>
      <c r="R236" s="25">
        <f t="shared" si="134"/>
        <v>0</v>
      </c>
      <c r="S236" s="25">
        <f t="shared" si="135"/>
        <v>0</v>
      </c>
      <c r="T236" s="25">
        <f t="shared" si="136"/>
        <v>0</v>
      </c>
      <c r="U236" s="25">
        <f t="shared" si="137"/>
        <v>0</v>
      </c>
      <c r="V236" s="25">
        <f t="shared" si="138"/>
        <v>0</v>
      </c>
      <c r="W236" s="25">
        <f t="shared" si="139"/>
        <v>0</v>
      </c>
      <c r="X236" s="120" t="str">
        <f t="shared" si="140"/>
        <v>ok</v>
      </c>
    </row>
    <row r="237" spans="1:24" x14ac:dyDescent="0.2">
      <c r="A237" s="26">
        <v>889</v>
      </c>
      <c r="B237" s="23" t="s">
        <v>446</v>
      </c>
      <c r="C237" s="114" t="s">
        <v>524</v>
      </c>
      <c r="D237" s="114" t="s">
        <v>38</v>
      </c>
      <c r="F237" s="188">
        <v>62000</v>
      </c>
      <c r="G237" s="25">
        <f t="shared" si="123"/>
        <v>0</v>
      </c>
      <c r="H237" s="25">
        <f t="shared" si="124"/>
        <v>0</v>
      </c>
      <c r="I237" s="25">
        <f t="shared" si="125"/>
        <v>0</v>
      </c>
      <c r="J237" s="25">
        <f t="shared" si="126"/>
        <v>0</v>
      </c>
      <c r="K237" s="25">
        <f t="shared" si="127"/>
        <v>0</v>
      </c>
      <c r="L237" s="25">
        <f t="shared" si="128"/>
        <v>0</v>
      </c>
      <c r="M237" s="25">
        <f t="shared" si="129"/>
        <v>0</v>
      </c>
      <c r="N237" s="25">
        <f t="shared" si="130"/>
        <v>62000</v>
      </c>
      <c r="O237" s="25">
        <f t="shared" si="131"/>
        <v>0</v>
      </c>
      <c r="P237" s="25">
        <f t="shared" si="132"/>
        <v>0</v>
      </c>
      <c r="Q237" s="25">
        <f t="shared" si="133"/>
        <v>0</v>
      </c>
      <c r="R237" s="25">
        <f t="shared" si="134"/>
        <v>0</v>
      </c>
      <c r="S237" s="25">
        <f t="shared" si="135"/>
        <v>0</v>
      </c>
      <c r="T237" s="25">
        <f t="shared" si="136"/>
        <v>0</v>
      </c>
      <c r="U237" s="25">
        <f t="shared" si="137"/>
        <v>0</v>
      </c>
      <c r="V237" s="25">
        <f t="shared" si="138"/>
        <v>0</v>
      </c>
      <c r="W237" s="25">
        <f t="shared" si="139"/>
        <v>62000</v>
      </c>
      <c r="X237" s="120" t="str">
        <f t="shared" si="140"/>
        <v>ok</v>
      </c>
    </row>
    <row r="238" spans="1:24" x14ac:dyDescent="0.2">
      <c r="A238" s="26">
        <v>890</v>
      </c>
      <c r="B238" s="23" t="s">
        <v>447</v>
      </c>
      <c r="C238" s="114" t="s">
        <v>525</v>
      </c>
      <c r="D238" s="114" t="s">
        <v>45</v>
      </c>
      <c r="F238" s="188">
        <v>168000</v>
      </c>
      <c r="G238" s="25">
        <f t="shared" si="123"/>
        <v>0</v>
      </c>
      <c r="H238" s="25">
        <f t="shared" si="124"/>
        <v>0</v>
      </c>
      <c r="I238" s="25">
        <f t="shared" si="125"/>
        <v>0</v>
      </c>
      <c r="J238" s="25">
        <f t="shared" si="126"/>
        <v>0</v>
      </c>
      <c r="K238" s="25">
        <f t="shared" si="127"/>
        <v>0</v>
      </c>
      <c r="L238" s="25">
        <f t="shared" si="128"/>
        <v>0</v>
      </c>
      <c r="M238" s="25">
        <f t="shared" si="129"/>
        <v>0</v>
      </c>
      <c r="N238" s="25">
        <f t="shared" si="130"/>
        <v>0</v>
      </c>
      <c r="O238" s="25">
        <f t="shared" si="131"/>
        <v>0</v>
      </c>
      <c r="P238" s="25">
        <f t="shared" si="132"/>
        <v>0</v>
      </c>
      <c r="Q238" s="25">
        <f t="shared" si="133"/>
        <v>0</v>
      </c>
      <c r="R238" s="25">
        <f t="shared" si="134"/>
        <v>0</v>
      </c>
      <c r="S238" s="25">
        <f t="shared" si="135"/>
        <v>0</v>
      </c>
      <c r="T238" s="25">
        <f t="shared" si="136"/>
        <v>168000</v>
      </c>
      <c r="U238" s="25">
        <f t="shared" si="137"/>
        <v>0</v>
      </c>
      <c r="V238" s="25">
        <f t="shared" si="138"/>
        <v>0</v>
      </c>
      <c r="W238" s="25">
        <f t="shared" si="139"/>
        <v>168000</v>
      </c>
      <c r="X238" s="120" t="str">
        <f t="shared" si="140"/>
        <v>ok</v>
      </c>
    </row>
    <row r="239" spans="1:24" x14ac:dyDescent="0.2">
      <c r="A239" s="26">
        <v>891</v>
      </c>
      <c r="B239" s="23" t="s">
        <v>448</v>
      </c>
      <c r="C239" s="114" t="s">
        <v>526</v>
      </c>
      <c r="D239" s="114" t="s">
        <v>38</v>
      </c>
      <c r="F239" s="188">
        <v>175000</v>
      </c>
      <c r="G239" s="25">
        <f t="shared" si="123"/>
        <v>0</v>
      </c>
      <c r="H239" s="25">
        <f t="shared" si="124"/>
        <v>0</v>
      </c>
      <c r="I239" s="25">
        <f t="shared" si="125"/>
        <v>0</v>
      </c>
      <c r="J239" s="25">
        <f t="shared" si="126"/>
        <v>0</v>
      </c>
      <c r="K239" s="25">
        <f t="shared" si="127"/>
        <v>0</v>
      </c>
      <c r="L239" s="25">
        <f t="shared" si="128"/>
        <v>0</v>
      </c>
      <c r="M239" s="25">
        <f t="shared" si="129"/>
        <v>0</v>
      </c>
      <c r="N239" s="25">
        <f t="shared" si="130"/>
        <v>175000</v>
      </c>
      <c r="O239" s="25">
        <f t="shared" si="131"/>
        <v>0</v>
      </c>
      <c r="P239" s="25">
        <f t="shared" si="132"/>
        <v>0</v>
      </c>
      <c r="Q239" s="25">
        <f t="shared" si="133"/>
        <v>0</v>
      </c>
      <c r="R239" s="25">
        <f t="shared" si="134"/>
        <v>0</v>
      </c>
      <c r="S239" s="25">
        <f t="shared" si="135"/>
        <v>0</v>
      </c>
      <c r="T239" s="25">
        <f t="shared" si="136"/>
        <v>0</v>
      </c>
      <c r="U239" s="25">
        <f t="shared" si="137"/>
        <v>0</v>
      </c>
      <c r="V239" s="25">
        <f t="shared" si="138"/>
        <v>0</v>
      </c>
      <c r="W239" s="25">
        <f t="shared" si="139"/>
        <v>175000</v>
      </c>
      <c r="X239" s="120" t="str">
        <f t="shared" si="140"/>
        <v>ok</v>
      </c>
    </row>
    <row r="240" spans="1:24" x14ac:dyDescent="0.2">
      <c r="A240" s="26">
        <v>892</v>
      </c>
      <c r="B240" s="23" t="s">
        <v>449</v>
      </c>
      <c r="C240" s="114" t="s">
        <v>527</v>
      </c>
      <c r="D240" s="114" t="s">
        <v>42</v>
      </c>
      <c r="F240" s="188">
        <v>604557</v>
      </c>
      <c r="G240" s="25">
        <f t="shared" si="123"/>
        <v>0</v>
      </c>
      <c r="H240" s="25">
        <f t="shared" si="124"/>
        <v>0</v>
      </c>
      <c r="I240" s="25">
        <f t="shared" si="125"/>
        <v>0</v>
      </c>
      <c r="J240" s="25">
        <f t="shared" si="126"/>
        <v>0</v>
      </c>
      <c r="K240" s="25">
        <f t="shared" si="127"/>
        <v>0</v>
      </c>
      <c r="L240" s="25">
        <f t="shared" si="128"/>
        <v>0</v>
      </c>
      <c r="M240" s="25">
        <f t="shared" si="129"/>
        <v>0</v>
      </c>
      <c r="N240" s="25">
        <f t="shared" si="130"/>
        <v>0</v>
      </c>
      <c r="O240" s="25">
        <f t="shared" si="131"/>
        <v>0</v>
      </c>
      <c r="P240" s="25">
        <f t="shared" si="132"/>
        <v>0</v>
      </c>
      <c r="Q240" s="25">
        <f t="shared" si="133"/>
        <v>0</v>
      </c>
      <c r="R240" s="25">
        <f t="shared" si="134"/>
        <v>0</v>
      </c>
      <c r="S240" s="25">
        <f t="shared" si="135"/>
        <v>604557</v>
      </c>
      <c r="T240" s="25">
        <f t="shared" si="136"/>
        <v>0</v>
      </c>
      <c r="U240" s="25">
        <f t="shared" si="137"/>
        <v>0</v>
      </c>
      <c r="V240" s="25">
        <f t="shared" si="138"/>
        <v>0</v>
      </c>
      <c r="W240" s="25">
        <f t="shared" si="139"/>
        <v>604557</v>
      </c>
      <c r="X240" s="120" t="str">
        <f t="shared" si="140"/>
        <v>ok</v>
      </c>
    </row>
    <row r="241" spans="1:24" x14ac:dyDescent="0.2">
      <c r="A241" s="26">
        <v>893</v>
      </c>
      <c r="B241" s="23" t="s">
        <v>450</v>
      </c>
      <c r="C241" s="114" t="s">
        <v>528</v>
      </c>
      <c r="D241" s="114" t="s">
        <v>45</v>
      </c>
      <c r="F241" s="188">
        <v>0</v>
      </c>
      <c r="G241" s="25">
        <f t="shared" si="123"/>
        <v>0</v>
      </c>
      <c r="H241" s="25">
        <f t="shared" si="124"/>
        <v>0</v>
      </c>
      <c r="I241" s="25">
        <f t="shared" si="125"/>
        <v>0</v>
      </c>
      <c r="J241" s="25">
        <f t="shared" si="126"/>
        <v>0</v>
      </c>
      <c r="K241" s="25">
        <f t="shared" si="127"/>
        <v>0</v>
      </c>
      <c r="L241" s="25">
        <f t="shared" si="128"/>
        <v>0</v>
      </c>
      <c r="M241" s="25">
        <f t="shared" si="129"/>
        <v>0</v>
      </c>
      <c r="N241" s="25">
        <f t="shared" si="130"/>
        <v>0</v>
      </c>
      <c r="O241" s="25">
        <f t="shared" si="131"/>
        <v>0</v>
      </c>
      <c r="P241" s="25">
        <f t="shared" si="132"/>
        <v>0</v>
      </c>
      <c r="Q241" s="25">
        <f t="shared" si="133"/>
        <v>0</v>
      </c>
      <c r="R241" s="25">
        <f t="shared" si="134"/>
        <v>0</v>
      </c>
      <c r="S241" s="25">
        <f t="shared" si="135"/>
        <v>0</v>
      </c>
      <c r="T241" s="25">
        <f t="shared" si="136"/>
        <v>0</v>
      </c>
      <c r="U241" s="25">
        <f t="shared" si="137"/>
        <v>0</v>
      </c>
      <c r="V241" s="25">
        <f t="shared" si="138"/>
        <v>0</v>
      </c>
      <c r="W241" s="25">
        <f t="shared" si="139"/>
        <v>0</v>
      </c>
      <c r="X241" s="120" t="str">
        <f t="shared" si="140"/>
        <v>ok</v>
      </c>
    </row>
    <row r="242" spans="1:24" x14ac:dyDescent="0.2">
      <c r="A242" s="26">
        <v>894</v>
      </c>
      <c r="B242" s="23" t="s">
        <v>451</v>
      </c>
      <c r="C242" s="114" t="s">
        <v>529</v>
      </c>
      <c r="D242" s="114" t="s">
        <v>200</v>
      </c>
      <c r="F242" s="188">
        <v>129000</v>
      </c>
      <c r="G242" s="25">
        <f t="shared" si="123"/>
        <v>0</v>
      </c>
      <c r="H242" s="25">
        <f t="shared" si="124"/>
        <v>0</v>
      </c>
      <c r="I242" s="25">
        <f t="shared" si="125"/>
        <v>0</v>
      </c>
      <c r="J242" s="25">
        <f t="shared" si="126"/>
        <v>0</v>
      </c>
      <c r="K242" s="25">
        <f t="shared" si="127"/>
        <v>0</v>
      </c>
      <c r="L242" s="25">
        <f t="shared" si="128"/>
        <v>0</v>
      </c>
      <c r="M242" s="25">
        <f t="shared" si="129"/>
        <v>0</v>
      </c>
      <c r="N242" s="25">
        <f t="shared" si="130"/>
        <v>5232.8460427700275</v>
      </c>
      <c r="O242" s="25">
        <f t="shared" si="131"/>
        <v>53584.570596255442</v>
      </c>
      <c r="P242" s="25">
        <f t="shared" si="132"/>
        <v>0</v>
      </c>
      <c r="Q242" s="25">
        <f t="shared" si="133"/>
        <v>5881.4740615436376</v>
      </c>
      <c r="R242" s="25">
        <f t="shared" si="134"/>
        <v>0</v>
      </c>
      <c r="S242" s="25">
        <f t="shared" si="135"/>
        <v>52198.323782018633</v>
      </c>
      <c r="T242" s="25">
        <f t="shared" si="136"/>
        <v>12102.785517412254</v>
      </c>
      <c r="U242" s="25">
        <f t="shared" si="137"/>
        <v>0</v>
      </c>
      <c r="V242" s="25">
        <f t="shared" si="138"/>
        <v>0</v>
      </c>
      <c r="W242" s="25">
        <f t="shared" si="139"/>
        <v>128999.99999999999</v>
      </c>
      <c r="X242" s="120" t="str">
        <f t="shared" si="140"/>
        <v>ok</v>
      </c>
    </row>
    <row r="243" spans="1:24" x14ac:dyDescent="0.2">
      <c r="F243" s="31"/>
      <c r="G243" s="23"/>
      <c r="H243" s="23"/>
      <c r="I243" s="23"/>
      <c r="J243" s="23"/>
      <c r="K243" s="23"/>
      <c r="L243" s="23"/>
      <c r="M243" s="23"/>
      <c r="N243" s="23"/>
    </row>
    <row r="244" spans="1:24" x14ac:dyDescent="0.2">
      <c r="A244" s="26" t="s">
        <v>187</v>
      </c>
      <c r="C244" s="114" t="s">
        <v>530</v>
      </c>
      <c r="F244" s="31">
        <f>SUM(F233:F242)</f>
        <v>5052586</v>
      </c>
      <c r="G244" s="31">
        <f t="shared" ref="G244:W244" si="141">SUM(G233:G242)</f>
        <v>0</v>
      </c>
      <c r="H244" s="31">
        <f t="shared" si="141"/>
        <v>0</v>
      </c>
      <c r="I244" s="31">
        <f t="shared" si="141"/>
        <v>0</v>
      </c>
      <c r="J244" s="31">
        <f t="shared" si="141"/>
        <v>0</v>
      </c>
      <c r="K244" s="31">
        <f t="shared" si="141"/>
        <v>0</v>
      </c>
      <c r="L244" s="31">
        <f t="shared" si="141"/>
        <v>0</v>
      </c>
      <c r="M244" s="31">
        <f t="shared" si="141"/>
        <v>0</v>
      </c>
      <c r="N244" s="31">
        <f t="shared" si="141"/>
        <v>242232.84604277002</v>
      </c>
      <c r="O244" s="31">
        <f t="shared" si="141"/>
        <v>3580497.5252614589</v>
      </c>
      <c r="P244" s="31">
        <f t="shared" si="141"/>
        <v>0</v>
      </c>
      <c r="Q244" s="31">
        <f>SUM(Q233:Q242)</f>
        <v>392997.51939634007</v>
      </c>
      <c r="R244" s="31">
        <f>SUM(R233:R242)</f>
        <v>0</v>
      </c>
      <c r="S244" s="31">
        <f t="shared" si="141"/>
        <v>656755.32378201862</v>
      </c>
      <c r="T244" s="31">
        <f t="shared" si="141"/>
        <v>180102.78551741227</v>
      </c>
      <c r="U244" s="31">
        <f t="shared" si="141"/>
        <v>0</v>
      </c>
      <c r="V244" s="31">
        <f t="shared" si="141"/>
        <v>0</v>
      </c>
      <c r="W244" s="31">
        <f t="shared" si="141"/>
        <v>5052586</v>
      </c>
      <c r="X244" s="120" t="str">
        <f t="shared" si="140"/>
        <v>ok</v>
      </c>
    </row>
    <row r="245" spans="1:24" x14ac:dyDescent="0.2">
      <c r="A245" s="26"/>
      <c r="F245" s="31"/>
    </row>
    <row r="246" spans="1:24" x14ac:dyDescent="0.2">
      <c r="A246" s="26" t="s">
        <v>585</v>
      </c>
      <c r="C246" s="114" t="s">
        <v>351</v>
      </c>
      <c r="F246" s="30">
        <f>F189+F215+F244</f>
        <v>12102510</v>
      </c>
      <c r="G246" s="30">
        <f t="shared" ref="G246:V246" si="142">G189+G215+G244</f>
        <v>0</v>
      </c>
      <c r="H246" s="30">
        <f t="shared" si="142"/>
        <v>0</v>
      </c>
      <c r="I246" s="30">
        <f t="shared" si="142"/>
        <v>0</v>
      </c>
      <c r="J246" s="30">
        <f t="shared" si="142"/>
        <v>0</v>
      </c>
      <c r="K246" s="30">
        <f t="shared" si="142"/>
        <v>362981.81460989406</v>
      </c>
      <c r="L246" s="30">
        <f t="shared" si="142"/>
        <v>1719648.1853901062</v>
      </c>
      <c r="M246" s="30">
        <f t="shared" si="142"/>
        <v>678000</v>
      </c>
      <c r="N246" s="30">
        <f t="shared" si="142"/>
        <v>1052499.4546584426</v>
      </c>
      <c r="O246" s="30">
        <f t="shared" si="142"/>
        <v>4671168.6912974976</v>
      </c>
      <c r="P246" s="30">
        <f t="shared" si="142"/>
        <v>0</v>
      </c>
      <c r="Q246" s="30">
        <f>Q189+Q215+Q244</f>
        <v>512710.22962869168</v>
      </c>
      <c r="R246" s="30">
        <f>R189+R215+R244</f>
        <v>0</v>
      </c>
      <c r="S246" s="30">
        <f t="shared" si="142"/>
        <v>1719210.5423452405</v>
      </c>
      <c r="T246" s="30">
        <f t="shared" si="142"/>
        <v>1386291.0820701271</v>
      </c>
      <c r="U246" s="30">
        <f t="shared" si="142"/>
        <v>0</v>
      </c>
      <c r="V246" s="30">
        <f t="shared" si="142"/>
        <v>0</v>
      </c>
      <c r="W246" s="25">
        <f>SUM(G246:V246)</f>
        <v>12102510</v>
      </c>
      <c r="X246" s="120" t="str">
        <f t="shared" si="140"/>
        <v>ok</v>
      </c>
    </row>
    <row r="247" spans="1:24" x14ac:dyDescent="0.2">
      <c r="A247" s="26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25"/>
      <c r="X247" s="120"/>
    </row>
    <row r="248" spans="1:24" x14ac:dyDescent="0.2">
      <c r="A248" s="13"/>
      <c r="F248" s="25"/>
    </row>
    <row r="249" spans="1:24" x14ac:dyDescent="0.2">
      <c r="A249" s="13" t="s">
        <v>462</v>
      </c>
      <c r="F249" s="25"/>
    </row>
    <row r="250" spans="1:24" x14ac:dyDescent="0.2">
      <c r="A250" s="26">
        <v>901</v>
      </c>
      <c r="B250" s="23" t="s">
        <v>137</v>
      </c>
      <c r="C250" s="114" t="s">
        <v>535</v>
      </c>
      <c r="D250" s="114" t="s">
        <v>48</v>
      </c>
      <c r="F250" s="30">
        <v>687660.6</v>
      </c>
      <c r="G250" s="25">
        <f>(VLOOKUP($D250,$C$6:$AJ$991,5,)/VLOOKUP($D250,$C$6:$AJ$991,4,))*$F250</f>
        <v>0</v>
      </c>
      <c r="H250" s="25">
        <f>(VLOOKUP($D250,$C$6:$AJ$991,6,)/VLOOKUP($D250,$C$6:$AJ$991,4,))*$F250</f>
        <v>0</v>
      </c>
      <c r="I250" s="25">
        <f>(VLOOKUP($D250,$C$6:$AJ$991,7,)/VLOOKUP($D250,$C$6:$AJ$991,4,))*$F250</f>
        <v>0</v>
      </c>
      <c r="J250" s="25">
        <f>(VLOOKUP($D250,$C$6:$AJ$991,8,)/VLOOKUP($D250,$C$6:$AJ$991,4,))*$F250</f>
        <v>0</v>
      </c>
      <c r="K250" s="25">
        <f>(VLOOKUP($D250,$C$6:$AJ$991,9,)/VLOOKUP($D250,$C$6:$AJ$991,4,))*$F250</f>
        <v>0</v>
      </c>
      <c r="L250" s="25">
        <f>(VLOOKUP($D250,$C$6:$AJ$991,10,)/VLOOKUP($D250,$C$6:$AJ$991,4,))*$F250</f>
        <v>0</v>
      </c>
      <c r="M250" s="25">
        <f>(VLOOKUP($D250,$C$6:$AJ$991,11,)/VLOOKUP($D250,$C$6:$AJ$991,4,))*$F250</f>
        <v>0</v>
      </c>
      <c r="N250" s="25">
        <f>(VLOOKUP($D250,$C$6:$AJ$991,12,)/VLOOKUP($D250,$C$6:$AJ$991,4,))*$F250</f>
        <v>0</v>
      </c>
      <c r="O250" s="25">
        <f>(VLOOKUP($D250,$C$6:$AJ$991,13,)/VLOOKUP($D250,$C$6:$AJ$991,4,))*$F250</f>
        <v>0</v>
      </c>
      <c r="P250" s="25">
        <f>(VLOOKUP($D250,$C$6:$AJ$991,14,)/VLOOKUP($D250,$C$6:$AJ$991,4,))*$F250</f>
        <v>0</v>
      </c>
      <c r="Q250" s="25">
        <f>(VLOOKUP($D250,$C$6:$AJ$991,15,)/VLOOKUP($D250,$C$6:$AJ$991,4,))*$F250</f>
        <v>0</v>
      </c>
      <c r="R250" s="25">
        <f>(VLOOKUP($D250,$C$6:$AJ$991,16,)/VLOOKUP($D250,$C$6:$AJ$991,4,))*$F250</f>
        <v>0</v>
      </c>
      <c r="S250" s="25">
        <f>(VLOOKUP($D250,$C$6:$AJ$991,17,)/VLOOKUP($D250,$C$6:$AJ$991,4,))*$F250</f>
        <v>0</v>
      </c>
      <c r="T250" s="25">
        <f>(VLOOKUP($D250,$C$6:$AJ$991,18,)/VLOOKUP($D250,$C$6:$AJ$991,4,))*$F250</f>
        <v>0</v>
      </c>
      <c r="U250" s="25">
        <f>(VLOOKUP($D250,$C$6:$AJ$991,19,)/VLOOKUP($D250,$C$6:$AJ$991,4,))*$F250</f>
        <v>687660.6</v>
      </c>
      <c r="V250" s="25">
        <f>(VLOOKUP($D250,$C$6:$AJ$991,20,)/VLOOKUP($D250,$C$6:$AJ$991,4,))*$F250</f>
        <v>0</v>
      </c>
      <c r="W250" s="25">
        <f>SUM(G250:V250)</f>
        <v>687660.6</v>
      </c>
      <c r="X250" s="120" t="str">
        <f>IF(ABS(W250-F250)&lt;1,"ok","err")</f>
        <v>ok</v>
      </c>
    </row>
    <row r="251" spans="1:24" x14ac:dyDescent="0.2">
      <c r="A251" s="26">
        <v>902</v>
      </c>
      <c r="B251" s="23" t="s">
        <v>139</v>
      </c>
      <c r="C251" s="114" t="s">
        <v>536</v>
      </c>
      <c r="D251" s="114" t="s">
        <v>48</v>
      </c>
      <c r="F251" s="25">
        <v>267217.71999999997</v>
      </c>
      <c r="G251" s="25">
        <f>(VLOOKUP($D251,$C$6:$AJ$991,5,)/VLOOKUP($D251,$C$6:$AJ$991,4,))*$F251</f>
        <v>0</v>
      </c>
      <c r="H251" s="25">
        <f>(VLOOKUP($D251,$C$6:$AJ$991,6,)/VLOOKUP($D251,$C$6:$AJ$991,4,))*$F251</f>
        <v>0</v>
      </c>
      <c r="I251" s="25">
        <f>(VLOOKUP($D251,$C$6:$AJ$991,7,)/VLOOKUP($D251,$C$6:$AJ$991,4,))*$F251</f>
        <v>0</v>
      </c>
      <c r="J251" s="25">
        <f>(VLOOKUP($D251,$C$6:$AJ$991,8,)/VLOOKUP($D251,$C$6:$AJ$991,4,))*$F251</f>
        <v>0</v>
      </c>
      <c r="K251" s="25">
        <f>(VLOOKUP($D251,$C$6:$AJ$991,9,)/VLOOKUP($D251,$C$6:$AJ$991,4,))*$F251</f>
        <v>0</v>
      </c>
      <c r="L251" s="25">
        <f>(VLOOKUP($D251,$C$6:$AJ$991,10,)/VLOOKUP($D251,$C$6:$AJ$991,4,))*$F251</f>
        <v>0</v>
      </c>
      <c r="M251" s="25">
        <f>(VLOOKUP($D251,$C$6:$AJ$991,11,)/VLOOKUP($D251,$C$6:$AJ$991,4,))*$F251</f>
        <v>0</v>
      </c>
      <c r="N251" s="25">
        <f>(VLOOKUP($D251,$C$6:$AJ$991,12,)/VLOOKUP($D251,$C$6:$AJ$991,4,))*$F251</f>
        <v>0</v>
      </c>
      <c r="O251" s="25">
        <f>(VLOOKUP($D251,$C$6:$AJ$991,13,)/VLOOKUP($D251,$C$6:$AJ$991,4,))*$F251</f>
        <v>0</v>
      </c>
      <c r="P251" s="25">
        <f>(VLOOKUP($D251,$C$6:$AJ$991,14,)/VLOOKUP($D251,$C$6:$AJ$991,4,))*$F251</f>
        <v>0</v>
      </c>
      <c r="Q251" s="25">
        <f>(VLOOKUP($D251,$C$6:$AJ$991,15,)/VLOOKUP($D251,$C$6:$AJ$991,4,))*$F251</f>
        <v>0</v>
      </c>
      <c r="R251" s="25">
        <f>(VLOOKUP($D251,$C$6:$AJ$991,16,)/VLOOKUP($D251,$C$6:$AJ$991,4,))*$F251</f>
        <v>0</v>
      </c>
      <c r="S251" s="25">
        <f>(VLOOKUP($D251,$C$6:$AJ$991,17,)/VLOOKUP($D251,$C$6:$AJ$991,4,))*$F251</f>
        <v>0</v>
      </c>
      <c r="T251" s="25">
        <f>(VLOOKUP($D251,$C$6:$AJ$991,18,)/VLOOKUP($D251,$C$6:$AJ$991,4,))*$F251</f>
        <v>0</v>
      </c>
      <c r="U251" s="25">
        <f>(VLOOKUP($D251,$C$6:$AJ$991,19,)/VLOOKUP($D251,$C$6:$AJ$991,4,))*$F251</f>
        <v>267217.71999999997</v>
      </c>
      <c r="V251" s="25">
        <f>(VLOOKUP($D251,$C$6:$AJ$991,20,)/VLOOKUP($D251,$C$6:$AJ$991,4,))*$F251</f>
        <v>0</v>
      </c>
      <c r="W251" s="25">
        <f>SUM(G251:V251)</f>
        <v>267217.71999999997</v>
      </c>
      <c r="X251" s="120" t="str">
        <f>IF(ABS(W251-F251)&lt;1,"ok","err")</f>
        <v>ok</v>
      </c>
    </row>
    <row r="252" spans="1:24" x14ac:dyDescent="0.2">
      <c r="A252" s="26">
        <v>903</v>
      </c>
      <c r="B252" s="23" t="s">
        <v>434</v>
      </c>
      <c r="C252" s="114" t="s">
        <v>537</v>
      </c>
      <c r="D252" s="114" t="s">
        <v>48</v>
      </c>
      <c r="F252" s="25">
        <v>2423676.64</v>
      </c>
      <c r="G252" s="25">
        <f>(VLOOKUP($D252,$C$6:$AJ$991,5,)/VLOOKUP($D252,$C$6:$AJ$991,4,))*$F252</f>
        <v>0</v>
      </c>
      <c r="H252" s="25">
        <f>(VLOOKUP($D252,$C$6:$AJ$991,6,)/VLOOKUP($D252,$C$6:$AJ$991,4,))*$F252</f>
        <v>0</v>
      </c>
      <c r="I252" s="25">
        <f>(VLOOKUP($D252,$C$6:$AJ$991,7,)/VLOOKUP($D252,$C$6:$AJ$991,4,))*$F252</f>
        <v>0</v>
      </c>
      <c r="J252" s="25">
        <f>(VLOOKUP($D252,$C$6:$AJ$991,8,)/VLOOKUP($D252,$C$6:$AJ$991,4,))*$F252</f>
        <v>0</v>
      </c>
      <c r="K252" s="25">
        <f>(VLOOKUP($D252,$C$6:$AJ$991,9,)/VLOOKUP($D252,$C$6:$AJ$991,4,))*$F252</f>
        <v>0</v>
      </c>
      <c r="L252" s="25">
        <f>(VLOOKUP($D252,$C$6:$AJ$991,10,)/VLOOKUP($D252,$C$6:$AJ$991,4,))*$F252</f>
        <v>0</v>
      </c>
      <c r="M252" s="25">
        <f>(VLOOKUP($D252,$C$6:$AJ$991,11,)/VLOOKUP($D252,$C$6:$AJ$991,4,))*$F252</f>
        <v>0</v>
      </c>
      <c r="N252" s="25">
        <f>(VLOOKUP($D252,$C$6:$AJ$991,12,)/VLOOKUP($D252,$C$6:$AJ$991,4,))*$F252</f>
        <v>0</v>
      </c>
      <c r="O252" s="25">
        <f>(VLOOKUP($D252,$C$6:$AJ$991,13,)/VLOOKUP($D252,$C$6:$AJ$991,4,))*$F252</f>
        <v>0</v>
      </c>
      <c r="P252" s="25">
        <f>(VLOOKUP($D252,$C$6:$AJ$991,14,)/VLOOKUP($D252,$C$6:$AJ$991,4,))*$F252</f>
        <v>0</v>
      </c>
      <c r="Q252" s="25">
        <f>(VLOOKUP($D252,$C$6:$AJ$991,15,)/VLOOKUP($D252,$C$6:$AJ$991,4,))*$F252</f>
        <v>0</v>
      </c>
      <c r="R252" s="25">
        <f>(VLOOKUP($D252,$C$6:$AJ$991,16,)/VLOOKUP($D252,$C$6:$AJ$991,4,))*$F252</f>
        <v>0</v>
      </c>
      <c r="S252" s="25">
        <f>(VLOOKUP($D252,$C$6:$AJ$991,17,)/VLOOKUP($D252,$C$6:$AJ$991,4,))*$F252</f>
        <v>0</v>
      </c>
      <c r="T252" s="25">
        <f>(VLOOKUP($D252,$C$6:$AJ$991,18,)/VLOOKUP($D252,$C$6:$AJ$991,4,))*$F252</f>
        <v>0</v>
      </c>
      <c r="U252" s="25">
        <f>(VLOOKUP($D252,$C$6:$AJ$991,19,)/VLOOKUP($D252,$C$6:$AJ$991,4,))*$F252</f>
        <v>2423676.64</v>
      </c>
      <c r="V252" s="25">
        <f>(VLOOKUP($D252,$C$6:$AJ$991,20,)/VLOOKUP($D252,$C$6:$AJ$991,4,))*$F252</f>
        <v>0</v>
      </c>
      <c r="W252" s="25">
        <f>SUM(G252:V252)</f>
        <v>2423676.64</v>
      </c>
      <c r="X252" s="120" t="str">
        <f>IF(ABS(W252-F252)&lt;1,"ok","err")</f>
        <v>ok</v>
      </c>
    </row>
    <row r="253" spans="1:24" x14ac:dyDescent="0.2">
      <c r="A253" s="26">
        <v>904</v>
      </c>
      <c r="B253" s="23" t="s">
        <v>142</v>
      </c>
      <c r="C253" s="114" t="s">
        <v>538</v>
      </c>
      <c r="D253" s="114" t="s">
        <v>48</v>
      </c>
      <c r="F253" s="25">
        <v>0</v>
      </c>
      <c r="G253" s="25">
        <f>(VLOOKUP($D253,$C$6:$AJ$991,5,)/VLOOKUP($D253,$C$6:$AJ$991,4,))*$F253</f>
        <v>0</v>
      </c>
      <c r="H253" s="25">
        <f>(VLOOKUP($D253,$C$6:$AJ$991,6,)/VLOOKUP($D253,$C$6:$AJ$991,4,))*$F253</f>
        <v>0</v>
      </c>
      <c r="I253" s="25">
        <f>(VLOOKUP($D253,$C$6:$AJ$991,7,)/VLOOKUP($D253,$C$6:$AJ$991,4,))*$F253</f>
        <v>0</v>
      </c>
      <c r="J253" s="25">
        <f>(VLOOKUP($D253,$C$6:$AJ$991,8,)/VLOOKUP($D253,$C$6:$AJ$991,4,))*$F253</f>
        <v>0</v>
      </c>
      <c r="K253" s="25">
        <f>(VLOOKUP($D253,$C$6:$AJ$991,9,)/VLOOKUP($D253,$C$6:$AJ$991,4,))*$F253</f>
        <v>0</v>
      </c>
      <c r="L253" s="25">
        <f>(VLOOKUP($D253,$C$6:$AJ$991,10,)/VLOOKUP($D253,$C$6:$AJ$991,4,))*$F253</f>
        <v>0</v>
      </c>
      <c r="M253" s="25">
        <f>(VLOOKUP($D253,$C$6:$AJ$991,11,)/VLOOKUP($D253,$C$6:$AJ$991,4,))*$F253</f>
        <v>0</v>
      </c>
      <c r="N253" s="25">
        <f>(VLOOKUP($D253,$C$6:$AJ$991,12,)/VLOOKUP($D253,$C$6:$AJ$991,4,))*$F253</f>
        <v>0</v>
      </c>
      <c r="O253" s="25">
        <f>(VLOOKUP($D253,$C$6:$AJ$991,13,)/VLOOKUP($D253,$C$6:$AJ$991,4,))*$F253</f>
        <v>0</v>
      </c>
      <c r="P253" s="25">
        <f>(VLOOKUP($D253,$C$6:$AJ$991,14,)/VLOOKUP($D253,$C$6:$AJ$991,4,))*$F253</f>
        <v>0</v>
      </c>
      <c r="Q253" s="25">
        <f>(VLOOKUP($D253,$C$6:$AJ$991,15,)/VLOOKUP($D253,$C$6:$AJ$991,4,))*$F253</f>
        <v>0</v>
      </c>
      <c r="R253" s="25">
        <f>(VLOOKUP($D253,$C$6:$AJ$991,16,)/VLOOKUP($D253,$C$6:$AJ$991,4,))*$F253</f>
        <v>0</v>
      </c>
      <c r="S253" s="25">
        <f>(VLOOKUP($D253,$C$6:$AJ$991,17,)/VLOOKUP($D253,$C$6:$AJ$991,4,))*$F253</f>
        <v>0</v>
      </c>
      <c r="T253" s="25">
        <f>(VLOOKUP($D253,$C$6:$AJ$991,18,)/VLOOKUP($D253,$C$6:$AJ$991,4,))*$F253</f>
        <v>0</v>
      </c>
      <c r="U253" s="25">
        <f>(VLOOKUP($D253,$C$6:$AJ$991,19,)/VLOOKUP($D253,$C$6:$AJ$991,4,))*$F253</f>
        <v>0</v>
      </c>
      <c r="V253" s="25">
        <f>(VLOOKUP($D253,$C$6:$AJ$991,20,)/VLOOKUP($D253,$C$6:$AJ$991,4,))*$F253</f>
        <v>0</v>
      </c>
      <c r="W253" s="25">
        <f>SUM(G253:V253)</f>
        <v>0</v>
      </c>
      <c r="X253" s="120" t="str">
        <f>IF(ABS(W253-F253)&lt;1,"ok","err")</f>
        <v>ok</v>
      </c>
    </row>
    <row r="254" spans="1:24" x14ac:dyDescent="0.2">
      <c r="A254" s="26">
        <v>905</v>
      </c>
      <c r="B254" s="23" t="s">
        <v>435</v>
      </c>
      <c r="C254" s="114" t="s">
        <v>539</v>
      </c>
      <c r="D254" s="114" t="s">
        <v>48</v>
      </c>
      <c r="F254" s="25">
        <v>0</v>
      </c>
      <c r="G254" s="25">
        <f>(VLOOKUP($D254,$C$6:$AJ$991,5,)/VLOOKUP($D254,$C$6:$AJ$991,4,))*$F254</f>
        <v>0</v>
      </c>
      <c r="H254" s="25">
        <f>(VLOOKUP($D254,$C$6:$AJ$991,6,)/VLOOKUP($D254,$C$6:$AJ$991,4,))*$F254</f>
        <v>0</v>
      </c>
      <c r="I254" s="25">
        <f>(VLOOKUP($D254,$C$6:$AJ$991,7,)/VLOOKUP($D254,$C$6:$AJ$991,4,))*$F254</f>
        <v>0</v>
      </c>
      <c r="J254" s="25">
        <f>(VLOOKUP($D254,$C$6:$AJ$991,8,)/VLOOKUP($D254,$C$6:$AJ$991,4,))*$F254</f>
        <v>0</v>
      </c>
      <c r="K254" s="25">
        <f>(VLOOKUP($D254,$C$6:$AJ$991,9,)/VLOOKUP($D254,$C$6:$AJ$991,4,))*$F254</f>
        <v>0</v>
      </c>
      <c r="L254" s="25">
        <f>(VLOOKUP($D254,$C$6:$AJ$991,10,)/VLOOKUP($D254,$C$6:$AJ$991,4,))*$F254</f>
        <v>0</v>
      </c>
      <c r="M254" s="25">
        <f>(VLOOKUP($D254,$C$6:$AJ$991,11,)/VLOOKUP($D254,$C$6:$AJ$991,4,))*$F254</f>
        <v>0</v>
      </c>
      <c r="N254" s="25">
        <f>(VLOOKUP($D254,$C$6:$AJ$991,12,)/VLOOKUP($D254,$C$6:$AJ$991,4,))*$F254</f>
        <v>0</v>
      </c>
      <c r="O254" s="25">
        <f>(VLOOKUP($D254,$C$6:$AJ$991,13,)/VLOOKUP($D254,$C$6:$AJ$991,4,))*$F254</f>
        <v>0</v>
      </c>
      <c r="P254" s="25">
        <f>(VLOOKUP($D254,$C$6:$AJ$991,14,)/VLOOKUP($D254,$C$6:$AJ$991,4,))*$F254</f>
        <v>0</v>
      </c>
      <c r="Q254" s="25">
        <f>(VLOOKUP($D254,$C$6:$AJ$991,15,)/VLOOKUP($D254,$C$6:$AJ$991,4,))*$F254</f>
        <v>0</v>
      </c>
      <c r="R254" s="25">
        <f>(VLOOKUP($D254,$C$6:$AJ$991,16,)/VLOOKUP($D254,$C$6:$AJ$991,4,))*$F254</f>
        <v>0</v>
      </c>
      <c r="S254" s="25">
        <f>(VLOOKUP($D254,$C$6:$AJ$991,17,)/VLOOKUP($D254,$C$6:$AJ$991,4,))*$F254</f>
        <v>0</v>
      </c>
      <c r="T254" s="25">
        <f>(VLOOKUP($D254,$C$6:$AJ$991,18,)/VLOOKUP($D254,$C$6:$AJ$991,4,))*$F254</f>
        <v>0</v>
      </c>
      <c r="U254" s="25">
        <f>(VLOOKUP($D254,$C$6:$AJ$991,19,)/VLOOKUP($D254,$C$6:$AJ$991,4,))*$F254</f>
        <v>0</v>
      </c>
      <c r="V254" s="25">
        <f>(VLOOKUP($D254,$C$6:$AJ$991,20,)/VLOOKUP($D254,$C$6:$AJ$991,4,))*$F254</f>
        <v>0</v>
      </c>
      <c r="W254" s="25">
        <f>SUM(G254:V254)</f>
        <v>0</v>
      </c>
      <c r="X254" s="120" t="str">
        <f>IF(ABS(W254-F254)&lt;1,"ok","err")</f>
        <v>ok</v>
      </c>
    </row>
    <row r="255" spans="1:24" x14ac:dyDescent="0.2">
      <c r="A255" s="26"/>
      <c r="F255" s="25"/>
    </row>
    <row r="256" spans="1:24" x14ac:dyDescent="0.2">
      <c r="A256" s="26" t="s">
        <v>472</v>
      </c>
      <c r="C256" s="114" t="s">
        <v>540</v>
      </c>
      <c r="F256" s="30">
        <f>SUM(F250:F254)</f>
        <v>3378554.96</v>
      </c>
      <c r="G256" s="30">
        <f t="shared" ref="G256:V256" si="143">SUM(G250:G254)</f>
        <v>0</v>
      </c>
      <c r="H256" s="30">
        <f t="shared" si="143"/>
        <v>0</v>
      </c>
      <c r="I256" s="30">
        <f t="shared" si="143"/>
        <v>0</v>
      </c>
      <c r="J256" s="30">
        <f t="shared" si="143"/>
        <v>0</v>
      </c>
      <c r="K256" s="30">
        <f t="shared" si="143"/>
        <v>0</v>
      </c>
      <c r="L256" s="30">
        <f t="shared" si="143"/>
        <v>0</v>
      </c>
      <c r="M256" s="30">
        <f t="shared" si="143"/>
        <v>0</v>
      </c>
      <c r="N256" s="30">
        <f t="shared" si="143"/>
        <v>0</v>
      </c>
      <c r="O256" s="30">
        <f t="shared" si="143"/>
        <v>0</v>
      </c>
      <c r="P256" s="30">
        <f t="shared" si="143"/>
        <v>0</v>
      </c>
      <c r="Q256" s="30">
        <f t="shared" si="143"/>
        <v>0</v>
      </c>
      <c r="R256" s="30">
        <f t="shared" si="143"/>
        <v>0</v>
      </c>
      <c r="S256" s="30">
        <f t="shared" si="143"/>
        <v>0</v>
      </c>
      <c r="T256" s="30">
        <f t="shared" si="143"/>
        <v>0</v>
      </c>
      <c r="U256" s="30">
        <f t="shared" si="143"/>
        <v>3378554.96</v>
      </c>
      <c r="V256" s="30">
        <f t="shared" si="143"/>
        <v>0</v>
      </c>
      <c r="W256" s="25">
        <f>SUM(G256:V256)</f>
        <v>3378554.96</v>
      </c>
      <c r="X256" s="120" t="str">
        <f>IF(ABS(W256-F256)&lt;1,"ok","err")</f>
        <v>ok</v>
      </c>
    </row>
    <row r="257" spans="1:24" x14ac:dyDescent="0.2">
      <c r="A257" s="26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25"/>
      <c r="X257" s="120"/>
    </row>
    <row r="258" spans="1:24" x14ac:dyDescent="0.2">
      <c r="A258" s="117" t="s">
        <v>148</v>
      </c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25"/>
      <c r="X258" s="120"/>
    </row>
    <row r="259" spans="1:24" x14ac:dyDescent="0.2">
      <c r="A259" s="26" t="s">
        <v>147</v>
      </c>
      <c r="B259" s="23" t="s">
        <v>13</v>
      </c>
      <c r="C259" s="114" t="s">
        <v>541</v>
      </c>
      <c r="D259" s="114" t="s">
        <v>51</v>
      </c>
      <c r="F259" s="30">
        <v>224137.62</v>
      </c>
      <c r="G259" s="25">
        <f>(VLOOKUP($D259,$C$6:$AJ$991,5,)/VLOOKUP($D259,$C$6:$AJ$991,4,))*$F259</f>
        <v>0</v>
      </c>
      <c r="H259" s="25">
        <f>(VLOOKUP($D259,$C$6:$AJ$991,6,)/VLOOKUP($D259,$C$6:$AJ$991,4,))*$F259</f>
        <v>0</v>
      </c>
      <c r="I259" s="25">
        <f>(VLOOKUP($D259,$C$6:$AJ$991,7,)/VLOOKUP($D259,$C$6:$AJ$991,4,))*$F259</f>
        <v>0</v>
      </c>
      <c r="J259" s="25">
        <f>(VLOOKUP($D259,$C$6:$AJ$991,8,)/VLOOKUP($D259,$C$6:$AJ$991,4,))*$F259</f>
        <v>0</v>
      </c>
      <c r="K259" s="25">
        <f>(VLOOKUP($D259,$C$6:$AJ$991,9,)/VLOOKUP($D259,$C$6:$AJ$991,4,))*$F259</f>
        <v>0</v>
      </c>
      <c r="L259" s="25">
        <f>(VLOOKUP($D259,$C$6:$AJ$991,10,)/VLOOKUP($D259,$C$6:$AJ$991,4,))*$F259</f>
        <v>0</v>
      </c>
      <c r="M259" s="25">
        <f>(VLOOKUP($D259,$C$6:$AJ$991,11,)/VLOOKUP($D259,$C$6:$AJ$991,4,))*$F259</f>
        <v>0</v>
      </c>
      <c r="N259" s="25">
        <f>(VLOOKUP($D259,$C$6:$AJ$991,12,)/VLOOKUP($D259,$C$6:$AJ$991,4,))*$F259</f>
        <v>0</v>
      </c>
      <c r="O259" s="25">
        <f>(VLOOKUP($D259,$C$6:$AJ$991,13,)/VLOOKUP($D259,$C$6:$AJ$991,4,))*$F259</f>
        <v>0</v>
      </c>
      <c r="P259" s="25">
        <f>(VLOOKUP($D259,$C$6:$AJ$991,14,)/VLOOKUP($D259,$C$6:$AJ$991,4,))*$F259</f>
        <v>0</v>
      </c>
      <c r="Q259" s="25">
        <f>(VLOOKUP($D259,$C$6:$AJ$991,15,)/VLOOKUP($D259,$C$6:$AJ$991,4,))*$F259</f>
        <v>0</v>
      </c>
      <c r="R259" s="25">
        <f>(VLOOKUP($D259,$C$6:$AJ$991,16,)/VLOOKUP($D259,$C$6:$AJ$991,4,))*$F259</f>
        <v>0</v>
      </c>
      <c r="S259" s="25">
        <f>(VLOOKUP($D259,$C$6:$AJ$991,17,)/VLOOKUP($D259,$C$6:$AJ$991,4,))*$F259</f>
        <v>0</v>
      </c>
      <c r="T259" s="25">
        <f>(VLOOKUP($D259,$C$6:$AJ$991,18,)/VLOOKUP($D259,$C$6:$AJ$991,4,))*$F259</f>
        <v>0</v>
      </c>
      <c r="U259" s="25">
        <f>(VLOOKUP($D259,$C$6:$AJ$991,19,)/VLOOKUP($D259,$C$6:$AJ$991,4,))*$F259</f>
        <v>0</v>
      </c>
      <c r="V259" s="25">
        <f>(VLOOKUP($D259,$C$6:$AJ$991,20,)/VLOOKUP($D259,$C$6:$AJ$991,4,))*$F259</f>
        <v>224137.62</v>
      </c>
      <c r="W259" s="25">
        <f>SUM(G259:V259)</f>
        <v>224137.62</v>
      </c>
      <c r="X259" s="120" t="str">
        <f>IF(ABS(W259-F259)&lt;1,"ok","err")</f>
        <v>ok</v>
      </c>
    </row>
    <row r="260" spans="1:24" x14ac:dyDescent="0.2">
      <c r="A260" s="26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25"/>
      <c r="X260" s="120"/>
    </row>
    <row r="261" spans="1:24" x14ac:dyDescent="0.2">
      <c r="A261" s="117" t="s">
        <v>151</v>
      </c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25"/>
      <c r="X261" s="120"/>
    </row>
    <row r="262" spans="1:24" x14ac:dyDescent="0.2">
      <c r="A262" s="26" t="s">
        <v>150</v>
      </c>
      <c r="B262" s="23" t="s">
        <v>151</v>
      </c>
      <c r="C262" s="114" t="s">
        <v>542</v>
      </c>
      <c r="D262" s="114" t="s">
        <v>51</v>
      </c>
      <c r="F262" s="30">
        <v>0</v>
      </c>
      <c r="G262" s="25">
        <f>(VLOOKUP($D262,$C$6:$AJ$991,5,)/VLOOKUP($D262,$C$6:$AJ$991,4,))*$F262</f>
        <v>0</v>
      </c>
      <c r="H262" s="25">
        <f>(VLOOKUP($D262,$C$6:$AJ$991,6,)/VLOOKUP($D262,$C$6:$AJ$991,4,))*$F262</f>
        <v>0</v>
      </c>
      <c r="I262" s="25">
        <f>(VLOOKUP($D262,$C$6:$AJ$991,7,)/VLOOKUP($D262,$C$6:$AJ$991,4,))*$F262</f>
        <v>0</v>
      </c>
      <c r="J262" s="25">
        <f>(VLOOKUP($D262,$C$6:$AJ$991,8,)/VLOOKUP($D262,$C$6:$AJ$991,4,))*$F262</f>
        <v>0</v>
      </c>
      <c r="K262" s="25">
        <f>(VLOOKUP($D262,$C$6:$AJ$991,9,)/VLOOKUP($D262,$C$6:$AJ$991,4,))*$F262</f>
        <v>0</v>
      </c>
      <c r="L262" s="25">
        <f>(VLOOKUP($D262,$C$6:$AJ$991,10,)/VLOOKUP($D262,$C$6:$AJ$991,4,))*$F262</f>
        <v>0</v>
      </c>
      <c r="M262" s="25">
        <f>(VLOOKUP($D262,$C$6:$AJ$991,11,)/VLOOKUP($D262,$C$6:$AJ$991,4,))*$F262</f>
        <v>0</v>
      </c>
      <c r="N262" s="25">
        <f>(VLOOKUP($D262,$C$6:$AJ$991,12,)/VLOOKUP($D262,$C$6:$AJ$991,4,))*$F262</f>
        <v>0</v>
      </c>
      <c r="O262" s="25">
        <f>(VLOOKUP($D262,$C$6:$AJ$991,13,)/VLOOKUP($D262,$C$6:$AJ$991,4,))*$F262</f>
        <v>0</v>
      </c>
      <c r="P262" s="25">
        <f>(VLOOKUP($D262,$C$6:$AJ$991,14,)/VLOOKUP($D262,$C$6:$AJ$991,4,))*$F262</f>
        <v>0</v>
      </c>
      <c r="Q262" s="25">
        <f>(VLOOKUP($D262,$C$6:$AJ$991,15,)/VLOOKUP($D262,$C$6:$AJ$991,4,))*$F262</f>
        <v>0</v>
      </c>
      <c r="R262" s="25">
        <f>(VLOOKUP($D262,$C$6:$AJ$991,16,)/VLOOKUP($D262,$C$6:$AJ$991,4,))*$F262</f>
        <v>0</v>
      </c>
      <c r="S262" s="25">
        <f>(VLOOKUP($D262,$C$6:$AJ$991,17,)/VLOOKUP($D262,$C$6:$AJ$991,4,))*$F262</f>
        <v>0</v>
      </c>
      <c r="T262" s="25">
        <f>(VLOOKUP($D262,$C$6:$AJ$991,18,)/VLOOKUP($D262,$C$6:$AJ$991,4,))*$F262</f>
        <v>0</v>
      </c>
      <c r="U262" s="25">
        <f>(VLOOKUP($D262,$C$6:$AJ$991,19,)/VLOOKUP($D262,$C$6:$AJ$991,4,))*$F262</f>
        <v>0</v>
      </c>
      <c r="V262" s="25">
        <f>(VLOOKUP($D262,$C$6:$AJ$991,20,)/VLOOKUP($D262,$C$6:$AJ$991,4,))*$F262</f>
        <v>0</v>
      </c>
      <c r="W262" s="25">
        <f>SUM(G262:V262)</f>
        <v>0</v>
      </c>
      <c r="X262" s="120" t="str">
        <f>IF(ABS(W262-F262)&lt;1,"ok","err")</f>
        <v>ok</v>
      </c>
    </row>
    <row r="263" spans="1:24" x14ac:dyDescent="0.2">
      <c r="A263" s="26"/>
      <c r="F263" s="25"/>
    </row>
    <row r="264" spans="1:24" x14ac:dyDescent="0.2">
      <c r="A264" s="26"/>
      <c r="F264" s="25"/>
    </row>
    <row r="265" spans="1:24" x14ac:dyDescent="0.2">
      <c r="A265" s="26"/>
      <c r="F265" s="25"/>
    </row>
    <row r="266" spans="1:24" x14ac:dyDescent="0.2">
      <c r="A266" s="26"/>
      <c r="F266" s="25"/>
    </row>
    <row r="267" spans="1:24" x14ac:dyDescent="0.2">
      <c r="A267" s="26"/>
      <c r="F267" s="25"/>
    </row>
    <row r="268" spans="1:24" x14ac:dyDescent="0.2">
      <c r="A268" s="26"/>
      <c r="F268" s="25"/>
    </row>
    <row r="269" spans="1:24" x14ac:dyDescent="0.2">
      <c r="A269" s="184"/>
      <c r="F269" s="30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120"/>
    </row>
    <row r="270" spans="1:24" x14ac:dyDescent="0.2">
      <c r="A270" s="26"/>
      <c r="F270" s="25"/>
    </row>
    <row r="271" spans="1:24" x14ac:dyDescent="0.2">
      <c r="A271" s="187" t="s">
        <v>460</v>
      </c>
      <c r="F271" s="25"/>
    </row>
    <row r="272" spans="1:24" x14ac:dyDescent="0.2">
      <c r="A272" s="26"/>
      <c r="F272" s="25"/>
    </row>
    <row r="273" spans="1:24" x14ac:dyDescent="0.2">
      <c r="A273" s="26"/>
      <c r="F273" s="25"/>
    </row>
    <row r="274" spans="1:24" x14ac:dyDescent="0.2">
      <c r="A274" s="117" t="s">
        <v>172</v>
      </c>
      <c r="F274" s="25"/>
    </row>
    <row r="275" spans="1:24" x14ac:dyDescent="0.2">
      <c r="A275" s="26">
        <v>920</v>
      </c>
      <c r="B275" s="23" t="s">
        <v>436</v>
      </c>
      <c r="C275" s="114" t="s">
        <v>543</v>
      </c>
      <c r="D275" s="114" t="s">
        <v>154</v>
      </c>
      <c r="F275" s="189">
        <v>6056881.7800000003</v>
      </c>
      <c r="G275" s="25">
        <f t="shared" ref="G275:G288" si="144">(VLOOKUP($D275,$C$6:$AJ$991,5,)/VLOOKUP($D275,$C$6:$AJ$991,4,))*$F275</f>
        <v>21517.952093883505</v>
      </c>
      <c r="H275" s="25">
        <f t="shared" ref="H275:H288" si="145">(VLOOKUP($D275,$C$6:$AJ$991,6,)/VLOOKUP($D275,$C$6:$AJ$991,4,))*$F275</f>
        <v>161769.54444686187</v>
      </c>
      <c r="I275" s="25">
        <f t="shared" ref="I275:I288" si="146">(VLOOKUP($D275,$C$6:$AJ$991,7,)/VLOOKUP($D275,$C$6:$AJ$991,4,))*$F275</f>
        <v>373453.34763218381</v>
      </c>
      <c r="J275" s="25">
        <f t="shared" ref="J275:J288" si="147">(VLOOKUP($D275,$C$6:$AJ$991,8,)/VLOOKUP($D275,$C$6:$AJ$991,4,))*$F275</f>
        <v>817076.58395152155</v>
      </c>
      <c r="K275" s="25">
        <f t="shared" ref="K275:K288" si="148">(VLOOKUP($D275,$C$6:$AJ$991,9,)/VLOOKUP($D275,$C$6:$AJ$991,4,))*$F275</f>
        <v>108235.92931831474</v>
      </c>
      <c r="L275" s="25">
        <f t="shared" ref="L275:L288" si="149">(VLOOKUP($D275,$C$6:$AJ$991,10,)/VLOOKUP($D275,$C$6:$AJ$991,4,))*$F275</f>
        <v>512774.22712288774</v>
      </c>
      <c r="M275" s="25">
        <f t="shared" ref="M275:M288" si="150">(VLOOKUP($D275,$C$6:$AJ$991,11,)/VLOOKUP($D275,$C$6:$AJ$991,4,))*$F275</f>
        <v>202169.79783597434</v>
      </c>
      <c r="N275" s="25">
        <f t="shared" ref="N275:N288" si="151">(VLOOKUP($D275,$C$6:$AJ$991,12,)/VLOOKUP($D275,$C$6:$AJ$991,4,))*$F275</f>
        <v>313840.12090084155</v>
      </c>
      <c r="O275" s="25">
        <f t="shared" ref="O275:O288" si="152">(VLOOKUP($D275,$C$6:$AJ$991,13,)/VLOOKUP($D275,$C$6:$AJ$991,4,))*$F275</f>
        <v>1392874.9704680645</v>
      </c>
      <c r="P275" s="25">
        <f t="shared" ref="P275:P288" si="153">(VLOOKUP($D275,$C$6:$AJ$991,14,)/VLOOKUP($D275,$C$6:$AJ$991,4,))*$F275</f>
        <v>0</v>
      </c>
      <c r="Q275" s="25">
        <f t="shared" ref="Q275:Q288" si="154">(VLOOKUP($D275,$C$6:$AJ$991,15,)/VLOOKUP($D275,$C$6:$AJ$991,4,))*$F275</f>
        <v>152882.777982992</v>
      </c>
      <c r="R275" s="25">
        <f t="shared" ref="R275:R288" si="155">(VLOOKUP($D275,$C$6:$AJ$991,16,)/VLOOKUP($D275,$C$6:$AJ$991,4,))*$F275</f>
        <v>0</v>
      </c>
      <c r="S275" s="25">
        <f t="shared" ref="S275:S288" si="156">(VLOOKUP($D275,$C$6:$AJ$991,17,)/VLOOKUP($D275,$C$6:$AJ$991,4,))*$F275</f>
        <v>512643.72829411953</v>
      </c>
      <c r="T275" s="25">
        <f t="shared" ref="T275:T288" si="157">(VLOOKUP($D275,$C$6:$AJ$991,18,)/VLOOKUP($D275,$C$6:$AJ$991,4,))*$F275</f>
        <v>413371.95841287862</v>
      </c>
      <c r="U275" s="25">
        <f t="shared" ref="U275:U288" si="158">(VLOOKUP($D275,$C$6:$AJ$991,19,)/VLOOKUP($D275,$C$6:$AJ$991,4,))*$F275</f>
        <v>1007436.2437181833</v>
      </c>
      <c r="V275" s="25">
        <f t="shared" ref="V275:V288" si="159">(VLOOKUP($D275,$C$6:$AJ$991,20,)/VLOOKUP($D275,$C$6:$AJ$991,4,))*$F275</f>
        <v>66834.597821292671</v>
      </c>
      <c r="W275" s="25">
        <f>SUM(G275:V275)</f>
        <v>6056881.7799999993</v>
      </c>
      <c r="X275" s="120" t="str">
        <f>IF(ABS(W275-F275)&lt;1,"ok","err")</f>
        <v>ok</v>
      </c>
    </row>
    <row r="276" spans="1:24" x14ac:dyDescent="0.2">
      <c r="A276" s="26">
        <v>921</v>
      </c>
      <c r="B276" s="23" t="s">
        <v>437</v>
      </c>
      <c r="C276" s="114" t="s">
        <v>544</v>
      </c>
      <c r="D276" s="114" t="s">
        <v>154</v>
      </c>
      <c r="F276" s="25">
        <v>0</v>
      </c>
      <c r="G276" s="25">
        <f t="shared" si="144"/>
        <v>0</v>
      </c>
      <c r="H276" s="25">
        <f t="shared" si="145"/>
        <v>0</v>
      </c>
      <c r="I276" s="25">
        <f t="shared" si="146"/>
        <v>0</v>
      </c>
      <c r="J276" s="25">
        <f t="shared" si="147"/>
        <v>0</v>
      </c>
      <c r="K276" s="25">
        <f t="shared" si="148"/>
        <v>0</v>
      </c>
      <c r="L276" s="25">
        <f t="shared" si="149"/>
        <v>0</v>
      </c>
      <c r="M276" s="25">
        <f t="shared" si="150"/>
        <v>0</v>
      </c>
      <c r="N276" s="25">
        <f t="shared" si="151"/>
        <v>0</v>
      </c>
      <c r="O276" s="25">
        <f t="shared" si="152"/>
        <v>0</v>
      </c>
      <c r="P276" s="25">
        <f t="shared" si="153"/>
        <v>0</v>
      </c>
      <c r="Q276" s="25">
        <f t="shared" si="154"/>
        <v>0</v>
      </c>
      <c r="R276" s="25">
        <f t="shared" si="155"/>
        <v>0</v>
      </c>
      <c r="S276" s="25">
        <f t="shared" si="156"/>
        <v>0</v>
      </c>
      <c r="T276" s="25">
        <f t="shared" si="157"/>
        <v>0</v>
      </c>
      <c r="U276" s="25">
        <f t="shared" si="158"/>
        <v>0</v>
      </c>
      <c r="V276" s="25">
        <f t="shared" si="159"/>
        <v>0</v>
      </c>
      <c r="W276" s="25">
        <f t="shared" ref="W276:W288" si="160">SUM(G276:V276)</f>
        <v>0</v>
      </c>
      <c r="X276" s="120" t="str">
        <f t="shared" ref="X276:X288" si="161">IF(ABS(W276-F276)&lt;1,"ok","err")</f>
        <v>ok</v>
      </c>
    </row>
    <row r="277" spans="1:24" x14ac:dyDescent="0.2">
      <c r="A277" s="26">
        <v>922</v>
      </c>
      <c r="B277" s="23" t="s">
        <v>438</v>
      </c>
      <c r="C277" s="114" t="s">
        <v>545</v>
      </c>
      <c r="D277" s="114" t="s">
        <v>154</v>
      </c>
      <c r="F277" s="25">
        <v>-683567.72</v>
      </c>
      <c r="G277" s="25">
        <f t="shared" si="144"/>
        <v>-2428.4735918826491</v>
      </c>
      <c r="H277" s="25">
        <f t="shared" si="145"/>
        <v>-18256.991415635657</v>
      </c>
      <c r="I277" s="25">
        <f t="shared" si="146"/>
        <v>-42147.207530159067</v>
      </c>
      <c r="J277" s="25">
        <f t="shared" si="147"/>
        <v>-92213.650165899409</v>
      </c>
      <c r="K277" s="25">
        <f t="shared" si="148"/>
        <v>-12215.293300012461</v>
      </c>
      <c r="L277" s="25">
        <f t="shared" si="149"/>
        <v>-57870.686937719045</v>
      </c>
      <c r="M277" s="25">
        <f t="shared" si="150"/>
        <v>-22816.484253651372</v>
      </c>
      <c r="N277" s="25">
        <f t="shared" si="151"/>
        <v>-35419.376451609161</v>
      </c>
      <c r="O277" s="25">
        <f t="shared" si="152"/>
        <v>-157197.11930846405</v>
      </c>
      <c r="P277" s="25">
        <f t="shared" si="153"/>
        <v>0</v>
      </c>
      <c r="Q277" s="25">
        <f t="shared" si="154"/>
        <v>-17254.048497063453</v>
      </c>
      <c r="R277" s="25">
        <f t="shared" si="155"/>
        <v>0</v>
      </c>
      <c r="S277" s="25">
        <f t="shared" si="156"/>
        <v>-57855.959097539257</v>
      </c>
      <c r="T277" s="25">
        <f t="shared" si="157"/>
        <v>-46652.343134263094</v>
      </c>
      <c r="U277" s="25">
        <f t="shared" si="158"/>
        <v>-113697.26555300255</v>
      </c>
      <c r="V277" s="25">
        <f t="shared" si="159"/>
        <v>-7542.8207630986644</v>
      </c>
      <c r="W277" s="25">
        <f t="shared" si="160"/>
        <v>-683567.72</v>
      </c>
      <c r="X277" s="120" t="str">
        <f t="shared" si="161"/>
        <v>ok</v>
      </c>
    </row>
    <row r="278" spans="1:24" x14ac:dyDescent="0.2">
      <c r="A278" s="26">
        <v>923</v>
      </c>
      <c r="B278" s="23" t="s">
        <v>157</v>
      </c>
      <c r="C278" s="114" t="s">
        <v>546</v>
      </c>
      <c r="D278" s="114" t="s">
        <v>154</v>
      </c>
      <c r="F278" s="25">
        <v>0</v>
      </c>
      <c r="G278" s="25">
        <f t="shared" si="144"/>
        <v>0</v>
      </c>
      <c r="H278" s="25">
        <f t="shared" si="145"/>
        <v>0</v>
      </c>
      <c r="I278" s="25">
        <f t="shared" si="146"/>
        <v>0</v>
      </c>
      <c r="J278" s="25">
        <f t="shared" si="147"/>
        <v>0</v>
      </c>
      <c r="K278" s="25">
        <f t="shared" si="148"/>
        <v>0</v>
      </c>
      <c r="L278" s="25">
        <f t="shared" si="149"/>
        <v>0</v>
      </c>
      <c r="M278" s="25">
        <f t="shared" si="150"/>
        <v>0</v>
      </c>
      <c r="N278" s="25">
        <f t="shared" si="151"/>
        <v>0</v>
      </c>
      <c r="O278" s="25">
        <f t="shared" si="152"/>
        <v>0</v>
      </c>
      <c r="P278" s="25">
        <f t="shared" si="153"/>
        <v>0</v>
      </c>
      <c r="Q278" s="25">
        <f t="shared" si="154"/>
        <v>0</v>
      </c>
      <c r="R278" s="25">
        <f t="shared" si="155"/>
        <v>0</v>
      </c>
      <c r="S278" s="25">
        <f t="shared" si="156"/>
        <v>0</v>
      </c>
      <c r="T278" s="25">
        <f t="shared" si="157"/>
        <v>0</v>
      </c>
      <c r="U278" s="25">
        <f t="shared" si="158"/>
        <v>0</v>
      </c>
      <c r="V278" s="25">
        <f t="shared" si="159"/>
        <v>0</v>
      </c>
      <c r="W278" s="25">
        <f t="shared" si="160"/>
        <v>0</v>
      </c>
      <c r="X278" s="120" t="str">
        <f t="shared" si="161"/>
        <v>ok</v>
      </c>
    </row>
    <row r="279" spans="1:24" x14ac:dyDescent="0.2">
      <c r="A279" s="26">
        <v>924</v>
      </c>
      <c r="B279" s="23" t="s">
        <v>160</v>
      </c>
      <c r="C279" s="114" t="s">
        <v>547</v>
      </c>
      <c r="D279" s="114" t="s">
        <v>72</v>
      </c>
      <c r="F279" s="25">
        <v>0</v>
      </c>
      <c r="G279" s="25">
        <f t="shared" si="144"/>
        <v>0</v>
      </c>
      <c r="H279" s="25">
        <f t="shared" si="145"/>
        <v>0</v>
      </c>
      <c r="I279" s="25">
        <f t="shared" si="146"/>
        <v>0</v>
      </c>
      <c r="J279" s="25">
        <f t="shared" si="147"/>
        <v>0</v>
      </c>
      <c r="K279" s="25">
        <f t="shared" si="148"/>
        <v>0</v>
      </c>
      <c r="L279" s="25">
        <f t="shared" si="149"/>
        <v>0</v>
      </c>
      <c r="M279" s="25">
        <f t="shared" si="150"/>
        <v>0</v>
      </c>
      <c r="N279" s="25">
        <f t="shared" si="151"/>
        <v>0</v>
      </c>
      <c r="O279" s="25">
        <f t="shared" si="152"/>
        <v>0</v>
      </c>
      <c r="P279" s="25">
        <f t="shared" si="153"/>
        <v>0</v>
      </c>
      <c r="Q279" s="25">
        <f t="shared" si="154"/>
        <v>0</v>
      </c>
      <c r="R279" s="25">
        <f t="shared" si="155"/>
        <v>0</v>
      </c>
      <c r="S279" s="25">
        <f t="shared" si="156"/>
        <v>0</v>
      </c>
      <c r="T279" s="25">
        <f t="shared" si="157"/>
        <v>0</v>
      </c>
      <c r="U279" s="25">
        <f t="shared" si="158"/>
        <v>0</v>
      </c>
      <c r="V279" s="25">
        <f t="shared" si="159"/>
        <v>0</v>
      </c>
      <c r="W279" s="25">
        <f t="shared" si="160"/>
        <v>0</v>
      </c>
      <c r="X279" s="120" t="str">
        <f t="shared" si="161"/>
        <v>ok</v>
      </c>
    </row>
    <row r="280" spans="1:24" x14ac:dyDescent="0.2">
      <c r="A280" s="26">
        <v>925</v>
      </c>
      <c r="B280" s="23" t="s">
        <v>162</v>
      </c>
      <c r="C280" s="114" t="s">
        <v>548</v>
      </c>
      <c r="D280" s="114" t="s">
        <v>154</v>
      </c>
      <c r="F280" s="25">
        <v>0</v>
      </c>
      <c r="G280" s="25">
        <f t="shared" si="144"/>
        <v>0</v>
      </c>
      <c r="H280" s="25">
        <f t="shared" si="145"/>
        <v>0</v>
      </c>
      <c r="I280" s="25">
        <f t="shared" si="146"/>
        <v>0</v>
      </c>
      <c r="J280" s="25">
        <f t="shared" si="147"/>
        <v>0</v>
      </c>
      <c r="K280" s="25">
        <f t="shared" si="148"/>
        <v>0</v>
      </c>
      <c r="L280" s="25">
        <f t="shared" si="149"/>
        <v>0</v>
      </c>
      <c r="M280" s="25">
        <f t="shared" si="150"/>
        <v>0</v>
      </c>
      <c r="N280" s="25">
        <f t="shared" si="151"/>
        <v>0</v>
      </c>
      <c r="O280" s="25">
        <f t="shared" si="152"/>
        <v>0</v>
      </c>
      <c r="P280" s="25">
        <f t="shared" si="153"/>
        <v>0</v>
      </c>
      <c r="Q280" s="25">
        <f t="shared" si="154"/>
        <v>0</v>
      </c>
      <c r="R280" s="25">
        <f t="shared" si="155"/>
        <v>0</v>
      </c>
      <c r="S280" s="25">
        <f t="shared" si="156"/>
        <v>0</v>
      </c>
      <c r="T280" s="25">
        <f t="shared" si="157"/>
        <v>0</v>
      </c>
      <c r="U280" s="25">
        <f t="shared" si="158"/>
        <v>0</v>
      </c>
      <c r="V280" s="25">
        <f t="shared" si="159"/>
        <v>0</v>
      </c>
      <c r="W280" s="25">
        <f t="shared" si="160"/>
        <v>0</v>
      </c>
      <c r="X280" s="120" t="str">
        <f t="shared" si="161"/>
        <v>ok</v>
      </c>
    </row>
    <row r="281" spans="1:24" x14ac:dyDescent="0.2">
      <c r="A281" s="26">
        <v>926</v>
      </c>
      <c r="B281" s="23" t="s">
        <v>439</v>
      </c>
      <c r="C281" s="114" t="s">
        <v>549</v>
      </c>
      <c r="D281" s="114" t="s">
        <v>154</v>
      </c>
      <c r="F281" s="25">
        <v>0</v>
      </c>
      <c r="G281" s="25">
        <f t="shared" si="144"/>
        <v>0</v>
      </c>
      <c r="H281" s="25">
        <f t="shared" si="145"/>
        <v>0</v>
      </c>
      <c r="I281" s="25">
        <f t="shared" si="146"/>
        <v>0</v>
      </c>
      <c r="J281" s="25">
        <f t="shared" si="147"/>
        <v>0</v>
      </c>
      <c r="K281" s="25">
        <f t="shared" si="148"/>
        <v>0</v>
      </c>
      <c r="L281" s="25">
        <f t="shared" si="149"/>
        <v>0</v>
      </c>
      <c r="M281" s="25">
        <f t="shared" si="150"/>
        <v>0</v>
      </c>
      <c r="N281" s="25">
        <f t="shared" si="151"/>
        <v>0</v>
      </c>
      <c r="O281" s="25">
        <f t="shared" si="152"/>
        <v>0</v>
      </c>
      <c r="P281" s="25">
        <f t="shared" si="153"/>
        <v>0</v>
      </c>
      <c r="Q281" s="25">
        <f t="shared" si="154"/>
        <v>0</v>
      </c>
      <c r="R281" s="25">
        <f t="shared" si="155"/>
        <v>0</v>
      </c>
      <c r="S281" s="25">
        <f t="shared" si="156"/>
        <v>0</v>
      </c>
      <c r="T281" s="25">
        <f t="shared" si="157"/>
        <v>0</v>
      </c>
      <c r="U281" s="25">
        <f t="shared" si="158"/>
        <v>0</v>
      </c>
      <c r="V281" s="25">
        <f t="shared" si="159"/>
        <v>0</v>
      </c>
      <c r="W281" s="25">
        <f t="shared" si="160"/>
        <v>0</v>
      </c>
      <c r="X281" s="120" t="str">
        <f t="shared" si="161"/>
        <v>ok</v>
      </c>
    </row>
    <row r="282" spans="1:24" x14ac:dyDescent="0.2">
      <c r="A282" s="26">
        <v>927</v>
      </c>
      <c r="B282" s="23" t="s">
        <v>689</v>
      </c>
      <c r="C282" s="114" t="s">
        <v>550</v>
      </c>
      <c r="D282" s="114" t="s">
        <v>72</v>
      </c>
      <c r="F282" s="25">
        <v>0</v>
      </c>
      <c r="G282" s="25">
        <f t="shared" si="144"/>
        <v>0</v>
      </c>
      <c r="H282" s="25">
        <f t="shared" si="145"/>
        <v>0</v>
      </c>
      <c r="I282" s="25">
        <f t="shared" si="146"/>
        <v>0</v>
      </c>
      <c r="J282" s="25">
        <f t="shared" si="147"/>
        <v>0</v>
      </c>
      <c r="K282" s="25">
        <f t="shared" si="148"/>
        <v>0</v>
      </c>
      <c r="L282" s="25">
        <f t="shared" si="149"/>
        <v>0</v>
      </c>
      <c r="M282" s="25">
        <f t="shared" si="150"/>
        <v>0</v>
      </c>
      <c r="N282" s="25">
        <f t="shared" si="151"/>
        <v>0</v>
      </c>
      <c r="O282" s="25">
        <f t="shared" si="152"/>
        <v>0</v>
      </c>
      <c r="P282" s="25">
        <f t="shared" si="153"/>
        <v>0</v>
      </c>
      <c r="Q282" s="25">
        <f t="shared" si="154"/>
        <v>0</v>
      </c>
      <c r="R282" s="25">
        <f t="shared" si="155"/>
        <v>0</v>
      </c>
      <c r="S282" s="25">
        <f t="shared" si="156"/>
        <v>0</v>
      </c>
      <c r="T282" s="25">
        <f t="shared" si="157"/>
        <v>0</v>
      </c>
      <c r="U282" s="25">
        <f t="shared" si="158"/>
        <v>0</v>
      </c>
      <c r="V282" s="25">
        <f t="shared" si="159"/>
        <v>0</v>
      </c>
      <c r="W282" s="25">
        <f t="shared" si="160"/>
        <v>0</v>
      </c>
      <c r="X282" s="120" t="str">
        <f t="shared" si="161"/>
        <v>ok</v>
      </c>
    </row>
    <row r="283" spans="1:24" x14ac:dyDescent="0.2">
      <c r="A283" s="26">
        <v>928</v>
      </c>
      <c r="B283" s="23" t="s">
        <v>166</v>
      </c>
      <c r="C283" s="114" t="s">
        <v>551</v>
      </c>
      <c r="D283" s="114" t="s">
        <v>72</v>
      </c>
      <c r="F283" s="25">
        <v>0</v>
      </c>
      <c r="G283" s="25">
        <f t="shared" si="144"/>
        <v>0</v>
      </c>
      <c r="H283" s="25">
        <f t="shared" si="145"/>
        <v>0</v>
      </c>
      <c r="I283" s="25">
        <f t="shared" si="146"/>
        <v>0</v>
      </c>
      <c r="J283" s="25">
        <f t="shared" si="147"/>
        <v>0</v>
      </c>
      <c r="K283" s="25">
        <f t="shared" si="148"/>
        <v>0</v>
      </c>
      <c r="L283" s="25">
        <f t="shared" si="149"/>
        <v>0</v>
      </c>
      <c r="M283" s="25">
        <f t="shared" si="150"/>
        <v>0</v>
      </c>
      <c r="N283" s="25">
        <f t="shared" si="151"/>
        <v>0</v>
      </c>
      <c r="O283" s="25">
        <f t="shared" si="152"/>
        <v>0</v>
      </c>
      <c r="P283" s="25">
        <f t="shared" si="153"/>
        <v>0</v>
      </c>
      <c r="Q283" s="25">
        <f t="shared" si="154"/>
        <v>0</v>
      </c>
      <c r="R283" s="25">
        <f t="shared" si="155"/>
        <v>0</v>
      </c>
      <c r="S283" s="25">
        <f t="shared" si="156"/>
        <v>0</v>
      </c>
      <c r="T283" s="25">
        <f t="shared" si="157"/>
        <v>0</v>
      </c>
      <c r="U283" s="25">
        <f t="shared" si="158"/>
        <v>0</v>
      </c>
      <c r="V283" s="25">
        <f t="shared" si="159"/>
        <v>0</v>
      </c>
      <c r="W283" s="25">
        <f t="shared" si="160"/>
        <v>0</v>
      </c>
      <c r="X283" s="120" t="str">
        <f t="shared" si="161"/>
        <v>ok</v>
      </c>
    </row>
    <row r="284" spans="1:24" x14ac:dyDescent="0.2">
      <c r="A284" s="26">
        <v>929</v>
      </c>
      <c r="B284" s="23" t="s">
        <v>688</v>
      </c>
      <c r="C284" s="114" t="s">
        <v>552</v>
      </c>
      <c r="D284" s="114" t="s">
        <v>154</v>
      </c>
      <c r="F284" s="25">
        <v>0</v>
      </c>
      <c r="G284" s="25">
        <f t="shared" si="144"/>
        <v>0</v>
      </c>
      <c r="H284" s="25">
        <f t="shared" si="145"/>
        <v>0</v>
      </c>
      <c r="I284" s="25">
        <f t="shared" si="146"/>
        <v>0</v>
      </c>
      <c r="J284" s="25">
        <f t="shared" si="147"/>
        <v>0</v>
      </c>
      <c r="K284" s="25">
        <f t="shared" si="148"/>
        <v>0</v>
      </c>
      <c r="L284" s="25">
        <f t="shared" si="149"/>
        <v>0</v>
      </c>
      <c r="M284" s="25">
        <f t="shared" si="150"/>
        <v>0</v>
      </c>
      <c r="N284" s="25">
        <f t="shared" si="151"/>
        <v>0</v>
      </c>
      <c r="O284" s="25">
        <f t="shared" si="152"/>
        <v>0</v>
      </c>
      <c r="P284" s="25">
        <f t="shared" si="153"/>
        <v>0</v>
      </c>
      <c r="Q284" s="25">
        <f t="shared" si="154"/>
        <v>0</v>
      </c>
      <c r="R284" s="25">
        <f t="shared" si="155"/>
        <v>0</v>
      </c>
      <c r="S284" s="25">
        <f t="shared" si="156"/>
        <v>0</v>
      </c>
      <c r="T284" s="25">
        <f t="shared" si="157"/>
        <v>0</v>
      </c>
      <c r="U284" s="25">
        <f t="shared" si="158"/>
        <v>0</v>
      </c>
      <c r="V284" s="25">
        <f t="shared" si="159"/>
        <v>0</v>
      </c>
      <c r="W284" s="25">
        <f t="shared" si="160"/>
        <v>0</v>
      </c>
      <c r="X284" s="120" t="str">
        <f t="shared" si="161"/>
        <v>ok</v>
      </c>
    </row>
    <row r="285" spans="1:24" x14ac:dyDescent="0.2">
      <c r="A285" s="26">
        <v>930.1</v>
      </c>
      <c r="B285" s="23" t="s">
        <v>440</v>
      </c>
      <c r="C285" s="114" t="s">
        <v>553</v>
      </c>
      <c r="D285" s="114" t="s">
        <v>72</v>
      </c>
      <c r="F285" s="126">
        <v>0</v>
      </c>
      <c r="G285" s="25">
        <f t="shared" si="144"/>
        <v>0</v>
      </c>
      <c r="H285" s="25">
        <f t="shared" si="145"/>
        <v>0</v>
      </c>
      <c r="I285" s="25">
        <f t="shared" si="146"/>
        <v>0</v>
      </c>
      <c r="J285" s="25">
        <f t="shared" si="147"/>
        <v>0</v>
      </c>
      <c r="K285" s="25">
        <f t="shared" si="148"/>
        <v>0</v>
      </c>
      <c r="L285" s="25">
        <f t="shared" si="149"/>
        <v>0</v>
      </c>
      <c r="M285" s="25">
        <f t="shared" si="150"/>
        <v>0</v>
      </c>
      <c r="N285" s="25">
        <f t="shared" si="151"/>
        <v>0</v>
      </c>
      <c r="O285" s="25">
        <f t="shared" si="152"/>
        <v>0</v>
      </c>
      <c r="P285" s="25">
        <f t="shared" si="153"/>
        <v>0</v>
      </c>
      <c r="Q285" s="25">
        <f t="shared" si="154"/>
        <v>0</v>
      </c>
      <c r="R285" s="25">
        <f t="shared" si="155"/>
        <v>0</v>
      </c>
      <c r="S285" s="25">
        <f t="shared" si="156"/>
        <v>0</v>
      </c>
      <c r="T285" s="25">
        <f t="shared" si="157"/>
        <v>0</v>
      </c>
      <c r="U285" s="25">
        <f t="shared" si="158"/>
        <v>0</v>
      </c>
      <c r="V285" s="25">
        <f t="shared" si="159"/>
        <v>0</v>
      </c>
      <c r="W285" s="25">
        <f t="shared" si="160"/>
        <v>0</v>
      </c>
      <c r="X285" s="120" t="str">
        <f t="shared" si="161"/>
        <v>ok</v>
      </c>
    </row>
    <row r="286" spans="1:24" x14ac:dyDescent="0.2">
      <c r="A286" s="26">
        <v>930.2</v>
      </c>
      <c r="B286" s="23" t="s">
        <v>441</v>
      </c>
      <c r="C286" s="114" t="s">
        <v>554</v>
      </c>
      <c r="D286" s="114" t="s">
        <v>154</v>
      </c>
      <c r="F286" s="126">
        <v>0</v>
      </c>
      <c r="G286" s="25">
        <f t="shared" si="144"/>
        <v>0</v>
      </c>
      <c r="H286" s="25">
        <f t="shared" si="145"/>
        <v>0</v>
      </c>
      <c r="I286" s="25">
        <f t="shared" si="146"/>
        <v>0</v>
      </c>
      <c r="J286" s="25">
        <f t="shared" si="147"/>
        <v>0</v>
      </c>
      <c r="K286" s="25">
        <f t="shared" si="148"/>
        <v>0</v>
      </c>
      <c r="L286" s="25">
        <f t="shared" si="149"/>
        <v>0</v>
      </c>
      <c r="M286" s="25">
        <f t="shared" si="150"/>
        <v>0</v>
      </c>
      <c r="N286" s="25">
        <f t="shared" si="151"/>
        <v>0</v>
      </c>
      <c r="O286" s="25">
        <f t="shared" si="152"/>
        <v>0</v>
      </c>
      <c r="P286" s="25">
        <f t="shared" si="153"/>
        <v>0</v>
      </c>
      <c r="Q286" s="25">
        <f t="shared" si="154"/>
        <v>0</v>
      </c>
      <c r="R286" s="25">
        <f t="shared" si="155"/>
        <v>0</v>
      </c>
      <c r="S286" s="25">
        <f t="shared" si="156"/>
        <v>0</v>
      </c>
      <c r="T286" s="25">
        <f t="shared" si="157"/>
        <v>0</v>
      </c>
      <c r="U286" s="25">
        <f t="shared" si="158"/>
        <v>0</v>
      </c>
      <c r="V286" s="25">
        <f t="shared" si="159"/>
        <v>0</v>
      </c>
      <c r="W286" s="25">
        <f t="shared" si="160"/>
        <v>0</v>
      </c>
      <c r="X286" s="120" t="str">
        <f t="shared" si="161"/>
        <v>ok</v>
      </c>
    </row>
    <row r="287" spans="1:24" x14ac:dyDescent="0.2">
      <c r="A287" s="26">
        <v>931</v>
      </c>
      <c r="B287" s="23" t="s">
        <v>108</v>
      </c>
      <c r="C287" s="114" t="s">
        <v>555</v>
      </c>
      <c r="D287" s="114" t="s">
        <v>72</v>
      </c>
      <c r="F287" s="126">
        <v>0</v>
      </c>
      <c r="G287" s="25">
        <f t="shared" si="144"/>
        <v>0</v>
      </c>
      <c r="H287" s="25">
        <f t="shared" si="145"/>
        <v>0</v>
      </c>
      <c r="I287" s="25">
        <f t="shared" si="146"/>
        <v>0</v>
      </c>
      <c r="J287" s="25">
        <f t="shared" si="147"/>
        <v>0</v>
      </c>
      <c r="K287" s="25">
        <f t="shared" si="148"/>
        <v>0</v>
      </c>
      <c r="L287" s="25">
        <f t="shared" si="149"/>
        <v>0</v>
      </c>
      <c r="M287" s="25">
        <f t="shared" si="150"/>
        <v>0</v>
      </c>
      <c r="N287" s="25">
        <f t="shared" si="151"/>
        <v>0</v>
      </c>
      <c r="O287" s="25">
        <f t="shared" si="152"/>
        <v>0</v>
      </c>
      <c r="P287" s="25">
        <f t="shared" si="153"/>
        <v>0</v>
      </c>
      <c r="Q287" s="25">
        <f t="shared" si="154"/>
        <v>0</v>
      </c>
      <c r="R287" s="25">
        <f t="shared" si="155"/>
        <v>0</v>
      </c>
      <c r="S287" s="25">
        <f t="shared" si="156"/>
        <v>0</v>
      </c>
      <c r="T287" s="25">
        <f t="shared" si="157"/>
        <v>0</v>
      </c>
      <c r="U287" s="25">
        <f t="shared" si="158"/>
        <v>0</v>
      </c>
      <c r="V287" s="25">
        <f t="shared" si="159"/>
        <v>0</v>
      </c>
      <c r="W287" s="25">
        <f t="shared" si="160"/>
        <v>0</v>
      </c>
      <c r="X287" s="120" t="str">
        <f t="shared" si="161"/>
        <v>ok</v>
      </c>
    </row>
    <row r="288" spans="1:24" x14ac:dyDescent="0.2">
      <c r="A288" s="26">
        <v>935</v>
      </c>
      <c r="B288" s="23" t="s">
        <v>188</v>
      </c>
      <c r="C288" s="114" t="s">
        <v>556</v>
      </c>
      <c r="D288" s="114" t="s">
        <v>62</v>
      </c>
      <c r="F288" s="25">
        <v>184591.19999999998</v>
      </c>
      <c r="G288" s="25">
        <f t="shared" si="144"/>
        <v>0</v>
      </c>
      <c r="H288" s="25">
        <f t="shared" si="145"/>
        <v>0</v>
      </c>
      <c r="I288" s="25">
        <f t="shared" si="146"/>
        <v>24995.848802837736</v>
      </c>
      <c r="J288" s="25">
        <f t="shared" si="147"/>
        <v>0</v>
      </c>
      <c r="K288" s="25">
        <f t="shared" si="148"/>
        <v>1509.2804171569214</v>
      </c>
      <c r="L288" s="25">
        <f t="shared" si="149"/>
        <v>7150.3067816168686</v>
      </c>
      <c r="M288" s="25">
        <f t="shared" si="150"/>
        <v>0</v>
      </c>
      <c r="N288" s="25">
        <f t="shared" si="151"/>
        <v>6122.6636848948674</v>
      </c>
      <c r="O288" s="25">
        <f t="shared" si="152"/>
        <v>62696.3418718713</v>
      </c>
      <c r="P288" s="25">
        <f t="shared" si="153"/>
        <v>0</v>
      </c>
      <c r="Q288" s="25">
        <f t="shared" si="154"/>
        <v>6881.5874489596408</v>
      </c>
      <c r="R288" s="25">
        <f t="shared" si="155"/>
        <v>0</v>
      </c>
      <c r="S288" s="25">
        <f t="shared" si="156"/>
        <v>61074.371158714988</v>
      </c>
      <c r="T288" s="25">
        <f t="shared" si="157"/>
        <v>14160.799833947674</v>
      </c>
      <c r="U288" s="25">
        <f t="shared" si="158"/>
        <v>0</v>
      </c>
      <c r="V288" s="25">
        <f t="shared" si="159"/>
        <v>0</v>
      </c>
      <c r="W288" s="25">
        <f t="shared" si="160"/>
        <v>184591.2</v>
      </c>
      <c r="X288" s="120" t="str">
        <f t="shared" si="161"/>
        <v>ok</v>
      </c>
    </row>
    <row r="289" spans="1:24" x14ac:dyDescent="0.2">
      <c r="A289" s="26"/>
      <c r="F289" s="25"/>
      <c r="G289" s="125"/>
    </row>
    <row r="290" spans="1:24" x14ac:dyDescent="0.2">
      <c r="A290" s="26" t="s">
        <v>471</v>
      </c>
      <c r="C290" s="114" t="s">
        <v>557</v>
      </c>
      <c r="F290" s="30">
        <f>SUM(F275:F288)</f>
        <v>5557905.2600000007</v>
      </c>
      <c r="G290" s="30">
        <f t="shared" ref="G290:V290" si="162">SUM(G275:G288)</f>
        <v>19089.478502000857</v>
      </c>
      <c r="H290" s="30">
        <f t="shared" si="162"/>
        <v>143512.55303122621</v>
      </c>
      <c r="I290" s="30">
        <f t="shared" si="162"/>
        <v>356301.98890486249</v>
      </c>
      <c r="J290" s="30">
        <f t="shared" si="162"/>
        <v>724862.93378562212</v>
      </c>
      <c r="K290" s="30">
        <f t="shared" si="162"/>
        <v>97529.916435459192</v>
      </c>
      <c r="L290" s="30">
        <f t="shared" si="162"/>
        <v>462053.84696678555</v>
      </c>
      <c r="M290" s="30">
        <f t="shared" si="162"/>
        <v>179353.31358232297</v>
      </c>
      <c r="N290" s="30">
        <f t="shared" si="162"/>
        <v>284543.40813412721</v>
      </c>
      <c r="O290" s="30">
        <f t="shared" si="162"/>
        <v>1298374.1930314719</v>
      </c>
      <c r="P290" s="30">
        <f t="shared" si="162"/>
        <v>0</v>
      </c>
      <c r="Q290" s="30">
        <f>SUM(Q275:Q288)</f>
        <v>142510.31693488819</v>
      </c>
      <c r="R290" s="30">
        <f>SUM(R275:R288)</f>
        <v>0</v>
      </c>
      <c r="S290" s="30">
        <f t="shared" si="162"/>
        <v>515862.14035529527</v>
      </c>
      <c r="T290" s="30">
        <f t="shared" si="162"/>
        <v>380880.41511256318</v>
      </c>
      <c r="U290" s="30">
        <f t="shared" si="162"/>
        <v>893738.97816518066</v>
      </c>
      <c r="V290" s="30">
        <f t="shared" si="162"/>
        <v>59291.777058194006</v>
      </c>
      <c r="W290" s="25">
        <f>SUM(G290:V290)</f>
        <v>5557905.2600000007</v>
      </c>
      <c r="X290" s="120" t="str">
        <f>IF(ABS(W290-F290)&lt;1,"ok","err")</f>
        <v>ok</v>
      </c>
    </row>
    <row r="291" spans="1:24" x14ac:dyDescent="0.2">
      <c r="A291" s="26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</row>
    <row r="292" spans="1:24" x14ac:dyDescent="0.2">
      <c r="A292" s="26" t="s">
        <v>463</v>
      </c>
      <c r="C292" s="114" t="s">
        <v>344</v>
      </c>
      <c r="F292" s="30">
        <f t="shared" ref="F292:V292" si="163">F144+F179+F246+F256+F259+F262+F290</f>
        <v>25870364.840000004</v>
      </c>
      <c r="G292" s="30">
        <f t="shared" si="163"/>
        <v>91252.440902000861</v>
      </c>
      <c r="H292" s="30">
        <f t="shared" si="163"/>
        <v>686025.59063122631</v>
      </c>
      <c r="I292" s="30">
        <f t="shared" si="163"/>
        <v>1608721.3532455715</v>
      </c>
      <c r="J292" s="30">
        <f t="shared" si="163"/>
        <v>3465024.569444913</v>
      </c>
      <c r="K292" s="30">
        <f t="shared" si="163"/>
        <v>460511.73104535323</v>
      </c>
      <c r="L292" s="30">
        <f t="shared" si="163"/>
        <v>2181702.0323568918</v>
      </c>
      <c r="M292" s="30">
        <f t="shared" si="163"/>
        <v>857353.31358232303</v>
      </c>
      <c r="N292" s="30">
        <f t="shared" si="163"/>
        <v>1337042.8627925699</v>
      </c>
      <c r="O292" s="30">
        <f t="shared" si="163"/>
        <v>5969542.8843289698</v>
      </c>
      <c r="P292" s="30">
        <f t="shared" si="163"/>
        <v>0</v>
      </c>
      <c r="Q292" s="30">
        <f>Q144+Q179+Q246+Q256+Q259+Q262+Q290</f>
        <v>655220.54656357993</v>
      </c>
      <c r="R292" s="30">
        <f>R144+R179+R246+R256+R259+R262+R290</f>
        <v>0</v>
      </c>
      <c r="S292" s="30">
        <f t="shared" si="163"/>
        <v>2235072.6827005357</v>
      </c>
      <c r="T292" s="30">
        <f t="shared" si="163"/>
        <v>1767171.4971826903</v>
      </c>
      <c r="U292" s="30">
        <f t="shared" si="163"/>
        <v>4272293.9381651804</v>
      </c>
      <c r="V292" s="30">
        <f t="shared" si="163"/>
        <v>283429.39705819398</v>
      </c>
      <c r="W292" s="25">
        <f>SUM(G292:V292)</f>
        <v>25870364.84</v>
      </c>
      <c r="X292" s="120" t="str">
        <f>IF(ABS(W292-F292)&lt;1,"ok","err")</f>
        <v>ok</v>
      </c>
    </row>
    <row r="293" spans="1:24" x14ac:dyDescent="0.2">
      <c r="A293" s="26"/>
      <c r="F293" s="31"/>
      <c r="G293" s="125"/>
    </row>
    <row r="294" spans="1:24" x14ac:dyDescent="0.2">
      <c r="A294" s="26"/>
      <c r="F294" s="31"/>
      <c r="G294" s="125"/>
    </row>
    <row r="295" spans="1:24" x14ac:dyDescent="0.2">
      <c r="A295" s="26"/>
      <c r="F295" s="31"/>
      <c r="G295" s="125"/>
    </row>
    <row r="296" spans="1:24" x14ac:dyDescent="0.2">
      <c r="A296" s="26"/>
      <c r="F296" s="31"/>
      <c r="G296" s="125"/>
    </row>
    <row r="297" spans="1:24" x14ac:dyDescent="0.2">
      <c r="A297" s="26"/>
      <c r="F297" s="31"/>
      <c r="G297" s="125"/>
    </row>
    <row r="298" spans="1:24" x14ac:dyDescent="0.2">
      <c r="A298" s="26"/>
      <c r="F298" s="31"/>
      <c r="G298" s="125"/>
    </row>
    <row r="299" spans="1:24" x14ac:dyDescent="0.2">
      <c r="A299" s="26"/>
      <c r="F299" s="31"/>
      <c r="G299" s="125"/>
    </row>
    <row r="300" spans="1:24" x14ac:dyDescent="0.2">
      <c r="A300" s="26"/>
      <c r="F300" s="31"/>
      <c r="G300" s="125"/>
    </row>
    <row r="301" spans="1:24" x14ac:dyDescent="0.2">
      <c r="A301" s="26"/>
      <c r="F301" s="31"/>
      <c r="G301" s="125"/>
    </row>
    <row r="302" spans="1:24" x14ac:dyDescent="0.2">
      <c r="A302" s="26"/>
      <c r="F302" s="31"/>
      <c r="G302" s="125"/>
    </row>
    <row r="303" spans="1:24" x14ac:dyDescent="0.2">
      <c r="A303" s="26"/>
      <c r="F303" s="31"/>
      <c r="G303" s="125"/>
    </row>
    <row r="304" spans="1:24" x14ac:dyDescent="0.2">
      <c r="A304" s="26"/>
      <c r="F304" s="31"/>
      <c r="G304" s="125"/>
    </row>
    <row r="305" spans="1:24" x14ac:dyDescent="0.2">
      <c r="A305" s="26"/>
      <c r="F305" s="31"/>
      <c r="G305" s="125"/>
    </row>
    <row r="306" spans="1:24" x14ac:dyDescent="0.2">
      <c r="A306" s="26"/>
      <c r="F306" s="31"/>
      <c r="G306" s="125"/>
    </row>
    <row r="307" spans="1:24" x14ac:dyDescent="0.2">
      <c r="A307" s="26"/>
      <c r="F307" s="31"/>
      <c r="G307" s="125"/>
    </row>
    <row r="308" spans="1:24" x14ac:dyDescent="0.2">
      <c r="A308" s="26"/>
      <c r="F308" s="31"/>
      <c r="G308" s="125"/>
    </row>
    <row r="309" spans="1:24" x14ac:dyDescent="0.2">
      <c r="A309" s="26"/>
      <c r="F309" s="31"/>
      <c r="G309" s="125"/>
    </row>
    <row r="310" spans="1:24" x14ac:dyDescent="0.2">
      <c r="A310" s="26"/>
      <c r="F310" s="31"/>
      <c r="G310" s="125"/>
    </row>
    <row r="311" spans="1:24" x14ac:dyDescent="0.2">
      <c r="A311" s="26"/>
      <c r="F311" s="31"/>
      <c r="G311" s="125"/>
    </row>
    <row r="312" spans="1:24" x14ac:dyDescent="0.2">
      <c r="A312" s="184"/>
      <c r="F312" s="30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120"/>
    </row>
    <row r="313" spans="1:24" x14ac:dyDescent="0.2">
      <c r="A313" s="26"/>
      <c r="F313" s="31"/>
      <c r="G313" s="125"/>
    </row>
    <row r="314" spans="1:24" x14ac:dyDescent="0.2">
      <c r="A314" s="187" t="s">
        <v>464</v>
      </c>
      <c r="F314" s="31"/>
    </row>
    <row r="315" spans="1:24" x14ac:dyDescent="0.2">
      <c r="C315" s="23"/>
      <c r="D315" s="23"/>
      <c r="E315" s="23"/>
    </row>
    <row r="316" spans="1:24" x14ac:dyDescent="0.2">
      <c r="A316" s="26" t="s">
        <v>819</v>
      </c>
      <c r="B316" s="23" t="s">
        <v>455</v>
      </c>
      <c r="C316" s="114" t="s">
        <v>558</v>
      </c>
      <c r="D316" s="114" t="s">
        <v>638</v>
      </c>
      <c r="F316" s="31">
        <v>356998.99999999627</v>
      </c>
      <c r="G316" s="25">
        <f>(VLOOKUP($D316,$C$6:$AJ$991,5,)/VLOOKUP($D316,$C$6:$AJ$991,4,))*$F316</f>
        <v>41911.682599999564</v>
      </c>
      <c r="H316" s="25">
        <f>(VLOOKUP($D316,$C$6:$AJ$991,6,)/VLOOKUP($D316,$C$6:$AJ$991,4,))*$F316</f>
        <v>315087.31739999674</v>
      </c>
      <c r="I316" s="25">
        <f>(VLOOKUP($D316,$C$6:$AJ$991,7,)/VLOOKUP($D316,$C$6:$AJ$991,4,))*$F316</f>
        <v>0</v>
      </c>
      <c r="J316" s="25">
        <f>(VLOOKUP($D316,$C$6:$AJ$991,8,)/VLOOKUP($D316,$C$6:$AJ$991,4,))*$F316</f>
        <v>0</v>
      </c>
      <c r="K316" s="25">
        <f>(VLOOKUP($D316,$C$6:$AJ$991,9,)/VLOOKUP($D316,$C$6:$AJ$991,4,))*$F316</f>
        <v>0</v>
      </c>
      <c r="L316" s="25">
        <f>(VLOOKUP($D316,$C$6:$AJ$991,10,)/VLOOKUP($D316,$C$6:$AJ$991,4,))*$F316</f>
        <v>0</v>
      </c>
      <c r="M316" s="25">
        <f>(VLOOKUP($D316,$C$6:$AJ$991,11,)/VLOOKUP($D316,$C$6:$AJ$991,4,))*$F316</f>
        <v>0</v>
      </c>
      <c r="N316" s="25">
        <f>(VLOOKUP($D316,$C$6:$AJ$991,12,)/VLOOKUP($D316,$C$6:$AJ$991,4,))*$F316</f>
        <v>0</v>
      </c>
      <c r="O316" s="25">
        <f>(VLOOKUP($D316,$C$6:$AJ$991,13,)/VLOOKUP($D316,$C$6:$AJ$991,4,))*$F316</f>
        <v>0</v>
      </c>
      <c r="P316" s="25">
        <f>(VLOOKUP($D316,$C$6:$AJ$991,14,)/VLOOKUP($D316,$C$6:$AJ$991,4,))*$F316</f>
        <v>0</v>
      </c>
      <c r="Q316" s="25">
        <f>(VLOOKUP($D316,$C$6:$AJ$991,15,)/VLOOKUP($D316,$C$6:$AJ$991,4,))*$F316</f>
        <v>0</v>
      </c>
      <c r="R316" s="25">
        <f>(VLOOKUP($D316,$C$6:$AJ$991,16,)/VLOOKUP($D316,$C$6:$AJ$991,4,))*$F316</f>
        <v>0</v>
      </c>
      <c r="S316" s="25">
        <f>(VLOOKUP($D316,$C$6:$AJ$991,17,)/VLOOKUP($D316,$C$6:$AJ$991,4,))*$F316</f>
        <v>0</v>
      </c>
      <c r="T316" s="25">
        <f>(VLOOKUP($D316,$C$6:$AJ$991,18,)/VLOOKUP($D316,$C$6:$AJ$991,4,))*$F316</f>
        <v>0</v>
      </c>
      <c r="U316" s="25">
        <f>(VLOOKUP($D316,$C$6:$AJ$991,19,)/VLOOKUP($D316,$C$6:$AJ$991,4,))*$F316</f>
        <v>0</v>
      </c>
      <c r="V316" s="25">
        <f>(VLOOKUP($D316,$C$6:$AJ$991,20,)/VLOOKUP($D316,$C$6:$AJ$991,4,))*$F316</f>
        <v>0</v>
      </c>
      <c r="W316" s="25">
        <f>SUM(G316:V316)</f>
        <v>356998.99999999627</v>
      </c>
      <c r="X316" s="120" t="str">
        <f>IF(ABS(W316-F316)&lt;1,"ok","err")</f>
        <v>ok</v>
      </c>
    </row>
    <row r="317" spans="1:24" x14ac:dyDescent="0.2">
      <c r="F317" s="31"/>
    </row>
    <row r="318" spans="1:24" x14ac:dyDescent="0.2">
      <c r="A318" s="117" t="s">
        <v>457</v>
      </c>
      <c r="F318" s="31"/>
    </row>
    <row r="319" spans="1:24" x14ac:dyDescent="0.2">
      <c r="A319" s="117" t="s">
        <v>433</v>
      </c>
      <c r="C319" s="23"/>
      <c r="D319" s="23"/>
      <c r="E319" s="23"/>
      <c r="G319" s="23"/>
      <c r="H319" s="23"/>
      <c r="I319" s="23"/>
      <c r="J319" s="23"/>
      <c r="K319" s="23"/>
      <c r="L319" s="23"/>
      <c r="M319" s="23"/>
      <c r="N319" s="23"/>
    </row>
    <row r="320" spans="1:24" x14ac:dyDescent="0.2">
      <c r="A320" s="26">
        <v>814</v>
      </c>
      <c r="B320" s="23" t="s">
        <v>400</v>
      </c>
      <c r="C320" s="114" t="s">
        <v>94</v>
      </c>
      <c r="D320" s="114" t="s">
        <v>633</v>
      </c>
      <c r="F320" s="25">
        <f>669.59*1000</f>
        <v>669590</v>
      </c>
      <c r="G320" s="25">
        <f t="shared" ref="G320:G331" si="164">(VLOOKUP($D320,$C$6:$AJ$991,5,)/VLOOKUP($D320,$C$6:$AJ$991,4,))*$F320</f>
        <v>0</v>
      </c>
      <c r="H320" s="25">
        <f t="shared" ref="H320:H331" si="165">(VLOOKUP($D320,$C$6:$AJ$991,6,)/VLOOKUP($D320,$C$6:$AJ$991,4,))*$F320</f>
        <v>0</v>
      </c>
      <c r="I320" s="25">
        <f t="shared" ref="I320:I331" si="166">(VLOOKUP($D320,$C$6:$AJ$991,7,)/VLOOKUP($D320,$C$6:$AJ$991,4,))*$F320</f>
        <v>155540.74159165629</v>
      </c>
      <c r="J320" s="25">
        <f t="shared" ref="J320:J331" si="167">(VLOOKUP($D320,$C$6:$AJ$991,8,)/VLOOKUP($D320,$C$6:$AJ$991,4,))*$F320</f>
        <v>514049.25840834371</v>
      </c>
      <c r="K320" s="25">
        <f t="shared" ref="K320:K331" si="168">(VLOOKUP($D320,$C$6:$AJ$991,9,)/VLOOKUP($D320,$C$6:$AJ$991,4,))*$F320</f>
        <v>0</v>
      </c>
      <c r="L320" s="25">
        <f t="shared" ref="L320:L331" si="169">(VLOOKUP($D320,$C$6:$AJ$991,10,)/VLOOKUP($D320,$C$6:$AJ$991,4,))*$F320</f>
        <v>0</v>
      </c>
      <c r="M320" s="25">
        <f t="shared" ref="M320:M331" si="170">(VLOOKUP($D320,$C$6:$AJ$991,11,)/VLOOKUP($D320,$C$6:$AJ$991,4,))*$F320</f>
        <v>0</v>
      </c>
      <c r="N320" s="25">
        <f t="shared" ref="N320:N331" si="171">(VLOOKUP($D320,$C$6:$AJ$991,12,)/VLOOKUP($D320,$C$6:$AJ$991,4,))*$F320</f>
        <v>0</v>
      </c>
      <c r="O320" s="25">
        <f t="shared" ref="O320:O331" si="172">(VLOOKUP($D320,$C$6:$AJ$991,13,)/VLOOKUP($D320,$C$6:$AJ$991,4,))*$F320</f>
        <v>0</v>
      </c>
      <c r="P320" s="25">
        <f t="shared" ref="P320:P331" si="173">(VLOOKUP($D320,$C$6:$AJ$991,14,)/VLOOKUP($D320,$C$6:$AJ$991,4,))*$F320</f>
        <v>0</v>
      </c>
      <c r="Q320" s="25">
        <f t="shared" ref="Q320:Q331" si="174">(VLOOKUP($D320,$C$6:$AJ$991,15,)/VLOOKUP($D320,$C$6:$AJ$991,4,))*$F320</f>
        <v>0</v>
      </c>
      <c r="R320" s="25">
        <f t="shared" ref="R320:R331" si="175">(VLOOKUP($D320,$C$6:$AJ$991,16,)/VLOOKUP($D320,$C$6:$AJ$991,4,))*$F320</f>
        <v>0</v>
      </c>
      <c r="S320" s="25">
        <f t="shared" ref="S320:S331" si="176">(VLOOKUP($D320,$C$6:$AJ$991,17,)/VLOOKUP($D320,$C$6:$AJ$991,4,))*$F320</f>
        <v>0</v>
      </c>
      <c r="T320" s="25">
        <f t="shared" ref="T320:T331" si="177">(VLOOKUP($D320,$C$6:$AJ$991,18,)/VLOOKUP($D320,$C$6:$AJ$991,4,))*$F320</f>
        <v>0</v>
      </c>
      <c r="U320" s="25">
        <f t="shared" ref="U320:U331" si="178">(VLOOKUP($D320,$C$6:$AJ$991,19,)/VLOOKUP($D320,$C$6:$AJ$991,4,))*$F320</f>
        <v>0</v>
      </c>
      <c r="V320" s="25">
        <f t="shared" ref="V320:V331" si="179">(VLOOKUP($D320,$C$6:$AJ$991,20,)/VLOOKUP($D320,$C$6:$AJ$991,4,))*$F320</f>
        <v>0</v>
      </c>
      <c r="W320" s="25">
        <f t="shared" ref="W320:W331" si="180">SUM(G320:V320)</f>
        <v>669590</v>
      </c>
      <c r="X320" s="120" t="str">
        <f t="shared" ref="X320:X331" si="181">IF(ABS(W320-F320)&lt;1,"ok","err")</f>
        <v>ok</v>
      </c>
    </row>
    <row r="321" spans="1:24" x14ac:dyDescent="0.2">
      <c r="A321" s="26">
        <v>815</v>
      </c>
      <c r="B321" s="23" t="s">
        <v>401</v>
      </c>
      <c r="C321" s="114" t="s">
        <v>95</v>
      </c>
      <c r="D321" s="114" t="s">
        <v>25</v>
      </c>
      <c r="F321" s="25">
        <v>0</v>
      </c>
      <c r="G321" s="25">
        <f t="shared" si="164"/>
        <v>0</v>
      </c>
      <c r="H321" s="25">
        <f t="shared" si="165"/>
        <v>0</v>
      </c>
      <c r="I321" s="25">
        <f t="shared" si="166"/>
        <v>0</v>
      </c>
      <c r="J321" s="25">
        <f t="shared" si="167"/>
        <v>0</v>
      </c>
      <c r="K321" s="25">
        <f t="shared" si="168"/>
        <v>0</v>
      </c>
      <c r="L321" s="25">
        <f t="shared" si="169"/>
        <v>0</v>
      </c>
      <c r="M321" s="25">
        <f t="shared" si="170"/>
        <v>0</v>
      </c>
      <c r="N321" s="25">
        <f t="shared" si="171"/>
        <v>0</v>
      </c>
      <c r="O321" s="25">
        <f t="shared" si="172"/>
        <v>0</v>
      </c>
      <c r="P321" s="25">
        <f t="shared" si="173"/>
        <v>0</v>
      </c>
      <c r="Q321" s="25">
        <f t="shared" si="174"/>
        <v>0</v>
      </c>
      <c r="R321" s="25">
        <f t="shared" si="175"/>
        <v>0</v>
      </c>
      <c r="S321" s="25">
        <f t="shared" si="176"/>
        <v>0</v>
      </c>
      <c r="T321" s="25">
        <f t="shared" si="177"/>
        <v>0</v>
      </c>
      <c r="U321" s="25">
        <f t="shared" si="178"/>
        <v>0</v>
      </c>
      <c r="V321" s="25">
        <f t="shared" si="179"/>
        <v>0</v>
      </c>
      <c r="W321" s="25">
        <f t="shared" si="180"/>
        <v>0</v>
      </c>
      <c r="X321" s="120" t="str">
        <f t="shared" si="181"/>
        <v>ok</v>
      </c>
    </row>
    <row r="322" spans="1:24" x14ac:dyDescent="0.2">
      <c r="A322" s="26">
        <v>816</v>
      </c>
      <c r="B322" s="23" t="s">
        <v>402</v>
      </c>
      <c r="C322" s="114" t="s">
        <v>96</v>
      </c>
      <c r="D322" s="114" t="s">
        <v>25</v>
      </c>
      <c r="F322" s="25">
        <f>38.5699999999999*1000</f>
        <v>38569.999999999898</v>
      </c>
      <c r="G322" s="25">
        <f t="shared" si="164"/>
        <v>0</v>
      </c>
      <c r="H322" s="25">
        <f t="shared" si="165"/>
        <v>0</v>
      </c>
      <c r="I322" s="25">
        <f t="shared" si="166"/>
        <v>38569.999999999898</v>
      </c>
      <c r="J322" s="25">
        <f t="shared" si="167"/>
        <v>0</v>
      </c>
      <c r="K322" s="25">
        <f t="shared" si="168"/>
        <v>0</v>
      </c>
      <c r="L322" s="25">
        <f t="shared" si="169"/>
        <v>0</v>
      </c>
      <c r="M322" s="25">
        <f t="shared" si="170"/>
        <v>0</v>
      </c>
      <c r="N322" s="25">
        <f t="shared" si="171"/>
        <v>0</v>
      </c>
      <c r="O322" s="25">
        <f t="shared" si="172"/>
        <v>0</v>
      </c>
      <c r="P322" s="25">
        <f t="shared" si="173"/>
        <v>0</v>
      </c>
      <c r="Q322" s="25">
        <f t="shared" si="174"/>
        <v>0</v>
      </c>
      <c r="R322" s="25">
        <f t="shared" si="175"/>
        <v>0</v>
      </c>
      <c r="S322" s="25">
        <f t="shared" si="176"/>
        <v>0</v>
      </c>
      <c r="T322" s="25">
        <f t="shared" si="177"/>
        <v>0</v>
      </c>
      <c r="U322" s="25">
        <f t="shared" si="178"/>
        <v>0</v>
      </c>
      <c r="V322" s="25">
        <f t="shared" si="179"/>
        <v>0</v>
      </c>
      <c r="W322" s="25">
        <f t="shared" si="180"/>
        <v>38569.999999999898</v>
      </c>
      <c r="X322" s="120" t="str">
        <f t="shared" si="181"/>
        <v>ok</v>
      </c>
    </row>
    <row r="323" spans="1:24" x14ac:dyDescent="0.2">
      <c r="A323" s="26">
        <v>817</v>
      </c>
      <c r="B323" s="23" t="s">
        <v>97</v>
      </c>
      <c r="C323" s="114" t="s">
        <v>98</v>
      </c>
      <c r="D323" s="114" t="s">
        <v>25</v>
      </c>
      <c r="F323" s="25">
        <f>908.36*1000</f>
        <v>908360</v>
      </c>
      <c r="G323" s="25">
        <f t="shared" si="164"/>
        <v>0</v>
      </c>
      <c r="H323" s="25">
        <f t="shared" si="165"/>
        <v>0</v>
      </c>
      <c r="I323" s="25">
        <f t="shared" si="166"/>
        <v>908360</v>
      </c>
      <c r="J323" s="25">
        <f t="shared" si="167"/>
        <v>0</v>
      </c>
      <c r="K323" s="25">
        <f t="shared" si="168"/>
        <v>0</v>
      </c>
      <c r="L323" s="25">
        <f t="shared" si="169"/>
        <v>0</v>
      </c>
      <c r="M323" s="25">
        <f t="shared" si="170"/>
        <v>0</v>
      </c>
      <c r="N323" s="25">
        <f t="shared" si="171"/>
        <v>0</v>
      </c>
      <c r="O323" s="25">
        <f t="shared" si="172"/>
        <v>0</v>
      </c>
      <c r="P323" s="25">
        <f t="shared" si="173"/>
        <v>0</v>
      </c>
      <c r="Q323" s="25">
        <f t="shared" si="174"/>
        <v>0</v>
      </c>
      <c r="R323" s="25">
        <f t="shared" si="175"/>
        <v>0</v>
      </c>
      <c r="S323" s="25">
        <f t="shared" si="176"/>
        <v>0</v>
      </c>
      <c r="T323" s="25">
        <f t="shared" si="177"/>
        <v>0</v>
      </c>
      <c r="U323" s="25">
        <f t="shared" si="178"/>
        <v>0</v>
      </c>
      <c r="V323" s="25">
        <f t="shared" si="179"/>
        <v>0</v>
      </c>
      <c r="W323" s="25">
        <f t="shared" si="180"/>
        <v>908360</v>
      </c>
      <c r="X323" s="120" t="str">
        <f t="shared" si="181"/>
        <v>ok</v>
      </c>
    </row>
    <row r="324" spans="1:24" x14ac:dyDescent="0.2">
      <c r="A324" s="26">
        <v>818</v>
      </c>
      <c r="B324" s="23" t="s">
        <v>661</v>
      </c>
      <c r="C324" s="114" t="s">
        <v>99</v>
      </c>
      <c r="D324" s="114" t="s">
        <v>124</v>
      </c>
      <c r="F324" s="25">
        <f>3082.282*1000</f>
        <v>3082282</v>
      </c>
      <c r="G324" s="25">
        <f t="shared" si="164"/>
        <v>0</v>
      </c>
      <c r="H324" s="25">
        <f t="shared" si="165"/>
        <v>0</v>
      </c>
      <c r="I324" s="25">
        <f t="shared" si="166"/>
        <v>0</v>
      </c>
      <c r="J324" s="25">
        <f t="shared" si="167"/>
        <v>3082282</v>
      </c>
      <c r="K324" s="25">
        <f t="shared" si="168"/>
        <v>0</v>
      </c>
      <c r="L324" s="25">
        <f t="shared" si="169"/>
        <v>0</v>
      </c>
      <c r="M324" s="25">
        <f t="shared" si="170"/>
        <v>0</v>
      </c>
      <c r="N324" s="25">
        <f t="shared" si="171"/>
        <v>0</v>
      </c>
      <c r="O324" s="25">
        <f t="shared" si="172"/>
        <v>0</v>
      </c>
      <c r="P324" s="25">
        <f t="shared" si="173"/>
        <v>0</v>
      </c>
      <c r="Q324" s="25">
        <f t="shared" si="174"/>
        <v>0</v>
      </c>
      <c r="R324" s="25">
        <f t="shared" si="175"/>
        <v>0</v>
      </c>
      <c r="S324" s="25">
        <f t="shared" si="176"/>
        <v>0</v>
      </c>
      <c r="T324" s="25">
        <f t="shared" si="177"/>
        <v>0</v>
      </c>
      <c r="U324" s="25">
        <f t="shared" si="178"/>
        <v>0</v>
      </c>
      <c r="V324" s="25">
        <f t="shared" si="179"/>
        <v>0</v>
      </c>
      <c r="W324" s="25">
        <f t="shared" si="180"/>
        <v>3082282</v>
      </c>
      <c r="X324" s="120" t="str">
        <f t="shared" si="181"/>
        <v>ok</v>
      </c>
    </row>
    <row r="325" spans="1:24" x14ac:dyDescent="0.2">
      <c r="A325" s="26">
        <v>819</v>
      </c>
      <c r="B325" s="23" t="s">
        <v>403</v>
      </c>
      <c r="C325" s="114" t="s">
        <v>101</v>
      </c>
      <c r="D325" s="114" t="s">
        <v>124</v>
      </c>
      <c r="F325" s="25">
        <f>631*1000</f>
        <v>631000</v>
      </c>
      <c r="G325" s="25">
        <f t="shared" si="164"/>
        <v>0</v>
      </c>
      <c r="H325" s="25">
        <f t="shared" si="165"/>
        <v>0</v>
      </c>
      <c r="I325" s="25">
        <f t="shared" si="166"/>
        <v>0</v>
      </c>
      <c r="J325" s="25">
        <f t="shared" si="167"/>
        <v>631000</v>
      </c>
      <c r="K325" s="25">
        <f t="shared" si="168"/>
        <v>0</v>
      </c>
      <c r="L325" s="25">
        <f t="shared" si="169"/>
        <v>0</v>
      </c>
      <c r="M325" s="25">
        <f t="shared" si="170"/>
        <v>0</v>
      </c>
      <c r="N325" s="25">
        <f t="shared" si="171"/>
        <v>0</v>
      </c>
      <c r="O325" s="25">
        <f t="shared" si="172"/>
        <v>0</v>
      </c>
      <c r="P325" s="25">
        <f t="shared" si="173"/>
        <v>0</v>
      </c>
      <c r="Q325" s="25">
        <f t="shared" si="174"/>
        <v>0</v>
      </c>
      <c r="R325" s="25">
        <f t="shared" si="175"/>
        <v>0</v>
      </c>
      <c r="S325" s="25">
        <f t="shared" si="176"/>
        <v>0</v>
      </c>
      <c r="T325" s="25">
        <f t="shared" si="177"/>
        <v>0</v>
      </c>
      <c r="U325" s="25">
        <f t="shared" si="178"/>
        <v>0</v>
      </c>
      <c r="V325" s="25">
        <f t="shared" si="179"/>
        <v>0</v>
      </c>
      <c r="W325" s="25">
        <f t="shared" si="180"/>
        <v>631000</v>
      </c>
      <c r="X325" s="120" t="str">
        <f t="shared" si="181"/>
        <v>ok</v>
      </c>
    </row>
    <row r="326" spans="1:24" x14ac:dyDescent="0.2">
      <c r="A326" s="26">
        <v>820</v>
      </c>
      <c r="B326" s="23" t="s">
        <v>404</v>
      </c>
      <c r="C326" s="114" t="s">
        <v>102</v>
      </c>
      <c r="D326" s="114" t="s">
        <v>25</v>
      </c>
      <c r="F326" s="126">
        <v>0</v>
      </c>
      <c r="G326" s="25">
        <f t="shared" si="164"/>
        <v>0</v>
      </c>
      <c r="H326" s="25">
        <f t="shared" si="165"/>
        <v>0</v>
      </c>
      <c r="I326" s="25">
        <f t="shared" si="166"/>
        <v>0</v>
      </c>
      <c r="J326" s="25">
        <f t="shared" si="167"/>
        <v>0</v>
      </c>
      <c r="K326" s="25">
        <f t="shared" si="168"/>
        <v>0</v>
      </c>
      <c r="L326" s="25">
        <f t="shared" si="169"/>
        <v>0</v>
      </c>
      <c r="M326" s="25">
        <f t="shared" si="170"/>
        <v>0</v>
      </c>
      <c r="N326" s="25">
        <f t="shared" si="171"/>
        <v>0</v>
      </c>
      <c r="O326" s="25">
        <f t="shared" si="172"/>
        <v>0</v>
      </c>
      <c r="P326" s="25">
        <f t="shared" si="173"/>
        <v>0</v>
      </c>
      <c r="Q326" s="25">
        <f t="shared" si="174"/>
        <v>0</v>
      </c>
      <c r="R326" s="25">
        <f t="shared" si="175"/>
        <v>0</v>
      </c>
      <c r="S326" s="25">
        <f t="shared" si="176"/>
        <v>0</v>
      </c>
      <c r="T326" s="25">
        <f t="shared" si="177"/>
        <v>0</v>
      </c>
      <c r="U326" s="25">
        <f t="shared" si="178"/>
        <v>0</v>
      </c>
      <c r="V326" s="25">
        <f t="shared" si="179"/>
        <v>0</v>
      </c>
      <c r="W326" s="25">
        <f t="shared" si="180"/>
        <v>0</v>
      </c>
      <c r="X326" s="120" t="str">
        <f t="shared" si="181"/>
        <v>ok</v>
      </c>
    </row>
    <row r="327" spans="1:24" x14ac:dyDescent="0.2">
      <c r="A327" s="26">
        <v>821</v>
      </c>
      <c r="B327" s="23" t="s">
        <v>721</v>
      </c>
      <c r="C327" s="114" t="s">
        <v>103</v>
      </c>
      <c r="D327" s="114" t="s">
        <v>124</v>
      </c>
      <c r="F327" s="25">
        <f>1439.653*1000</f>
        <v>1439653</v>
      </c>
      <c r="G327" s="25">
        <f t="shared" si="164"/>
        <v>0</v>
      </c>
      <c r="H327" s="25">
        <f t="shared" si="165"/>
        <v>0</v>
      </c>
      <c r="I327" s="25">
        <f t="shared" si="166"/>
        <v>0</v>
      </c>
      <c r="J327" s="25">
        <f t="shared" si="167"/>
        <v>1439653</v>
      </c>
      <c r="K327" s="25">
        <f t="shared" si="168"/>
        <v>0</v>
      </c>
      <c r="L327" s="25">
        <f t="shared" si="169"/>
        <v>0</v>
      </c>
      <c r="M327" s="25">
        <f t="shared" si="170"/>
        <v>0</v>
      </c>
      <c r="N327" s="25">
        <f t="shared" si="171"/>
        <v>0</v>
      </c>
      <c r="O327" s="25">
        <f t="shared" si="172"/>
        <v>0</v>
      </c>
      <c r="P327" s="25">
        <f t="shared" si="173"/>
        <v>0</v>
      </c>
      <c r="Q327" s="25">
        <f t="shared" si="174"/>
        <v>0</v>
      </c>
      <c r="R327" s="25">
        <f t="shared" si="175"/>
        <v>0</v>
      </c>
      <c r="S327" s="25">
        <f t="shared" si="176"/>
        <v>0</v>
      </c>
      <c r="T327" s="25">
        <f t="shared" si="177"/>
        <v>0</v>
      </c>
      <c r="U327" s="25">
        <f t="shared" si="178"/>
        <v>0</v>
      </c>
      <c r="V327" s="25">
        <f t="shared" si="179"/>
        <v>0</v>
      </c>
      <c r="W327" s="25">
        <f t="shared" si="180"/>
        <v>1439653</v>
      </c>
      <c r="X327" s="120" t="str">
        <f t="shared" si="181"/>
        <v>ok</v>
      </c>
    </row>
    <row r="328" spans="1:24" x14ac:dyDescent="0.2">
      <c r="A328" s="26">
        <v>823</v>
      </c>
      <c r="B328" s="23" t="s">
        <v>722</v>
      </c>
      <c r="C328" s="114" t="s">
        <v>104</v>
      </c>
      <c r="D328" s="114" t="s">
        <v>124</v>
      </c>
      <c r="F328" s="25">
        <v>0</v>
      </c>
      <c r="G328" s="25">
        <f t="shared" si="164"/>
        <v>0</v>
      </c>
      <c r="H328" s="25">
        <f t="shared" si="165"/>
        <v>0</v>
      </c>
      <c r="I328" s="25">
        <f t="shared" si="166"/>
        <v>0</v>
      </c>
      <c r="J328" s="25">
        <f t="shared" si="167"/>
        <v>0</v>
      </c>
      <c r="K328" s="25">
        <f t="shared" si="168"/>
        <v>0</v>
      </c>
      <c r="L328" s="25">
        <f t="shared" si="169"/>
        <v>0</v>
      </c>
      <c r="M328" s="25">
        <f t="shared" si="170"/>
        <v>0</v>
      </c>
      <c r="N328" s="25">
        <f t="shared" si="171"/>
        <v>0</v>
      </c>
      <c r="O328" s="25">
        <f t="shared" si="172"/>
        <v>0</v>
      </c>
      <c r="P328" s="25">
        <f t="shared" si="173"/>
        <v>0</v>
      </c>
      <c r="Q328" s="25">
        <f t="shared" si="174"/>
        <v>0</v>
      </c>
      <c r="R328" s="25">
        <f t="shared" si="175"/>
        <v>0</v>
      </c>
      <c r="S328" s="25">
        <f t="shared" si="176"/>
        <v>0</v>
      </c>
      <c r="T328" s="25">
        <f t="shared" si="177"/>
        <v>0</v>
      </c>
      <c r="U328" s="25">
        <f t="shared" si="178"/>
        <v>0</v>
      </c>
      <c r="V328" s="25">
        <f t="shared" si="179"/>
        <v>0</v>
      </c>
      <c r="W328" s="25">
        <f t="shared" si="180"/>
        <v>0</v>
      </c>
      <c r="X328" s="120" t="str">
        <f t="shared" si="181"/>
        <v>ok</v>
      </c>
    </row>
    <row r="329" spans="1:24" x14ac:dyDescent="0.2">
      <c r="A329" s="26">
        <v>824</v>
      </c>
      <c r="B329" s="23" t="s">
        <v>105</v>
      </c>
      <c r="C329" s="114" t="s">
        <v>106</v>
      </c>
      <c r="D329" s="114" t="s">
        <v>124</v>
      </c>
      <c r="F329" s="126">
        <v>0</v>
      </c>
      <c r="G329" s="25">
        <f t="shared" si="164"/>
        <v>0</v>
      </c>
      <c r="H329" s="25">
        <f t="shared" si="165"/>
        <v>0</v>
      </c>
      <c r="I329" s="25">
        <f t="shared" si="166"/>
        <v>0</v>
      </c>
      <c r="J329" s="25">
        <f t="shared" si="167"/>
        <v>0</v>
      </c>
      <c r="K329" s="25">
        <f t="shared" si="168"/>
        <v>0</v>
      </c>
      <c r="L329" s="25">
        <f t="shared" si="169"/>
        <v>0</v>
      </c>
      <c r="M329" s="25">
        <f t="shared" si="170"/>
        <v>0</v>
      </c>
      <c r="N329" s="25">
        <f t="shared" si="171"/>
        <v>0</v>
      </c>
      <c r="O329" s="25">
        <f t="shared" si="172"/>
        <v>0</v>
      </c>
      <c r="P329" s="25">
        <f t="shared" si="173"/>
        <v>0</v>
      </c>
      <c r="Q329" s="25">
        <f t="shared" si="174"/>
        <v>0</v>
      </c>
      <c r="R329" s="25">
        <f t="shared" si="175"/>
        <v>0</v>
      </c>
      <c r="S329" s="25">
        <f t="shared" si="176"/>
        <v>0</v>
      </c>
      <c r="T329" s="25">
        <f t="shared" si="177"/>
        <v>0</v>
      </c>
      <c r="U329" s="25">
        <f t="shared" si="178"/>
        <v>0</v>
      </c>
      <c r="V329" s="25">
        <f t="shared" si="179"/>
        <v>0</v>
      </c>
      <c r="W329" s="25">
        <f t="shared" si="180"/>
        <v>0</v>
      </c>
      <c r="X329" s="120" t="str">
        <f t="shared" si="181"/>
        <v>ok</v>
      </c>
    </row>
    <row r="330" spans="1:24" x14ac:dyDescent="0.2">
      <c r="A330" s="26">
        <v>825</v>
      </c>
      <c r="B330" s="23" t="s">
        <v>406</v>
      </c>
      <c r="C330" s="114" t="s">
        <v>107</v>
      </c>
      <c r="D330" s="114" t="s">
        <v>25</v>
      </c>
      <c r="F330" s="25">
        <f>136.734999999999*1000</f>
        <v>136734.99999999898</v>
      </c>
      <c r="G330" s="25">
        <f t="shared" si="164"/>
        <v>0</v>
      </c>
      <c r="H330" s="25">
        <f t="shared" si="165"/>
        <v>0</v>
      </c>
      <c r="I330" s="25">
        <f t="shared" si="166"/>
        <v>136734.99999999898</v>
      </c>
      <c r="J330" s="25">
        <f t="shared" si="167"/>
        <v>0</v>
      </c>
      <c r="K330" s="25">
        <f t="shared" si="168"/>
        <v>0</v>
      </c>
      <c r="L330" s="25">
        <f t="shared" si="169"/>
        <v>0</v>
      </c>
      <c r="M330" s="25">
        <f t="shared" si="170"/>
        <v>0</v>
      </c>
      <c r="N330" s="25">
        <f t="shared" si="171"/>
        <v>0</v>
      </c>
      <c r="O330" s="25">
        <f t="shared" si="172"/>
        <v>0</v>
      </c>
      <c r="P330" s="25">
        <f t="shared" si="173"/>
        <v>0</v>
      </c>
      <c r="Q330" s="25">
        <f t="shared" si="174"/>
        <v>0</v>
      </c>
      <c r="R330" s="25">
        <f t="shared" si="175"/>
        <v>0</v>
      </c>
      <c r="S330" s="25">
        <f t="shared" si="176"/>
        <v>0</v>
      </c>
      <c r="T330" s="25">
        <f t="shared" si="177"/>
        <v>0</v>
      </c>
      <c r="U330" s="25">
        <f t="shared" si="178"/>
        <v>0</v>
      </c>
      <c r="V330" s="25">
        <f t="shared" si="179"/>
        <v>0</v>
      </c>
      <c r="W330" s="25">
        <f t="shared" si="180"/>
        <v>136734.99999999898</v>
      </c>
      <c r="X330" s="120" t="str">
        <f t="shared" si="181"/>
        <v>ok</v>
      </c>
    </row>
    <row r="331" spans="1:24" x14ac:dyDescent="0.2">
      <c r="A331" s="26">
        <v>826</v>
      </c>
      <c r="B331" s="23" t="s">
        <v>108</v>
      </c>
      <c r="C331" s="114" t="s">
        <v>109</v>
      </c>
      <c r="D331" s="114" t="s">
        <v>25</v>
      </c>
      <c r="F331" s="126">
        <v>0</v>
      </c>
      <c r="G331" s="25">
        <f t="shared" si="164"/>
        <v>0</v>
      </c>
      <c r="H331" s="25">
        <f t="shared" si="165"/>
        <v>0</v>
      </c>
      <c r="I331" s="25">
        <f t="shared" si="166"/>
        <v>0</v>
      </c>
      <c r="J331" s="25">
        <f t="shared" si="167"/>
        <v>0</v>
      </c>
      <c r="K331" s="25">
        <f t="shared" si="168"/>
        <v>0</v>
      </c>
      <c r="L331" s="25">
        <f t="shared" si="169"/>
        <v>0</v>
      </c>
      <c r="M331" s="25">
        <f t="shared" si="170"/>
        <v>0</v>
      </c>
      <c r="N331" s="25">
        <f t="shared" si="171"/>
        <v>0</v>
      </c>
      <c r="O331" s="25">
        <f t="shared" si="172"/>
        <v>0</v>
      </c>
      <c r="P331" s="25">
        <f t="shared" si="173"/>
        <v>0</v>
      </c>
      <c r="Q331" s="25">
        <f t="shared" si="174"/>
        <v>0</v>
      </c>
      <c r="R331" s="25">
        <f t="shared" si="175"/>
        <v>0</v>
      </c>
      <c r="S331" s="25">
        <f t="shared" si="176"/>
        <v>0</v>
      </c>
      <c r="T331" s="25">
        <f t="shared" si="177"/>
        <v>0</v>
      </c>
      <c r="U331" s="25">
        <f t="shared" si="178"/>
        <v>0</v>
      </c>
      <c r="V331" s="25">
        <f t="shared" si="179"/>
        <v>0</v>
      </c>
      <c r="W331" s="25">
        <f t="shared" si="180"/>
        <v>0</v>
      </c>
      <c r="X331" s="120" t="str">
        <f t="shared" si="181"/>
        <v>ok</v>
      </c>
    </row>
    <row r="332" spans="1:24" x14ac:dyDescent="0.2">
      <c r="A332" s="26"/>
      <c r="F332" s="25"/>
    </row>
    <row r="333" spans="1:24" x14ac:dyDescent="0.2">
      <c r="A333" s="26" t="s">
        <v>465</v>
      </c>
      <c r="C333" s="114" t="s">
        <v>559</v>
      </c>
      <c r="F333" s="30">
        <f>SUM(F320:F332)</f>
        <v>6906189.9999999991</v>
      </c>
      <c r="G333" s="30">
        <f t="shared" ref="G333:V333" si="182">SUM(G320:G332)</f>
        <v>0</v>
      </c>
      <c r="H333" s="30">
        <f t="shared" si="182"/>
        <v>0</v>
      </c>
      <c r="I333" s="30">
        <f t="shared" si="182"/>
        <v>1239205.7415916552</v>
      </c>
      <c r="J333" s="30">
        <f t="shared" si="182"/>
        <v>5666984.2584083434</v>
      </c>
      <c r="K333" s="30">
        <f t="shared" si="182"/>
        <v>0</v>
      </c>
      <c r="L333" s="30">
        <f t="shared" si="182"/>
        <v>0</v>
      </c>
      <c r="M333" s="30">
        <f t="shared" si="182"/>
        <v>0</v>
      </c>
      <c r="N333" s="30">
        <f t="shared" si="182"/>
        <v>0</v>
      </c>
      <c r="O333" s="30">
        <f t="shared" si="182"/>
        <v>0</v>
      </c>
      <c r="P333" s="30">
        <f t="shared" si="182"/>
        <v>0</v>
      </c>
      <c r="Q333" s="30">
        <f>SUM(Q320:Q332)</f>
        <v>0</v>
      </c>
      <c r="R333" s="30">
        <f>SUM(R320:R332)</f>
        <v>0</v>
      </c>
      <c r="S333" s="30">
        <f t="shared" si="182"/>
        <v>0</v>
      </c>
      <c r="T333" s="30">
        <f t="shared" si="182"/>
        <v>0</v>
      </c>
      <c r="U333" s="30">
        <f t="shared" si="182"/>
        <v>0</v>
      </c>
      <c r="V333" s="30">
        <f t="shared" si="182"/>
        <v>0</v>
      </c>
      <c r="W333" s="25">
        <f>SUM(G333:V333)</f>
        <v>6906189.9999999981</v>
      </c>
      <c r="X333" s="120" t="str">
        <f>IF(ABS(W333-F333)&lt;1,"ok","err")</f>
        <v>ok</v>
      </c>
    </row>
    <row r="334" spans="1:24" x14ac:dyDescent="0.2">
      <c r="A334" s="26"/>
      <c r="F334" s="25"/>
    </row>
    <row r="335" spans="1:24" x14ac:dyDescent="0.2">
      <c r="A335" s="117"/>
      <c r="F335" s="31"/>
      <c r="G335" s="125"/>
    </row>
    <row r="336" spans="1:24" x14ac:dyDescent="0.2">
      <c r="A336" s="26"/>
      <c r="F336" s="31"/>
      <c r="G336" s="125"/>
    </row>
    <row r="337" spans="1:24" x14ac:dyDescent="0.2">
      <c r="A337" s="117" t="s">
        <v>458</v>
      </c>
      <c r="F337" s="31"/>
      <c r="G337" s="125"/>
    </row>
    <row r="338" spans="1:24" x14ac:dyDescent="0.2">
      <c r="A338" s="117" t="s">
        <v>459</v>
      </c>
      <c r="F338" s="31"/>
      <c r="G338" s="125"/>
    </row>
    <row r="339" spans="1:24" x14ac:dyDescent="0.2">
      <c r="A339" s="26">
        <v>830</v>
      </c>
      <c r="B339" s="23" t="s">
        <v>407</v>
      </c>
      <c r="C339" s="114" t="s">
        <v>110</v>
      </c>
      <c r="D339" s="114" t="s">
        <v>634</v>
      </c>
      <c r="F339" s="30">
        <f>481.346*1000</f>
        <v>481346</v>
      </c>
      <c r="G339" s="25">
        <f t="shared" ref="G339:G346" si="183">(VLOOKUP($D339,$C$6:$AJ$991,5,)/VLOOKUP($D339,$C$6:$AJ$991,4,))*$F339</f>
        <v>0</v>
      </c>
      <c r="H339" s="25">
        <f t="shared" ref="H339:H346" si="184">(VLOOKUP($D339,$C$6:$AJ$991,6,)/VLOOKUP($D339,$C$6:$AJ$991,4,))*$F339</f>
        <v>0</v>
      </c>
      <c r="I339" s="25">
        <f t="shared" ref="I339:I346" si="185">(VLOOKUP($D339,$C$6:$AJ$991,7,)/VLOOKUP($D339,$C$6:$AJ$991,4,))*$F339</f>
        <v>206732.28991488682</v>
      </c>
      <c r="J339" s="25">
        <f t="shared" ref="J339:J346" si="186">(VLOOKUP($D339,$C$6:$AJ$991,8,)/VLOOKUP($D339,$C$6:$AJ$991,4,))*$F339</f>
        <v>274613.71008511318</v>
      </c>
      <c r="K339" s="25">
        <f t="shared" ref="K339:K346" si="187">(VLOOKUP($D339,$C$6:$AJ$991,9,)/VLOOKUP($D339,$C$6:$AJ$991,4,))*$F339</f>
        <v>0</v>
      </c>
      <c r="L339" s="25">
        <f t="shared" ref="L339:L346" si="188">(VLOOKUP($D339,$C$6:$AJ$991,10,)/VLOOKUP($D339,$C$6:$AJ$991,4,))*$F339</f>
        <v>0</v>
      </c>
      <c r="M339" s="25">
        <f t="shared" ref="M339:M346" si="189">(VLOOKUP($D339,$C$6:$AJ$991,11,)/VLOOKUP($D339,$C$6:$AJ$991,4,))*$F339</f>
        <v>0</v>
      </c>
      <c r="N339" s="25">
        <f t="shared" ref="N339:N346" si="190">(VLOOKUP($D339,$C$6:$AJ$991,12,)/VLOOKUP($D339,$C$6:$AJ$991,4,))*$F339</f>
        <v>0</v>
      </c>
      <c r="O339" s="25">
        <f t="shared" ref="O339:O346" si="191">(VLOOKUP($D339,$C$6:$AJ$991,13,)/VLOOKUP($D339,$C$6:$AJ$991,4,))*$F339</f>
        <v>0</v>
      </c>
      <c r="P339" s="25">
        <f t="shared" ref="P339:P346" si="192">(VLOOKUP($D339,$C$6:$AJ$991,14,)/VLOOKUP($D339,$C$6:$AJ$991,4,))*$F339</f>
        <v>0</v>
      </c>
      <c r="Q339" s="25">
        <f t="shared" ref="Q339:Q346" si="193">(VLOOKUP($D339,$C$6:$AJ$991,15,)/VLOOKUP($D339,$C$6:$AJ$991,4,))*$F339</f>
        <v>0</v>
      </c>
      <c r="R339" s="25">
        <f t="shared" ref="R339:R346" si="194">(VLOOKUP($D339,$C$6:$AJ$991,16,)/VLOOKUP($D339,$C$6:$AJ$991,4,))*$F339</f>
        <v>0</v>
      </c>
      <c r="S339" s="25">
        <f t="shared" ref="S339:S346" si="195">(VLOOKUP($D339,$C$6:$AJ$991,17,)/VLOOKUP($D339,$C$6:$AJ$991,4,))*$F339</f>
        <v>0</v>
      </c>
      <c r="T339" s="25">
        <f t="shared" ref="T339:T346" si="196">(VLOOKUP($D339,$C$6:$AJ$991,18,)/VLOOKUP($D339,$C$6:$AJ$991,4,))*$F339</f>
        <v>0</v>
      </c>
      <c r="U339" s="25">
        <f t="shared" ref="U339:U346" si="197">(VLOOKUP($D339,$C$6:$AJ$991,19,)/VLOOKUP($D339,$C$6:$AJ$991,4,))*$F339</f>
        <v>0</v>
      </c>
      <c r="V339" s="25">
        <f t="shared" ref="V339:V346" si="198">(VLOOKUP($D339,$C$6:$AJ$991,20,)/VLOOKUP($D339,$C$6:$AJ$991,4,))*$F339</f>
        <v>0</v>
      </c>
      <c r="W339" s="25">
        <f>SUM(G339:V339)</f>
        <v>481346</v>
      </c>
      <c r="X339" s="120" t="str">
        <f>IF(ABS(W339-F339)&lt;1,"ok","err")</f>
        <v>ok</v>
      </c>
    </row>
    <row r="340" spans="1:24" x14ac:dyDescent="0.2">
      <c r="A340" s="26">
        <v>831</v>
      </c>
      <c r="B340" s="23" t="s">
        <v>111</v>
      </c>
      <c r="C340" s="114" t="s">
        <v>112</v>
      </c>
      <c r="D340" s="114" t="s">
        <v>25</v>
      </c>
      <c r="F340" s="126">
        <v>0</v>
      </c>
      <c r="G340" s="25">
        <f t="shared" si="183"/>
        <v>0</v>
      </c>
      <c r="H340" s="25">
        <f t="shared" si="184"/>
        <v>0</v>
      </c>
      <c r="I340" s="25">
        <f t="shared" si="185"/>
        <v>0</v>
      </c>
      <c r="J340" s="25">
        <f t="shared" si="186"/>
        <v>0</v>
      </c>
      <c r="K340" s="25">
        <f t="shared" si="187"/>
        <v>0</v>
      </c>
      <c r="L340" s="25">
        <f t="shared" si="188"/>
        <v>0</v>
      </c>
      <c r="M340" s="25">
        <f t="shared" si="189"/>
        <v>0</v>
      </c>
      <c r="N340" s="25">
        <f t="shared" si="190"/>
        <v>0</v>
      </c>
      <c r="O340" s="25">
        <f t="shared" si="191"/>
        <v>0</v>
      </c>
      <c r="P340" s="25">
        <f t="shared" si="192"/>
        <v>0</v>
      </c>
      <c r="Q340" s="25">
        <f t="shared" si="193"/>
        <v>0</v>
      </c>
      <c r="R340" s="25">
        <f t="shared" si="194"/>
        <v>0</v>
      </c>
      <c r="S340" s="25">
        <f t="shared" si="195"/>
        <v>0</v>
      </c>
      <c r="T340" s="25">
        <f t="shared" si="196"/>
        <v>0</v>
      </c>
      <c r="U340" s="25">
        <f t="shared" si="197"/>
        <v>0</v>
      </c>
      <c r="V340" s="25">
        <f t="shared" si="198"/>
        <v>0</v>
      </c>
      <c r="W340" s="25">
        <f t="shared" ref="W340:W346" si="199">SUM(G340:V340)</f>
        <v>0</v>
      </c>
      <c r="X340" s="120" t="str">
        <f t="shared" ref="X340:X346" si="200">IF(ABS(W340-F340)&lt;1,"ok","err")</f>
        <v>ok</v>
      </c>
    </row>
    <row r="341" spans="1:24" x14ac:dyDescent="0.2">
      <c r="A341" s="26">
        <v>832</v>
      </c>
      <c r="B341" s="23" t="s">
        <v>408</v>
      </c>
      <c r="C341" s="114" t="s">
        <v>113</v>
      </c>
      <c r="D341" s="114" t="s">
        <v>25</v>
      </c>
      <c r="F341" s="25">
        <f>655.057*1000</f>
        <v>655057</v>
      </c>
      <c r="G341" s="25">
        <f t="shared" si="183"/>
        <v>0</v>
      </c>
      <c r="H341" s="25">
        <f t="shared" si="184"/>
        <v>0</v>
      </c>
      <c r="I341" s="25">
        <f t="shared" si="185"/>
        <v>655057</v>
      </c>
      <c r="J341" s="25">
        <f t="shared" si="186"/>
        <v>0</v>
      </c>
      <c r="K341" s="25">
        <f t="shared" si="187"/>
        <v>0</v>
      </c>
      <c r="L341" s="25">
        <f t="shared" si="188"/>
        <v>0</v>
      </c>
      <c r="M341" s="25">
        <f t="shared" si="189"/>
        <v>0</v>
      </c>
      <c r="N341" s="25">
        <f t="shared" si="190"/>
        <v>0</v>
      </c>
      <c r="O341" s="25">
        <f t="shared" si="191"/>
        <v>0</v>
      </c>
      <c r="P341" s="25">
        <f t="shared" si="192"/>
        <v>0</v>
      </c>
      <c r="Q341" s="25">
        <f t="shared" si="193"/>
        <v>0</v>
      </c>
      <c r="R341" s="25">
        <f t="shared" si="194"/>
        <v>0</v>
      </c>
      <c r="S341" s="25">
        <f t="shared" si="195"/>
        <v>0</v>
      </c>
      <c r="T341" s="25">
        <f t="shared" si="196"/>
        <v>0</v>
      </c>
      <c r="U341" s="25">
        <f t="shared" si="197"/>
        <v>0</v>
      </c>
      <c r="V341" s="25">
        <f t="shared" si="198"/>
        <v>0</v>
      </c>
      <c r="W341" s="25">
        <f t="shared" si="199"/>
        <v>655057</v>
      </c>
      <c r="X341" s="120" t="str">
        <f t="shared" si="200"/>
        <v>ok</v>
      </c>
    </row>
    <row r="342" spans="1:24" x14ac:dyDescent="0.2">
      <c r="A342" s="26">
        <v>833</v>
      </c>
      <c r="B342" s="23" t="s">
        <v>114</v>
      </c>
      <c r="C342" s="114" t="s">
        <v>115</v>
      </c>
      <c r="D342" s="114" t="s">
        <v>25</v>
      </c>
      <c r="F342" s="25">
        <f>148.661*1000</f>
        <v>148661</v>
      </c>
      <c r="G342" s="25">
        <f t="shared" si="183"/>
        <v>0</v>
      </c>
      <c r="H342" s="25">
        <f t="shared" si="184"/>
        <v>0</v>
      </c>
      <c r="I342" s="25">
        <f t="shared" si="185"/>
        <v>148661</v>
      </c>
      <c r="J342" s="25">
        <f t="shared" si="186"/>
        <v>0</v>
      </c>
      <c r="K342" s="25">
        <f t="shared" si="187"/>
        <v>0</v>
      </c>
      <c r="L342" s="25">
        <f t="shared" si="188"/>
        <v>0</v>
      </c>
      <c r="M342" s="25">
        <f t="shared" si="189"/>
        <v>0</v>
      </c>
      <c r="N342" s="25">
        <f t="shared" si="190"/>
        <v>0</v>
      </c>
      <c r="O342" s="25">
        <f t="shared" si="191"/>
        <v>0</v>
      </c>
      <c r="P342" s="25">
        <f t="shared" si="192"/>
        <v>0</v>
      </c>
      <c r="Q342" s="25">
        <f t="shared" si="193"/>
        <v>0</v>
      </c>
      <c r="R342" s="25">
        <f t="shared" si="194"/>
        <v>0</v>
      </c>
      <c r="S342" s="25">
        <f t="shared" si="195"/>
        <v>0</v>
      </c>
      <c r="T342" s="25">
        <f t="shared" si="196"/>
        <v>0</v>
      </c>
      <c r="U342" s="25">
        <f t="shared" si="197"/>
        <v>0</v>
      </c>
      <c r="V342" s="25">
        <f t="shared" si="198"/>
        <v>0</v>
      </c>
      <c r="W342" s="25">
        <f t="shared" si="199"/>
        <v>148661</v>
      </c>
      <c r="X342" s="120" t="str">
        <f t="shared" si="200"/>
        <v>ok</v>
      </c>
    </row>
    <row r="343" spans="1:24" x14ac:dyDescent="0.2">
      <c r="A343" s="26">
        <v>834</v>
      </c>
      <c r="B343" s="23" t="s">
        <v>409</v>
      </c>
      <c r="C343" s="114" t="s">
        <v>116</v>
      </c>
      <c r="D343" s="114" t="s">
        <v>124</v>
      </c>
      <c r="F343" s="25">
        <f>479.611*1000</f>
        <v>479611</v>
      </c>
      <c r="G343" s="25">
        <f t="shared" si="183"/>
        <v>0</v>
      </c>
      <c r="H343" s="25">
        <f t="shared" si="184"/>
        <v>0</v>
      </c>
      <c r="I343" s="25">
        <f t="shared" si="185"/>
        <v>0</v>
      </c>
      <c r="J343" s="25">
        <f t="shared" si="186"/>
        <v>479611</v>
      </c>
      <c r="K343" s="25">
        <f t="shared" si="187"/>
        <v>0</v>
      </c>
      <c r="L343" s="25">
        <f t="shared" si="188"/>
        <v>0</v>
      </c>
      <c r="M343" s="25">
        <f t="shared" si="189"/>
        <v>0</v>
      </c>
      <c r="N343" s="25">
        <f t="shared" si="190"/>
        <v>0</v>
      </c>
      <c r="O343" s="25">
        <f t="shared" si="191"/>
        <v>0</v>
      </c>
      <c r="P343" s="25">
        <f t="shared" si="192"/>
        <v>0</v>
      </c>
      <c r="Q343" s="25">
        <f t="shared" si="193"/>
        <v>0</v>
      </c>
      <c r="R343" s="25">
        <f t="shared" si="194"/>
        <v>0</v>
      </c>
      <c r="S343" s="25">
        <f t="shared" si="195"/>
        <v>0</v>
      </c>
      <c r="T343" s="25">
        <f t="shared" si="196"/>
        <v>0</v>
      </c>
      <c r="U343" s="25">
        <f t="shared" si="197"/>
        <v>0</v>
      </c>
      <c r="V343" s="25">
        <f t="shared" si="198"/>
        <v>0</v>
      </c>
      <c r="W343" s="25">
        <f t="shared" si="199"/>
        <v>479611</v>
      </c>
      <c r="X343" s="120" t="str">
        <f t="shared" si="200"/>
        <v>ok</v>
      </c>
    </row>
    <row r="344" spans="1:24" x14ac:dyDescent="0.2">
      <c r="A344" s="26">
        <v>835</v>
      </c>
      <c r="B344" s="23" t="s">
        <v>410</v>
      </c>
      <c r="C344" s="114" t="s">
        <v>117</v>
      </c>
      <c r="D344" s="114" t="s">
        <v>25</v>
      </c>
      <c r="F344" s="25">
        <f>27.4*1000</f>
        <v>27400</v>
      </c>
      <c r="G344" s="25">
        <f t="shared" si="183"/>
        <v>0</v>
      </c>
      <c r="H344" s="25">
        <f t="shared" si="184"/>
        <v>0</v>
      </c>
      <c r="I344" s="25">
        <f t="shared" si="185"/>
        <v>27400</v>
      </c>
      <c r="J344" s="25">
        <f t="shared" si="186"/>
        <v>0</v>
      </c>
      <c r="K344" s="25">
        <f t="shared" si="187"/>
        <v>0</v>
      </c>
      <c r="L344" s="25">
        <f t="shared" si="188"/>
        <v>0</v>
      </c>
      <c r="M344" s="25">
        <f t="shared" si="189"/>
        <v>0</v>
      </c>
      <c r="N344" s="25">
        <f t="shared" si="190"/>
        <v>0</v>
      </c>
      <c r="O344" s="25">
        <f t="shared" si="191"/>
        <v>0</v>
      </c>
      <c r="P344" s="25">
        <f t="shared" si="192"/>
        <v>0</v>
      </c>
      <c r="Q344" s="25">
        <f t="shared" si="193"/>
        <v>0</v>
      </c>
      <c r="R344" s="25">
        <f t="shared" si="194"/>
        <v>0</v>
      </c>
      <c r="S344" s="25">
        <f t="shared" si="195"/>
        <v>0</v>
      </c>
      <c r="T344" s="25">
        <f t="shared" si="196"/>
        <v>0</v>
      </c>
      <c r="U344" s="25">
        <f t="shared" si="197"/>
        <v>0</v>
      </c>
      <c r="V344" s="25">
        <f t="shared" si="198"/>
        <v>0</v>
      </c>
      <c r="W344" s="25">
        <f t="shared" si="199"/>
        <v>27400</v>
      </c>
      <c r="X344" s="120" t="str">
        <f t="shared" si="200"/>
        <v>ok</v>
      </c>
    </row>
    <row r="345" spans="1:24" x14ac:dyDescent="0.2">
      <c r="A345" s="26">
        <v>836</v>
      </c>
      <c r="B345" s="23" t="s">
        <v>411</v>
      </c>
      <c r="C345" s="114" t="s">
        <v>118</v>
      </c>
      <c r="D345" s="114" t="s">
        <v>124</v>
      </c>
      <c r="F345" s="25">
        <f>642.528*1000</f>
        <v>642528</v>
      </c>
      <c r="G345" s="25">
        <f t="shared" si="183"/>
        <v>0</v>
      </c>
      <c r="H345" s="25">
        <f t="shared" si="184"/>
        <v>0</v>
      </c>
      <c r="I345" s="25">
        <f t="shared" si="185"/>
        <v>0</v>
      </c>
      <c r="J345" s="25">
        <f t="shared" si="186"/>
        <v>642528</v>
      </c>
      <c r="K345" s="25">
        <f t="shared" si="187"/>
        <v>0</v>
      </c>
      <c r="L345" s="25">
        <f t="shared" si="188"/>
        <v>0</v>
      </c>
      <c r="M345" s="25">
        <f t="shared" si="189"/>
        <v>0</v>
      </c>
      <c r="N345" s="25">
        <f t="shared" si="190"/>
        <v>0</v>
      </c>
      <c r="O345" s="25">
        <f t="shared" si="191"/>
        <v>0</v>
      </c>
      <c r="P345" s="25">
        <f t="shared" si="192"/>
        <v>0</v>
      </c>
      <c r="Q345" s="25">
        <f t="shared" si="193"/>
        <v>0</v>
      </c>
      <c r="R345" s="25">
        <f t="shared" si="194"/>
        <v>0</v>
      </c>
      <c r="S345" s="25">
        <f t="shared" si="195"/>
        <v>0</v>
      </c>
      <c r="T345" s="25">
        <f t="shared" si="196"/>
        <v>0</v>
      </c>
      <c r="U345" s="25">
        <f t="shared" si="197"/>
        <v>0</v>
      </c>
      <c r="V345" s="25">
        <f t="shared" si="198"/>
        <v>0</v>
      </c>
      <c r="W345" s="25">
        <f t="shared" si="199"/>
        <v>642528</v>
      </c>
      <c r="X345" s="120" t="str">
        <f t="shared" si="200"/>
        <v>ok</v>
      </c>
    </row>
    <row r="346" spans="1:24" x14ac:dyDescent="0.2">
      <c r="A346" s="26">
        <v>837</v>
      </c>
      <c r="B346" s="23" t="s">
        <v>412</v>
      </c>
      <c r="C346" s="114" t="s">
        <v>119</v>
      </c>
      <c r="D346" s="114" t="s">
        <v>25</v>
      </c>
      <c r="F346" s="25">
        <f>344.25*1000</f>
        <v>344250</v>
      </c>
      <c r="G346" s="25">
        <f t="shared" si="183"/>
        <v>0</v>
      </c>
      <c r="H346" s="25">
        <f t="shared" si="184"/>
        <v>0</v>
      </c>
      <c r="I346" s="25">
        <f t="shared" si="185"/>
        <v>344250</v>
      </c>
      <c r="J346" s="25">
        <f t="shared" si="186"/>
        <v>0</v>
      </c>
      <c r="K346" s="25">
        <f t="shared" si="187"/>
        <v>0</v>
      </c>
      <c r="L346" s="25">
        <f t="shared" si="188"/>
        <v>0</v>
      </c>
      <c r="M346" s="25">
        <f t="shared" si="189"/>
        <v>0</v>
      </c>
      <c r="N346" s="25">
        <f t="shared" si="190"/>
        <v>0</v>
      </c>
      <c r="O346" s="25">
        <f t="shared" si="191"/>
        <v>0</v>
      </c>
      <c r="P346" s="25">
        <f t="shared" si="192"/>
        <v>0</v>
      </c>
      <c r="Q346" s="25">
        <f t="shared" si="193"/>
        <v>0</v>
      </c>
      <c r="R346" s="25">
        <f t="shared" si="194"/>
        <v>0</v>
      </c>
      <c r="S346" s="25">
        <f t="shared" si="195"/>
        <v>0</v>
      </c>
      <c r="T346" s="25">
        <f t="shared" si="196"/>
        <v>0</v>
      </c>
      <c r="U346" s="25">
        <f t="shared" si="197"/>
        <v>0</v>
      </c>
      <c r="V346" s="25">
        <f t="shared" si="198"/>
        <v>0</v>
      </c>
      <c r="W346" s="25">
        <f t="shared" si="199"/>
        <v>344250</v>
      </c>
      <c r="X346" s="120" t="str">
        <f t="shared" si="200"/>
        <v>ok</v>
      </c>
    </row>
    <row r="347" spans="1:24" x14ac:dyDescent="0.2">
      <c r="A347" s="26"/>
      <c r="F347" s="25"/>
    </row>
    <row r="348" spans="1:24" x14ac:dyDescent="0.2">
      <c r="A348" s="26" t="s">
        <v>189</v>
      </c>
      <c r="C348" s="114" t="s">
        <v>560</v>
      </c>
      <c r="F348" s="30">
        <f>+SUM(F339:F346)</f>
        <v>2778853</v>
      </c>
      <c r="G348" s="30">
        <f t="shared" ref="G348:V348" si="201">SUM(G339:G347)</f>
        <v>0</v>
      </c>
      <c r="H348" s="30">
        <f t="shared" si="201"/>
        <v>0</v>
      </c>
      <c r="I348" s="30">
        <f t="shared" si="201"/>
        <v>1382100.2899148869</v>
      </c>
      <c r="J348" s="30">
        <f t="shared" si="201"/>
        <v>1396752.7100851131</v>
      </c>
      <c r="K348" s="30">
        <f t="shared" si="201"/>
        <v>0</v>
      </c>
      <c r="L348" s="30">
        <f t="shared" si="201"/>
        <v>0</v>
      </c>
      <c r="M348" s="30">
        <f t="shared" si="201"/>
        <v>0</v>
      </c>
      <c r="N348" s="30">
        <f t="shared" si="201"/>
        <v>0</v>
      </c>
      <c r="O348" s="30">
        <f t="shared" si="201"/>
        <v>0</v>
      </c>
      <c r="P348" s="30">
        <f t="shared" si="201"/>
        <v>0</v>
      </c>
      <c r="Q348" s="30">
        <f>SUM(Q339:Q347)</f>
        <v>0</v>
      </c>
      <c r="R348" s="30">
        <f>SUM(R339:R347)</f>
        <v>0</v>
      </c>
      <c r="S348" s="30">
        <f t="shared" si="201"/>
        <v>0</v>
      </c>
      <c r="T348" s="30">
        <f t="shared" si="201"/>
        <v>0</v>
      </c>
      <c r="U348" s="30">
        <f t="shared" si="201"/>
        <v>0</v>
      </c>
      <c r="V348" s="30">
        <f t="shared" si="201"/>
        <v>0</v>
      </c>
      <c r="W348" s="25">
        <f>SUM(G348:V348)</f>
        <v>2778853</v>
      </c>
      <c r="X348" s="120" t="str">
        <f>IF(ABS(W348-F348)&lt;1,"ok","err")</f>
        <v>ok</v>
      </c>
    </row>
    <row r="349" spans="1:24" x14ac:dyDescent="0.2">
      <c r="A349" s="26"/>
      <c r="F349" s="25"/>
    </row>
    <row r="350" spans="1:24" x14ac:dyDescent="0.2">
      <c r="A350" s="26"/>
      <c r="F350" s="25"/>
    </row>
    <row r="351" spans="1:24" x14ac:dyDescent="0.2">
      <c r="A351" s="26" t="s">
        <v>466</v>
      </c>
      <c r="C351" s="114" t="s">
        <v>561</v>
      </c>
      <c r="F351" s="30">
        <f>+F333+F348</f>
        <v>9685043</v>
      </c>
      <c r="G351" s="25">
        <f t="shared" ref="G351:W351" si="202">+G333+G348</f>
        <v>0</v>
      </c>
      <c r="H351" s="25">
        <f t="shared" si="202"/>
        <v>0</v>
      </c>
      <c r="I351" s="25">
        <f t="shared" si="202"/>
        <v>2621306.0315065421</v>
      </c>
      <c r="J351" s="25">
        <f t="shared" si="202"/>
        <v>7063736.968493456</v>
      </c>
      <c r="K351" s="25">
        <f t="shared" si="202"/>
        <v>0</v>
      </c>
      <c r="L351" s="25">
        <f t="shared" si="202"/>
        <v>0</v>
      </c>
      <c r="M351" s="25">
        <f t="shared" si="202"/>
        <v>0</v>
      </c>
      <c r="N351" s="25">
        <f t="shared" si="202"/>
        <v>0</v>
      </c>
      <c r="O351" s="25">
        <f t="shared" si="202"/>
        <v>0</v>
      </c>
      <c r="P351" s="25">
        <f t="shared" si="202"/>
        <v>0</v>
      </c>
      <c r="Q351" s="25">
        <f t="shared" si="202"/>
        <v>0</v>
      </c>
      <c r="R351" s="25">
        <f t="shared" si="202"/>
        <v>0</v>
      </c>
      <c r="S351" s="25">
        <f t="shared" si="202"/>
        <v>0</v>
      </c>
      <c r="T351" s="25">
        <f t="shared" si="202"/>
        <v>0</v>
      </c>
      <c r="U351" s="25">
        <f t="shared" si="202"/>
        <v>0</v>
      </c>
      <c r="V351" s="25">
        <f t="shared" si="202"/>
        <v>0</v>
      </c>
      <c r="W351" s="25">
        <f t="shared" si="202"/>
        <v>9685042.9999999981</v>
      </c>
      <c r="X351" s="120" t="str">
        <f>IF(ABS(W351-F351)&lt;1,"ok","err")</f>
        <v>ok</v>
      </c>
    </row>
    <row r="352" spans="1:24" x14ac:dyDescent="0.2">
      <c r="A352" s="26"/>
      <c r="F352" s="25"/>
    </row>
    <row r="353" spans="1:24" x14ac:dyDescent="0.2">
      <c r="A353" s="26"/>
      <c r="F353" s="25"/>
    </row>
    <row r="354" spans="1:24" x14ac:dyDescent="0.2">
      <c r="A354" s="193"/>
      <c r="F354" s="25"/>
    </row>
    <row r="355" spans="1:24" x14ac:dyDescent="0.2">
      <c r="A355" s="194"/>
      <c r="F355" s="25"/>
    </row>
    <row r="356" spans="1:24" x14ac:dyDescent="0.2">
      <c r="A356" s="26"/>
      <c r="F356" s="25"/>
    </row>
    <row r="357" spans="1:24" x14ac:dyDescent="0.2">
      <c r="A357" s="187" t="s">
        <v>467</v>
      </c>
      <c r="F357" s="25"/>
    </row>
    <row r="358" spans="1:24" x14ac:dyDescent="0.2">
      <c r="A358" s="26"/>
      <c r="F358" s="25"/>
    </row>
    <row r="359" spans="1:24" x14ac:dyDescent="0.2">
      <c r="A359" s="117"/>
      <c r="F359" s="25"/>
    </row>
    <row r="360" spans="1:24" x14ac:dyDescent="0.2">
      <c r="A360" s="117" t="s">
        <v>4</v>
      </c>
      <c r="F360" s="25"/>
    </row>
    <row r="361" spans="1:24" x14ac:dyDescent="0.2">
      <c r="A361" s="26" t="s">
        <v>120</v>
      </c>
      <c r="B361" s="23" t="s">
        <v>432</v>
      </c>
      <c r="C361" s="114" t="s">
        <v>121</v>
      </c>
      <c r="D361" s="114" t="s">
        <v>28</v>
      </c>
      <c r="F361" s="30">
        <f>3862.617*1000</f>
        <v>3862617</v>
      </c>
      <c r="G361" s="25">
        <f>(VLOOKUP($D361,$C$6:$AJ$991,5,)/VLOOKUP($D361,$C$6:$AJ$991,4,))*$F361</f>
        <v>0</v>
      </c>
      <c r="H361" s="25">
        <f>(VLOOKUP($D361,$C$6:$AJ$991,6,)/VLOOKUP($D361,$C$6:$AJ$991,4,))*$F361</f>
        <v>0</v>
      </c>
      <c r="I361" s="25">
        <f>(VLOOKUP($D361,$C$6:$AJ$991,7,)/VLOOKUP($D361,$C$6:$AJ$991,4,))*$F361</f>
        <v>0</v>
      </c>
      <c r="J361" s="25">
        <f>(VLOOKUP($D361,$C$6:$AJ$991,8,)/VLOOKUP($D361,$C$6:$AJ$991,4,))*$F361</f>
        <v>0</v>
      </c>
      <c r="K361" s="25">
        <f>(VLOOKUP($D361,$C$6:$AJ$991,9,)/VLOOKUP($D361,$C$6:$AJ$991,4,))*$F361</f>
        <v>673215.94704917597</v>
      </c>
      <c r="L361" s="25">
        <f>(VLOOKUP($D361,$C$6:$AJ$991,10,)/VLOOKUP($D361,$C$6:$AJ$991,4,))*$F361</f>
        <v>3189401.0529508246</v>
      </c>
      <c r="M361" s="25">
        <f>(VLOOKUP($D361,$C$6:$AJ$991,11,)/VLOOKUP($D361,$C$6:$AJ$991,4,))*$F361</f>
        <v>0</v>
      </c>
      <c r="N361" s="25">
        <f>(VLOOKUP($D361,$C$6:$AJ$991,12,)/VLOOKUP($D361,$C$6:$AJ$991,4,))*$F361</f>
        <v>0</v>
      </c>
      <c r="O361" s="25">
        <f>(VLOOKUP($D361,$C$6:$AJ$991,13,)/VLOOKUP($D361,$C$6:$AJ$991,4,))*$F361</f>
        <v>0</v>
      </c>
      <c r="P361" s="25">
        <f>(VLOOKUP($D361,$C$6:$AJ$991,14,)/VLOOKUP($D361,$C$6:$AJ$991,4,))*$F361</f>
        <v>0</v>
      </c>
      <c r="Q361" s="25">
        <f>(VLOOKUP($D361,$C$6:$AJ$991,15,)/VLOOKUP($D361,$C$6:$AJ$991,4,))*$F361</f>
        <v>0</v>
      </c>
      <c r="R361" s="25">
        <f>(VLOOKUP($D361,$C$6:$AJ$991,16,)/VLOOKUP($D361,$C$6:$AJ$991,4,))*$F361</f>
        <v>0</v>
      </c>
      <c r="S361" s="25">
        <f>(VLOOKUP($D361,$C$6:$AJ$991,17,)/VLOOKUP($D361,$C$6:$AJ$991,4,))*$F361</f>
        <v>0</v>
      </c>
      <c r="T361" s="25">
        <f>(VLOOKUP($D361,$C$6:$AJ$991,18,)/VLOOKUP($D361,$C$6:$AJ$991,4,))*$F361</f>
        <v>0</v>
      </c>
      <c r="U361" s="25">
        <f>(VLOOKUP($D361,$C$6:$AJ$991,19,)/VLOOKUP($D361,$C$6:$AJ$991,4,))*$F361</f>
        <v>0</v>
      </c>
      <c r="V361" s="25">
        <f>(VLOOKUP($D361,$C$6:$AJ$991,20,)/VLOOKUP($D361,$C$6:$AJ$991,4,))*$F361</f>
        <v>0</v>
      </c>
      <c r="W361" s="25">
        <f>SUM(G361:V361)</f>
        <v>3862617.0000000005</v>
      </c>
      <c r="X361" s="120" t="str">
        <f>IF(ABS(W361-F361)&lt;1,"ok","err")</f>
        <v>ok</v>
      </c>
    </row>
    <row r="362" spans="1:24" x14ac:dyDescent="0.2">
      <c r="A362" s="117"/>
      <c r="F362" s="25"/>
    </row>
    <row r="363" spans="1:24" x14ac:dyDescent="0.2">
      <c r="A363" s="117" t="s">
        <v>6</v>
      </c>
      <c r="F363" s="25"/>
    </row>
    <row r="364" spans="1:24" x14ac:dyDescent="0.2">
      <c r="A364" s="117" t="s">
        <v>433</v>
      </c>
      <c r="F364" s="25"/>
    </row>
    <row r="365" spans="1:24" x14ac:dyDescent="0.2">
      <c r="A365" s="26">
        <v>870</v>
      </c>
      <c r="B365" s="23" t="s">
        <v>413</v>
      </c>
      <c r="C365" s="114" t="s">
        <v>122</v>
      </c>
      <c r="D365" s="114" t="s">
        <v>640</v>
      </c>
      <c r="F365" s="30">
        <v>0</v>
      </c>
      <c r="G365" s="25">
        <f t="shared" ref="G365:G385" si="203">(VLOOKUP($D365,$C$6:$AJ$991,5,)/VLOOKUP($D365,$C$6:$AJ$991,4,))*$F365</f>
        <v>0</v>
      </c>
      <c r="H365" s="25">
        <f t="shared" ref="H365:H385" si="204">(VLOOKUP($D365,$C$6:$AJ$991,6,)/VLOOKUP($D365,$C$6:$AJ$991,4,))*$F365</f>
        <v>0</v>
      </c>
      <c r="I365" s="25">
        <f t="shared" ref="I365:I385" si="205">(VLOOKUP($D365,$C$6:$AJ$991,7,)/VLOOKUP($D365,$C$6:$AJ$991,4,))*$F365</f>
        <v>0</v>
      </c>
      <c r="J365" s="25">
        <f t="shared" ref="J365:J385" si="206">(VLOOKUP($D365,$C$6:$AJ$991,8,)/VLOOKUP($D365,$C$6:$AJ$991,4,))*$F365</f>
        <v>0</v>
      </c>
      <c r="K365" s="25">
        <f t="shared" ref="K365:K385" si="207">(VLOOKUP($D365,$C$6:$AJ$991,9,)/VLOOKUP($D365,$C$6:$AJ$991,4,))*$F365</f>
        <v>0</v>
      </c>
      <c r="L365" s="25">
        <f t="shared" ref="L365:L385" si="208">(VLOOKUP($D365,$C$6:$AJ$991,10,)/VLOOKUP($D365,$C$6:$AJ$991,4,))*$F365</f>
        <v>0</v>
      </c>
      <c r="M365" s="25">
        <f t="shared" ref="M365:M385" si="209">(VLOOKUP($D365,$C$6:$AJ$991,11,)/VLOOKUP($D365,$C$6:$AJ$991,4,))*$F365</f>
        <v>0</v>
      </c>
      <c r="N365" s="25">
        <f t="shared" ref="N365:N385" si="210">(VLOOKUP($D365,$C$6:$AJ$991,12,)/VLOOKUP($D365,$C$6:$AJ$991,4,))*$F365</f>
        <v>0</v>
      </c>
      <c r="O365" s="25">
        <f t="shared" ref="O365:O385" si="211">(VLOOKUP($D365,$C$6:$AJ$991,13,)/VLOOKUP($D365,$C$6:$AJ$991,4,))*$F365</f>
        <v>0</v>
      </c>
      <c r="P365" s="25">
        <f t="shared" ref="P365:P385" si="212">(VLOOKUP($D365,$C$6:$AJ$991,14,)/VLOOKUP($D365,$C$6:$AJ$991,4,))*$F365</f>
        <v>0</v>
      </c>
      <c r="Q365" s="25">
        <f t="shared" ref="Q365:Q385" si="213">(VLOOKUP($D365,$C$6:$AJ$991,15,)/VLOOKUP($D365,$C$6:$AJ$991,4,))*$F365</f>
        <v>0</v>
      </c>
      <c r="R365" s="25">
        <f t="shared" ref="R365:R385" si="214">(VLOOKUP($D365,$C$6:$AJ$991,16,)/VLOOKUP($D365,$C$6:$AJ$991,4,))*$F365</f>
        <v>0</v>
      </c>
      <c r="S365" s="25">
        <f t="shared" ref="S365:S385" si="215">(VLOOKUP($D365,$C$6:$AJ$991,17,)/VLOOKUP($D365,$C$6:$AJ$991,4,))*$F365</f>
        <v>0</v>
      </c>
      <c r="T365" s="25">
        <f t="shared" ref="T365:T385" si="216">(VLOOKUP($D365,$C$6:$AJ$991,18,)/VLOOKUP($D365,$C$6:$AJ$991,4,))*$F365</f>
        <v>0</v>
      </c>
      <c r="U365" s="25">
        <f t="shared" ref="U365:U385" si="217">(VLOOKUP($D365,$C$6:$AJ$991,19,)/VLOOKUP($D365,$C$6:$AJ$991,4,))*$F365</f>
        <v>0</v>
      </c>
      <c r="V365" s="25">
        <f t="shared" ref="V365:V385" si="218">(VLOOKUP($D365,$C$6:$AJ$991,20,)/VLOOKUP($D365,$C$6:$AJ$991,4,))*$F365</f>
        <v>0</v>
      </c>
      <c r="W365" s="25">
        <f>SUM(G365:V365)</f>
        <v>0</v>
      </c>
      <c r="X365" s="120" t="str">
        <f>IF(ABS(W365-F365)&lt;1,"ok","err")</f>
        <v>ok</v>
      </c>
    </row>
    <row r="366" spans="1:24" x14ac:dyDescent="0.2">
      <c r="A366" s="26">
        <v>871</v>
      </c>
      <c r="B366" s="23" t="s">
        <v>414</v>
      </c>
      <c r="C366" s="114" t="s">
        <v>123</v>
      </c>
      <c r="D366" s="114" t="s">
        <v>35</v>
      </c>
      <c r="F366" s="25">
        <f>912.592*1000</f>
        <v>912592</v>
      </c>
      <c r="G366" s="25">
        <f t="shared" si="203"/>
        <v>0</v>
      </c>
      <c r="H366" s="25">
        <f t="shared" si="204"/>
        <v>0</v>
      </c>
      <c r="I366" s="25">
        <f t="shared" si="205"/>
        <v>0</v>
      </c>
      <c r="J366" s="25">
        <f t="shared" si="206"/>
        <v>0</v>
      </c>
      <c r="K366" s="25">
        <f t="shared" si="207"/>
        <v>0</v>
      </c>
      <c r="L366" s="25">
        <f t="shared" si="208"/>
        <v>0</v>
      </c>
      <c r="M366" s="25">
        <f t="shared" si="209"/>
        <v>912592</v>
      </c>
      <c r="N366" s="25">
        <f t="shared" si="210"/>
        <v>0</v>
      </c>
      <c r="O366" s="25">
        <f t="shared" si="211"/>
        <v>0</v>
      </c>
      <c r="P366" s="25">
        <f t="shared" si="212"/>
        <v>0</v>
      </c>
      <c r="Q366" s="25">
        <f t="shared" si="213"/>
        <v>0</v>
      </c>
      <c r="R366" s="25">
        <f t="shared" si="214"/>
        <v>0</v>
      </c>
      <c r="S366" s="25">
        <f t="shared" si="215"/>
        <v>0</v>
      </c>
      <c r="T366" s="25">
        <f t="shared" si="216"/>
        <v>0</v>
      </c>
      <c r="U366" s="25">
        <f t="shared" si="217"/>
        <v>0</v>
      </c>
      <c r="V366" s="25">
        <f t="shared" si="218"/>
        <v>0</v>
      </c>
      <c r="W366" s="25">
        <f t="shared" ref="W366:W385" si="219">SUM(G366:V366)</f>
        <v>912592</v>
      </c>
      <c r="X366" s="120" t="str">
        <f t="shared" ref="X366:X387" si="220">IF(ABS(W366-F366)&lt;1,"ok","err")</f>
        <v>ok</v>
      </c>
    </row>
    <row r="367" spans="1:24" x14ac:dyDescent="0.2">
      <c r="A367" s="26">
        <v>872</v>
      </c>
      <c r="B367" s="23" t="s">
        <v>416</v>
      </c>
      <c r="C367" s="114" t="s">
        <v>562</v>
      </c>
      <c r="D367" s="114" t="s">
        <v>35</v>
      </c>
      <c r="F367" s="25">
        <v>0</v>
      </c>
      <c r="G367" s="25">
        <f t="shared" si="203"/>
        <v>0</v>
      </c>
      <c r="H367" s="25">
        <f t="shared" si="204"/>
        <v>0</v>
      </c>
      <c r="I367" s="25">
        <f t="shared" si="205"/>
        <v>0</v>
      </c>
      <c r="J367" s="25">
        <f t="shared" si="206"/>
        <v>0</v>
      </c>
      <c r="K367" s="25">
        <f t="shared" si="207"/>
        <v>0</v>
      </c>
      <c r="L367" s="25">
        <f t="shared" si="208"/>
        <v>0</v>
      </c>
      <c r="M367" s="25">
        <f t="shared" si="209"/>
        <v>0</v>
      </c>
      <c r="N367" s="25">
        <f t="shared" si="210"/>
        <v>0</v>
      </c>
      <c r="O367" s="25">
        <f t="shared" si="211"/>
        <v>0</v>
      </c>
      <c r="P367" s="25">
        <f t="shared" si="212"/>
        <v>0</v>
      </c>
      <c r="Q367" s="25">
        <f t="shared" si="213"/>
        <v>0</v>
      </c>
      <c r="R367" s="25">
        <f t="shared" si="214"/>
        <v>0</v>
      </c>
      <c r="S367" s="25">
        <f t="shared" si="215"/>
        <v>0</v>
      </c>
      <c r="T367" s="25">
        <f t="shared" si="216"/>
        <v>0</v>
      </c>
      <c r="U367" s="25">
        <f t="shared" si="217"/>
        <v>0</v>
      </c>
      <c r="V367" s="25">
        <f t="shared" si="218"/>
        <v>0</v>
      </c>
      <c r="W367" s="25">
        <f t="shared" si="219"/>
        <v>0</v>
      </c>
      <c r="X367" s="120" t="str">
        <f t="shared" si="220"/>
        <v>ok</v>
      </c>
    </row>
    <row r="368" spans="1:24" x14ac:dyDescent="0.2">
      <c r="A368" s="26">
        <v>873</v>
      </c>
      <c r="B368" s="23" t="s">
        <v>415</v>
      </c>
      <c r="C368" s="114" t="s">
        <v>563</v>
      </c>
      <c r="D368" s="114" t="s">
        <v>35</v>
      </c>
      <c r="F368" s="25">
        <v>0</v>
      </c>
      <c r="G368" s="25">
        <f t="shared" si="203"/>
        <v>0</v>
      </c>
      <c r="H368" s="25">
        <f t="shared" si="204"/>
        <v>0</v>
      </c>
      <c r="I368" s="25">
        <f t="shared" si="205"/>
        <v>0</v>
      </c>
      <c r="J368" s="25">
        <f t="shared" si="206"/>
        <v>0</v>
      </c>
      <c r="K368" s="25">
        <f t="shared" si="207"/>
        <v>0</v>
      </c>
      <c r="L368" s="25">
        <f t="shared" si="208"/>
        <v>0</v>
      </c>
      <c r="M368" s="25">
        <f t="shared" si="209"/>
        <v>0</v>
      </c>
      <c r="N368" s="25">
        <f t="shared" si="210"/>
        <v>0</v>
      </c>
      <c r="O368" s="25">
        <f t="shared" si="211"/>
        <v>0</v>
      </c>
      <c r="P368" s="25">
        <f t="shared" si="212"/>
        <v>0</v>
      </c>
      <c r="Q368" s="25">
        <f t="shared" si="213"/>
        <v>0</v>
      </c>
      <c r="R368" s="25">
        <f t="shared" si="214"/>
        <v>0</v>
      </c>
      <c r="S368" s="25">
        <f t="shared" si="215"/>
        <v>0</v>
      </c>
      <c r="T368" s="25">
        <f t="shared" si="216"/>
        <v>0</v>
      </c>
      <c r="U368" s="25">
        <f t="shared" si="217"/>
        <v>0</v>
      </c>
      <c r="V368" s="25">
        <f t="shared" si="218"/>
        <v>0</v>
      </c>
      <c r="W368" s="25">
        <f t="shared" si="219"/>
        <v>0</v>
      </c>
      <c r="X368" s="120" t="str">
        <f t="shared" si="220"/>
        <v>ok</v>
      </c>
    </row>
    <row r="369" spans="1:24" x14ac:dyDescent="0.2">
      <c r="A369" s="26">
        <v>874.01</v>
      </c>
      <c r="B369" s="23" t="s">
        <v>417</v>
      </c>
      <c r="C369" s="114" t="s">
        <v>564</v>
      </c>
      <c r="D369" s="114" t="s">
        <v>637</v>
      </c>
      <c r="F369" s="25">
        <v>3602300.9999999981</v>
      </c>
      <c r="G369" s="25">
        <f t="shared" si="203"/>
        <v>0</v>
      </c>
      <c r="H369" s="25">
        <f t="shared" si="204"/>
        <v>0</v>
      </c>
      <c r="I369" s="25">
        <f t="shared" si="205"/>
        <v>0</v>
      </c>
      <c r="J369" s="25">
        <f t="shared" si="206"/>
        <v>0</v>
      </c>
      <c r="K369" s="25">
        <f t="shared" si="207"/>
        <v>0</v>
      </c>
      <c r="L369" s="25">
        <f t="shared" si="208"/>
        <v>0</v>
      </c>
      <c r="M369" s="25">
        <f t="shared" si="209"/>
        <v>0</v>
      </c>
      <c r="N369" s="25">
        <f t="shared" si="210"/>
        <v>0</v>
      </c>
      <c r="O369" s="25">
        <f t="shared" si="211"/>
        <v>1728642.3139311005</v>
      </c>
      <c r="P369" s="25">
        <f t="shared" si="212"/>
        <v>0</v>
      </c>
      <c r="Q369" s="25">
        <f t="shared" si="213"/>
        <v>189736.79956638531</v>
      </c>
      <c r="R369" s="25">
        <f t="shared" si="214"/>
        <v>0</v>
      </c>
      <c r="S369" s="25">
        <f t="shared" si="215"/>
        <v>1683921.8865025118</v>
      </c>
      <c r="T369" s="25">
        <f t="shared" si="216"/>
        <v>0</v>
      </c>
      <c r="U369" s="25">
        <f t="shared" si="217"/>
        <v>0</v>
      </c>
      <c r="V369" s="25">
        <f t="shared" si="218"/>
        <v>0</v>
      </c>
      <c r="W369" s="25">
        <f t="shared" si="219"/>
        <v>3602300.9999999977</v>
      </c>
      <c r="X369" s="120" t="str">
        <f t="shared" si="220"/>
        <v>ok</v>
      </c>
    </row>
    <row r="370" spans="1:24" x14ac:dyDescent="0.2">
      <c r="A370" s="26">
        <v>874.02</v>
      </c>
      <c r="B370" s="23" t="s">
        <v>418</v>
      </c>
      <c r="C370" s="114" t="s">
        <v>565</v>
      </c>
      <c r="D370" s="114" t="s">
        <v>40</v>
      </c>
      <c r="F370" s="25">
        <v>0</v>
      </c>
      <c r="G370" s="25">
        <f t="shared" si="203"/>
        <v>0</v>
      </c>
      <c r="H370" s="25">
        <f t="shared" si="204"/>
        <v>0</v>
      </c>
      <c r="I370" s="25">
        <f t="shared" si="205"/>
        <v>0</v>
      </c>
      <c r="J370" s="25">
        <f t="shared" si="206"/>
        <v>0</v>
      </c>
      <c r="K370" s="25">
        <f t="shared" si="207"/>
        <v>0</v>
      </c>
      <c r="L370" s="25">
        <f t="shared" si="208"/>
        <v>0</v>
      </c>
      <c r="M370" s="25">
        <f t="shared" si="209"/>
        <v>0</v>
      </c>
      <c r="N370" s="25">
        <f t="shared" si="210"/>
        <v>0</v>
      </c>
      <c r="O370" s="25">
        <f t="shared" si="211"/>
        <v>0</v>
      </c>
      <c r="P370" s="25">
        <f t="shared" si="212"/>
        <v>0</v>
      </c>
      <c r="Q370" s="25">
        <f t="shared" si="213"/>
        <v>0</v>
      </c>
      <c r="R370" s="25">
        <f t="shared" si="214"/>
        <v>0</v>
      </c>
      <c r="S370" s="25">
        <f t="shared" si="215"/>
        <v>0</v>
      </c>
      <c r="T370" s="25">
        <f t="shared" si="216"/>
        <v>0</v>
      </c>
      <c r="U370" s="25">
        <f t="shared" si="217"/>
        <v>0</v>
      </c>
      <c r="V370" s="25">
        <f t="shared" si="218"/>
        <v>0</v>
      </c>
      <c r="W370" s="25">
        <f t="shared" si="219"/>
        <v>0</v>
      </c>
      <c r="X370" s="120" t="str">
        <f t="shared" si="220"/>
        <v>ok</v>
      </c>
    </row>
    <row r="371" spans="1:24" x14ac:dyDescent="0.2">
      <c r="A371" s="26">
        <v>874.03</v>
      </c>
      <c r="B371" s="23" t="s">
        <v>419</v>
      </c>
      <c r="C371" s="114" t="s">
        <v>566</v>
      </c>
      <c r="D371" s="114" t="s">
        <v>42</v>
      </c>
      <c r="F371" s="25">
        <v>0</v>
      </c>
      <c r="G371" s="25">
        <f t="shared" si="203"/>
        <v>0</v>
      </c>
      <c r="H371" s="25">
        <f t="shared" si="204"/>
        <v>0</v>
      </c>
      <c r="I371" s="25">
        <f t="shared" si="205"/>
        <v>0</v>
      </c>
      <c r="J371" s="25">
        <f t="shared" si="206"/>
        <v>0</v>
      </c>
      <c r="K371" s="25">
        <f t="shared" si="207"/>
        <v>0</v>
      </c>
      <c r="L371" s="25">
        <f t="shared" si="208"/>
        <v>0</v>
      </c>
      <c r="M371" s="25">
        <f t="shared" si="209"/>
        <v>0</v>
      </c>
      <c r="N371" s="25">
        <f t="shared" si="210"/>
        <v>0</v>
      </c>
      <c r="O371" s="25">
        <f t="shared" si="211"/>
        <v>0</v>
      </c>
      <c r="P371" s="25">
        <f t="shared" si="212"/>
        <v>0</v>
      </c>
      <c r="Q371" s="25">
        <f t="shared" si="213"/>
        <v>0</v>
      </c>
      <c r="R371" s="25">
        <f t="shared" si="214"/>
        <v>0</v>
      </c>
      <c r="S371" s="25">
        <f t="shared" si="215"/>
        <v>0</v>
      </c>
      <c r="T371" s="25">
        <f t="shared" si="216"/>
        <v>0</v>
      </c>
      <c r="U371" s="25">
        <f t="shared" si="217"/>
        <v>0</v>
      </c>
      <c r="V371" s="25">
        <f t="shared" si="218"/>
        <v>0</v>
      </c>
      <c r="W371" s="25">
        <f t="shared" si="219"/>
        <v>0</v>
      </c>
      <c r="X371" s="120" t="str">
        <f t="shared" si="220"/>
        <v>ok</v>
      </c>
    </row>
    <row r="372" spans="1:24" x14ac:dyDescent="0.2">
      <c r="A372" s="26">
        <v>874.04</v>
      </c>
      <c r="B372" s="23" t="s">
        <v>420</v>
      </c>
      <c r="C372" s="114" t="s">
        <v>567</v>
      </c>
      <c r="D372" s="114" t="s">
        <v>637</v>
      </c>
      <c r="F372" s="25">
        <v>0</v>
      </c>
      <c r="G372" s="25">
        <f t="shared" si="203"/>
        <v>0</v>
      </c>
      <c r="H372" s="25">
        <f t="shared" si="204"/>
        <v>0</v>
      </c>
      <c r="I372" s="25">
        <f t="shared" si="205"/>
        <v>0</v>
      </c>
      <c r="J372" s="25">
        <f t="shared" si="206"/>
        <v>0</v>
      </c>
      <c r="K372" s="25">
        <f t="shared" si="207"/>
        <v>0</v>
      </c>
      <c r="L372" s="25">
        <f t="shared" si="208"/>
        <v>0</v>
      </c>
      <c r="M372" s="25">
        <f t="shared" si="209"/>
        <v>0</v>
      </c>
      <c r="N372" s="25">
        <f t="shared" si="210"/>
        <v>0</v>
      </c>
      <c r="O372" s="25">
        <f t="shared" si="211"/>
        <v>0</v>
      </c>
      <c r="P372" s="25">
        <f t="shared" si="212"/>
        <v>0</v>
      </c>
      <c r="Q372" s="25">
        <f t="shared" si="213"/>
        <v>0</v>
      </c>
      <c r="R372" s="25">
        <f t="shared" si="214"/>
        <v>0</v>
      </c>
      <c r="S372" s="25">
        <f t="shared" si="215"/>
        <v>0</v>
      </c>
      <c r="T372" s="25">
        <f t="shared" si="216"/>
        <v>0</v>
      </c>
      <c r="U372" s="25">
        <f t="shared" si="217"/>
        <v>0</v>
      </c>
      <c r="V372" s="25">
        <f t="shared" si="218"/>
        <v>0</v>
      </c>
      <c r="W372" s="25">
        <f t="shared" si="219"/>
        <v>0</v>
      </c>
      <c r="X372" s="120" t="str">
        <f t="shared" si="220"/>
        <v>ok</v>
      </c>
    </row>
    <row r="373" spans="1:24" x14ac:dyDescent="0.2">
      <c r="A373" s="26">
        <v>874.05</v>
      </c>
      <c r="B373" s="23" t="s">
        <v>421</v>
      </c>
      <c r="C373" s="114" t="s">
        <v>568</v>
      </c>
      <c r="D373" s="114" t="s">
        <v>42</v>
      </c>
      <c r="F373" s="25">
        <v>0</v>
      </c>
      <c r="G373" s="25">
        <f t="shared" si="203"/>
        <v>0</v>
      </c>
      <c r="H373" s="25">
        <f t="shared" si="204"/>
        <v>0</v>
      </c>
      <c r="I373" s="25">
        <f t="shared" si="205"/>
        <v>0</v>
      </c>
      <c r="J373" s="25">
        <f t="shared" si="206"/>
        <v>0</v>
      </c>
      <c r="K373" s="25">
        <f t="shared" si="207"/>
        <v>0</v>
      </c>
      <c r="L373" s="25">
        <f t="shared" si="208"/>
        <v>0</v>
      </c>
      <c r="M373" s="25">
        <f t="shared" si="209"/>
        <v>0</v>
      </c>
      <c r="N373" s="25">
        <f t="shared" si="210"/>
        <v>0</v>
      </c>
      <c r="O373" s="25">
        <f t="shared" si="211"/>
        <v>0</v>
      </c>
      <c r="P373" s="25">
        <f t="shared" si="212"/>
        <v>0</v>
      </c>
      <c r="Q373" s="25">
        <f t="shared" si="213"/>
        <v>0</v>
      </c>
      <c r="R373" s="25">
        <f t="shared" si="214"/>
        <v>0</v>
      </c>
      <c r="S373" s="25">
        <f t="shared" si="215"/>
        <v>0</v>
      </c>
      <c r="T373" s="25">
        <f t="shared" si="216"/>
        <v>0</v>
      </c>
      <c r="U373" s="25">
        <f t="shared" si="217"/>
        <v>0</v>
      </c>
      <c r="V373" s="25">
        <f t="shared" si="218"/>
        <v>0</v>
      </c>
      <c r="W373" s="25">
        <f t="shared" si="219"/>
        <v>0</v>
      </c>
      <c r="X373" s="120" t="str">
        <f t="shared" si="220"/>
        <v>ok</v>
      </c>
    </row>
    <row r="374" spans="1:24" x14ac:dyDescent="0.2">
      <c r="A374" s="26">
        <v>874.06</v>
      </c>
      <c r="B374" s="23" t="s">
        <v>422</v>
      </c>
      <c r="C374" s="114" t="s">
        <v>569</v>
      </c>
      <c r="D374" s="114" t="s">
        <v>40</v>
      </c>
      <c r="F374" s="25">
        <v>0</v>
      </c>
      <c r="G374" s="25">
        <f t="shared" si="203"/>
        <v>0</v>
      </c>
      <c r="H374" s="25">
        <f t="shared" si="204"/>
        <v>0</v>
      </c>
      <c r="I374" s="25">
        <f t="shared" si="205"/>
        <v>0</v>
      </c>
      <c r="J374" s="25">
        <f t="shared" si="206"/>
        <v>0</v>
      </c>
      <c r="K374" s="25">
        <f t="shared" si="207"/>
        <v>0</v>
      </c>
      <c r="L374" s="25">
        <f t="shared" si="208"/>
        <v>0</v>
      </c>
      <c r="M374" s="25">
        <f t="shared" si="209"/>
        <v>0</v>
      </c>
      <c r="N374" s="25">
        <f t="shared" si="210"/>
        <v>0</v>
      </c>
      <c r="O374" s="25">
        <f t="shared" si="211"/>
        <v>0</v>
      </c>
      <c r="P374" s="25">
        <f t="shared" si="212"/>
        <v>0</v>
      </c>
      <c r="Q374" s="25">
        <f t="shared" si="213"/>
        <v>0</v>
      </c>
      <c r="R374" s="25">
        <f t="shared" si="214"/>
        <v>0</v>
      </c>
      <c r="S374" s="25">
        <f t="shared" si="215"/>
        <v>0</v>
      </c>
      <c r="T374" s="25">
        <f t="shared" si="216"/>
        <v>0</v>
      </c>
      <c r="U374" s="25">
        <f t="shared" si="217"/>
        <v>0</v>
      </c>
      <c r="V374" s="25">
        <f t="shared" si="218"/>
        <v>0</v>
      </c>
      <c r="W374" s="25">
        <f t="shared" si="219"/>
        <v>0</v>
      </c>
      <c r="X374" s="120" t="str">
        <f t="shared" si="220"/>
        <v>ok</v>
      </c>
    </row>
    <row r="375" spans="1:24" x14ac:dyDescent="0.2">
      <c r="A375" s="26">
        <v>874.07</v>
      </c>
      <c r="B375" s="23" t="s">
        <v>423</v>
      </c>
      <c r="C375" s="114" t="s">
        <v>570</v>
      </c>
      <c r="D375" s="114" t="s">
        <v>40</v>
      </c>
      <c r="F375" s="25">
        <v>0</v>
      </c>
      <c r="G375" s="25">
        <f t="shared" si="203"/>
        <v>0</v>
      </c>
      <c r="H375" s="25">
        <f t="shared" si="204"/>
        <v>0</v>
      </c>
      <c r="I375" s="25">
        <f t="shared" si="205"/>
        <v>0</v>
      </c>
      <c r="J375" s="25">
        <f t="shared" si="206"/>
        <v>0</v>
      </c>
      <c r="K375" s="25">
        <f t="shared" si="207"/>
        <v>0</v>
      </c>
      <c r="L375" s="25">
        <f t="shared" si="208"/>
        <v>0</v>
      </c>
      <c r="M375" s="25">
        <f t="shared" si="209"/>
        <v>0</v>
      </c>
      <c r="N375" s="25">
        <f t="shared" si="210"/>
        <v>0</v>
      </c>
      <c r="O375" s="25">
        <f t="shared" si="211"/>
        <v>0</v>
      </c>
      <c r="P375" s="25">
        <f t="shared" si="212"/>
        <v>0</v>
      </c>
      <c r="Q375" s="25">
        <f t="shared" si="213"/>
        <v>0</v>
      </c>
      <c r="R375" s="25">
        <f t="shared" si="214"/>
        <v>0</v>
      </c>
      <c r="S375" s="25">
        <f t="shared" si="215"/>
        <v>0</v>
      </c>
      <c r="T375" s="25">
        <f t="shared" si="216"/>
        <v>0</v>
      </c>
      <c r="U375" s="25">
        <f t="shared" si="217"/>
        <v>0</v>
      </c>
      <c r="V375" s="25">
        <f t="shared" si="218"/>
        <v>0</v>
      </c>
      <c r="W375" s="25">
        <f t="shared" si="219"/>
        <v>0</v>
      </c>
      <c r="X375" s="120" t="str">
        <f t="shared" si="220"/>
        <v>ok</v>
      </c>
    </row>
    <row r="376" spans="1:24" x14ac:dyDescent="0.2">
      <c r="A376" s="26">
        <v>874.08</v>
      </c>
      <c r="B376" s="23" t="s">
        <v>424</v>
      </c>
      <c r="C376" s="114" t="s">
        <v>571</v>
      </c>
      <c r="D376" s="114" t="s">
        <v>35</v>
      </c>
      <c r="F376" s="25">
        <v>0</v>
      </c>
      <c r="G376" s="25">
        <f t="shared" si="203"/>
        <v>0</v>
      </c>
      <c r="H376" s="25">
        <f t="shared" si="204"/>
        <v>0</v>
      </c>
      <c r="I376" s="25">
        <f t="shared" si="205"/>
        <v>0</v>
      </c>
      <c r="J376" s="25">
        <f t="shared" si="206"/>
        <v>0</v>
      </c>
      <c r="K376" s="25">
        <f t="shared" si="207"/>
        <v>0</v>
      </c>
      <c r="L376" s="25">
        <f t="shared" si="208"/>
        <v>0</v>
      </c>
      <c r="M376" s="25">
        <f t="shared" si="209"/>
        <v>0</v>
      </c>
      <c r="N376" s="25">
        <f t="shared" si="210"/>
        <v>0</v>
      </c>
      <c r="O376" s="25">
        <f t="shared" si="211"/>
        <v>0</v>
      </c>
      <c r="P376" s="25">
        <f t="shared" si="212"/>
        <v>0</v>
      </c>
      <c r="Q376" s="25">
        <f t="shared" si="213"/>
        <v>0</v>
      </c>
      <c r="R376" s="25">
        <f t="shared" si="214"/>
        <v>0</v>
      </c>
      <c r="S376" s="25">
        <f t="shared" si="215"/>
        <v>0</v>
      </c>
      <c r="T376" s="25">
        <f t="shared" si="216"/>
        <v>0</v>
      </c>
      <c r="U376" s="25">
        <f t="shared" si="217"/>
        <v>0</v>
      </c>
      <c r="V376" s="25">
        <f t="shared" si="218"/>
        <v>0</v>
      </c>
      <c r="W376" s="25">
        <f t="shared" si="219"/>
        <v>0</v>
      </c>
      <c r="X376" s="120" t="str">
        <f t="shared" si="220"/>
        <v>ok</v>
      </c>
    </row>
    <row r="377" spans="1:24" x14ac:dyDescent="0.2">
      <c r="A377" s="26">
        <v>874.09</v>
      </c>
      <c r="B377" s="23" t="s">
        <v>425</v>
      </c>
      <c r="C377" s="114" t="s">
        <v>572</v>
      </c>
      <c r="D377" s="114" t="s">
        <v>40</v>
      </c>
      <c r="F377" s="25">
        <v>0</v>
      </c>
      <c r="G377" s="25">
        <f t="shared" si="203"/>
        <v>0</v>
      </c>
      <c r="H377" s="25">
        <f t="shared" si="204"/>
        <v>0</v>
      </c>
      <c r="I377" s="25">
        <f t="shared" si="205"/>
        <v>0</v>
      </c>
      <c r="J377" s="25">
        <f t="shared" si="206"/>
        <v>0</v>
      </c>
      <c r="K377" s="25">
        <f t="shared" si="207"/>
        <v>0</v>
      </c>
      <c r="L377" s="25">
        <f t="shared" si="208"/>
        <v>0</v>
      </c>
      <c r="M377" s="25">
        <f t="shared" si="209"/>
        <v>0</v>
      </c>
      <c r="N377" s="25">
        <f t="shared" si="210"/>
        <v>0</v>
      </c>
      <c r="O377" s="25">
        <f t="shared" si="211"/>
        <v>0</v>
      </c>
      <c r="P377" s="25">
        <f t="shared" si="212"/>
        <v>0</v>
      </c>
      <c r="Q377" s="25">
        <f t="shared" si="213"/>
        <v>0</v>
      </c>
      <c r="R377" s="25">
        <f t="shared" si="214"/>
        <v>0</v>
      </c>
      <c r="S377" s="25">
        <f t="shared" si="215"/>
        <v>0</v>
      </c>
      <c r="T377" s="25">
        <f t="shared" si="216"/>
        <v>0</v>
      </c>
      <c r="U377" s="25">
        <f t="shared" si="217"/>
        <v>0</v>
      </c>
      <c r="V377" s="25">
        <f t="shared" si="218"/>
        <v>0</v>
      </c>
      <c r="W377" s="25">
        <f t="shared" si="219"/>
        <v>0</v>
      </c>
      <c r="X377" s="120" t="str">
        <f t="shared" si="220"/>
        <v>ok</v>
      </c>
    </row>
    <row r="378" spans="1:24" x14ac:dyDescent="0.2">
      <c r="A378" s="26">
        <v>874.1</v>
      </c>
      <c r="B378" s="23" t="s">
        <v>426</v>
      </c>
      <c r="C378" s="114" t="s">
        <v>573</v>
      </c>
      <c r="D378" s="114" t="s">
        <v>40</v>
      </c>
      <c r="F378" s="25">
        <v>0</v>
      </c>
      <c r="G378" s="25">
        <f t="shared" si="203"/>
        <v>0</v>
      </c>
      <c r="H378" s="25">
        <f t="shared" si="204"/>
        <v>0</v>
      </c>
      <c r="I378" s="25">
        <f t="shared" si="205"/>
        <v>0</v>
      </c>
      <c r="J378" s="25">
        <f t="shared" si="206"/>
        <v>0</v>
      </c>
      <c r="K378" s="25">
        <f t="shared" si="207"/>
        <v>0</v>
      </c>
      <c r="L378" s="25">
        <f t="shared" si="208"/>
        <v>0</v>
      </c>
      <c r="M378" s="25">
        <f t="shared" si="209"/>
        <v>0</v>
      </c>
      <c r="N378" s="25">
        <f t="shared" si="210"/>
        <v>0</v>
      </c>
      <c r="O378" s="25">
        <f t="shared" si="211"/>
        <v>0</v>
      </c>
      <c r="P378" s="25">
        <f t="shared" si="212"/>
        <v>0</v>
      </c>
      <c r="Q378" s="25">
        <f t="shared" si="213"/>
        <v>0</v>
      </c>
      <c r="R378" s="25">
        <f t="shared" si="214"/>
        <v>0</v>
      </c>
      <c r="S378" s="25">
        <f t="shared" si="215"/>
        <v>0</v>
      </c>
      <c r="T378" s="25">
        <f t="shared" si="216"/>
        <v>0</v>
      </c>
      <c r="U378" s="25">
        <f t="shared" si="217"/>
        <v>0</v>
      </c>
      <c r="V378" s="25">
        <f t="shared" si="218"/>
        <v>0</v>
      </c>
      <c r="W378" s="25">
        <f t="shared" si="219"/>
        <v>0</v>
      </c>
      <c r="X378" s="120" t="str">
        <f t="shared" si="220"/>
        <v>ok</v>
      </c>
    </row>
    <row r="379" spans="1:24" x14ac:dyDescent="0.2">
      <c r="A379" s="26">
        <v>875</v>
      </c>
      <c r="B379" s="23" t="s">
        <v>427</v>
      </c>
      <c r="C379" s="114" t="s">
        <v>574</v>
      </c>
      <c r="D379" s="114" t="s">
        <v>38</v>
      </c>
      <c r="F379" s="25">
        <f>1161.50699999999*1000</f>
        <v>1161506.99999999</v>
      </c>
      <c r="G379" s="25">
        <f t="shared" si="203"/>
        <v>0</v>
      </c>
      <c r="H379" s="25">
        <f t="shared" si="204"/>
        <v>0</v>
      </c>
      <c r="I379" s="25">
        <f t="shared" si="205"/>
        <v>0</v>
      </c>
      <c r="J379" s="25">
        <f t="shared" si="206"/>
        <v>0</v>
      </c>
      <c r="K379" s="25">
        <f t="shared" si="207"/>
        <v>0</v>
      </c>
      <c r="L379" s="25">
        <f t="shared" si="208"/>
        <v>0</v>
      </c>
      <c r="M379" s="25">
        <f t="shared" si="209"/>
        <v>0</v>
      </c>
      <c r="N379" s="25">
        <f t="shared" si="210"/>
        <v>1161506.99999999</v>
      </c>
      <c r="O379" s="25">
        <f t="shared" si="211"/>
        <v>0</v>
      </c>
      <c r="P379" s="25">
        <f t="shared" si="212"/>
        <v>0</v>
      </c>
      <c r="Q379" s="25">
        <f t="shared" si="213"/>
        <v>0</v>
      </c>
      <c r="R379" s="25">
        <f t="shared" si="214"/>
        <v>0</v>
      </c>
      <c r="S379" s="25">
        <f t="shared" si="215"/>
        <v>0</v>
      </c>
      <c r="T379" s="25">
        <f t="shared" si="216"/>
        <v>0</v>
      </c>
      <c r="U379" s="25">
        <f t="shared" si="217"/>
        <v>0</v>
      </c>
      <c r="V379" s="25">
        <f t="shared" si="218"/>
        <v>0</v>
      </c>
      <c r="W379" s="25">
        <f t="shared" si="219"/>
        <v>1161506.99999999</v>
      </c>
      <c r="X379" s="120" t="str">
        <f t="shared" si="220"/>
        <v>ok</v>
      </c>
    </row>
    <row r="380" spans="1:24" x14ac:dyDescent="0.2">
      <c r="A380" s="26">
        <v>876</v>
      </c>
      <c r="B380" s="23" t="s">
        <v>428</v>
      </c>
      <c r="C380" s="114" t="s">
        <v>575</v>
      </c>
      <c r="D380" s="114" t="s">
        <v>45</v>
      </c>
      <c r="F380" s="25">
        <f>490.681*1000</f>
        <v>490681</v>
      </c>
      <c r="G380" s="25">
        <f t="shared" si="203"/>
        <v>0</v>
      </c>
      <c r="H380" s="25">
        <f t="shared" si="204"/>
        <v>0</v>
      </c>
      <c r="I380" s="25">
        <f t="shared" si="205"/>
        <v>0</v>
      </c>
      <c r="J380" s="25">
        <f t="shared" si="206"/>
        <v>0</v>
      </c>
      <c r="K380" s="25">
        <f t="shared" si="207"/>
        <v>0</v>
      </c>
      <c r="L380" s="25">
        <f t="shared" si="208"/>
        <v>0</v>
      </c>
      <c r="M380" s="25">
        <f t="shared" si="209"/>
        <v>0</v>
      </c>
      <c r="N380" s="25">
        <f t="shared" si="210"/>
        <v>0</v>
      </c>
      <c r="O380" s="25">
        <f t="shared" si="211"/>
        <v>0</v>
      </c>
      <c r="P380" s="25">
        <f t="shared" si="212"/>
        <v>0</v>
      </c>
      <c r="Q380" s="25">
        <f t="shared" si="213"/>
        <v>0</v>
      </c>
      <c r="R380" s="25">
        <f t="shared" si="214"/>
        <v>0</v>
      </c>
      <c r="S380" s="25">
        <f t="shared" si="215"/>
        <v>0</v>
      </c>
      <c r="T380" s="25">
        <f t="shared" si="216"/>
        <v>490681</v>
      </c>
      <c r="U380" s="25">
        <f t="shared" si="217"/>
        <v>0</v>
      </c>
      <c r="V380" s="25">
        <f t="shared" si="218"/>
        <v>0</v>
      </c>
      <c r="W380" s="25">
        <f t="shared" si="219"/>
        <v>490681</v>
      </c>
      <c r="X380" s="120" t="str">
        <f t="shared" si="220"/>
        <v>ok</v>
      </c>
    </row>
    <row r="381" spans="1:24" x14ac:dyDescent="0.2">
      <c r="A381" s="26">
        <v>877</v>
      </c>
      <c r="B381" s="23" t="s">
        <v>429</v>
      </c>
      <c r="C381" s="114" t="s">
        <v>576</v>
      </c>
      <c r="D381" s="114" t="s">
        <v>38</v>
      </c>
      <c r="F381" s="25">
        <f>250.192*1000</f>
        <v>250192</v>
      </c>
      <c r="G381" s="25">
        <f t="shared" si="203"/>
        <v>0</v>
      </c>
      <c r="H381" s="25">
        <f t="shared" si="204"/>
        <v>0</v>
      </c>
      <c r="I381" s="25">
        <f t="shared" si="205"/>
        <v>0</v>
      </c>
      <c r="J381" s="25">
        <f t="shared" si="206"/>
        <v>0</v>
      </c>
      <c r="K381" s="25">
        <f t="shared" si="207"/>
        <v>0</v>
      </c>
      <c r="L381" s="25">
        <f t="shared" si="208"/>
        <v>0</v>
      </c>
      <c r="M381" s="25">
        <f t="shared" si="209"/>
        <v>0</v>
      </c>
      <c r="N381" s="25">
        <f t="shared" si="210"/>
        <v>250192</v>
      </c>
      <c r="O381" s="25">
        <f t="shared" si="211"/>
        <v>0</v>
      </c>
      <c r="P381" s="25">
        <f t="shared" si="212"/>
        <v>0</v>
      </c>
      <c r="Q381" s="25">
        <f t="shared" si="213"/>
        <v>0</v>
      </c>
      <c r="R381" s="25">
        <f t="shared" si="214"/>
        <v>0</v>
      </c>
      <c r="S381" s="25">
        <f t="shared" si="215"/>
        <v>0</v>
      </c>
      <c r="T381" s="25">
        <f t="shared" si="216"/>
        <v>0</v>
      </c>
      <c r="U381" s="25">
        <f t="shared" si="217"/>
        <v>0</v>
      </c>
      <c r="V381" s="25">
        <f t="shared" si="218"/>
        <v>0</v>
      </c>
      <c r="W381" s="25">
        <f t="shared" si="219"/>
        <v>250192</v>
      </c>
      <c r="X381" s="120" t="str">
        <f t="shared" si="220"/>
        <v>ok</v>
      </c>
    </row>
    <row r="382" spans="1:24" x14ac:dyDescent="0.2">
      <c r="A382" s="26">
        <v>878</v>
      </c>
      <c r="B382" s="23" t="s">
        <v>430</v>
      </c>
      <c r="C382" s="114" t="s">
        <v>577</v>
      </c>
      <c r="D382" s="114" t="s">
        <v>45</v>
      </c>
      <c r="F382" s="25">
        <v>1371330.9999999981</v>
      </c>
      <c r="G382" s="25">
        <f t="shared" si="203"/>
        <v>0</v>
      </c>
      <c r="H382" s="25">
        <f t="shared" si="204"/>
        <v>0</v>
      </c>
      <c r="I382" s="25">
        <f t="shared" si="205"/>
        <v>0</v>
      </c>
      <c r="J382" s="25">
        <f t="shared" si="206"/>
        <v>0</v>
      </c>
      <c r="K382" s="25">
        <f t="shared" si="207"/>
        <v>0</v>
      </c>
      <c r="L382" s="25">
        <f t="shared" si="208"/>
        <v>0</v>
      </c>
      <c r="M382" s="25">
        <f t="shared" si="209"/>
        <v>0</v>
      </c>
      <c r="N382" s="25">
        <f t="shared" si="210"/>
        <v>0</v>
      </c>
      <c r="O382" s="25">
        <f t="shared" si="211"/>
        <v>0</v>
      </c>
      <c r="P382" s="25">
        <f t="shared" si="212"/>
        <v>0</v>
      </c>
      <c r="Q382" s="25">
        <f t="shared" si="213"/>
        <v>0</v>
      </c>
      <c r="R382" s="25">
        <f t="shared" si="214"/>
        <v>0</v>
      </c>
      <c r="S382" s="25">
        <f t="shared" si="215"/>
        <v>0</v>
      </c>
      <c r="T382" s="25">
        <f t="shared" si="216"/>
        <v>1371330.9999999981</v>
      </c>
      <c r="U382" s="25">
        <f t="shared" si="217"/>
        <v>0</v>
      </c>
      <c r="V382" s="25">
        <f t="shared" si="218"/>
        <v>0</v>
      </c>
      <c r="W382" s="25">
        <f t="shared" si="219"/>
        <v>1371330.9999999981</v>
      </c>
      <c r="X382" s="120" t="str">
        <f t="shared" si="220"/>
        <v>ok</v>
      </c>
    </row>
    <row r="383" spans="1:24" x14ac:dyDescent="0.2">
      <c r="A383" s="26">
        <v>879</v>
      </c>
      <c r="B383" s="23" t="s">
        <v>431</v>
      </c>
      <c r="C383" s="114" t="s">
        <v>578</v>
      </c>
      <c r="D383" s="114" t="s">
        <v>45</v>
      </c>
      <c r="F383" s="25">
        <v>161929.99999999994</v>
      </c>
      <c r="G383" s="25">
        <f t="shared" si="203"/>
        <v>0</v>
      </c>
      <c r="H383" s="25">
        <f t="shared" si="204"/>
        <v>0</v>
      </c>
      <c r="I383" s="25">
        <f t="shared" si="205"/>
        <v>0</v>
      </c>
      <c r="J383" s="25">
        <f t="shared" si="206"/>
        <v>0</v>
      </c>
      <c r="K383" s="25">
        <f t="shared" si="207"/>
        <v>0</v>
      </c>
      <c r="L383" s="25">
        <f t="shared" si="208"/>
        <v>0</v>
      </c>
      <c r="M383" s="25">
        <f t="shared" si="209"/>
        <v>0</v>
      </c>
      <c r="N383" s="25">
        <f t="shared" si="210"/>
        <v>0</v>
      </c>
      <c r="O383" s="25">
        <f t="shared" si="211"/>
        <v>0</v>
      </c>
      <c r="P383" s="25">
        <f t="shared" si="212"/>
        <v>0</v>
      </c>
      <c r="Q383" s="25">
        <f t="shared" si="213"/>
        <v>0</v>
      </c>
      <c r="R383" s="25">
        <f t="shared" si="214"/>
        <v>0</v>
      </c>
      <c r="S383" s="25">
        <f t="shared" si="215"/>
        <v>0</v>
      </c>
      <c r="T383" s="25">
        <f t="shared" si="216"/>
        <v>161929.99999999994</v>
      </c>
      <c r="U383" s="25">
        <f t="shared" si="217"/>
        <v>0</v>
      </c>
      <c r="V383" s="25">
        <f t="shared" si="218"/>
        <v>0</v>
      </c>
      <c r="W383" s="25">
        <f t="shared" si="219"/>
        <v>161929.99999999994</v>
      </c>
      <c r="X383" s="120" t="str">
        <f t="shared" si="220"/>
        <v>ok</v>
      </c>
    </row>
    <row r="384" spans="1:24" x14ac:dyDescent="0.2">
      <c r="A384" s="26">
        <v>880</v>
      </c>
      <c r="B384" s="23" t="s">
        <v>105</v>
      </c>
      <c r="C384" s="114" t="s">
        <v>125</v>
      </c>
      <c r="D384" s="114" t="s">
        <v>200</v>
      </c>
      <c r="F384" s="25">
        <v>4011064.9999999981</v>
      </c>
      <c r="G384" s="25">
        <f t="shared" si="203"/>
        <v>0</v>
      </c>
      <c r="H384" s="25">
        <f t="shared" si="204"/>
        <v>0</v>
      </c>
      <c r="I384" s="25">
        <f t="shared" si="205"/>
        <v>0</v>
      </c>
      <c r="J384" s="25">
        <f t="shared" si="206"/>
        <v>0</v>
      </c>
      <c r="K384" s="25">
        <f t="shared" si="207"/>
        <v>0</v>
      </c>
      <c r="L384" s="25">
        <f t="shared" si="208"/>
        <v>0</v>
      </c>
      <c r="M384" s="25">
        <f t="shared" si="209"/>
        <v>0</v>
      </c>
      <c r="N384" s="25">
        <f t="shared" si="210"/>
        <v>162707.64040731281</v>
      </c>
      <c r="O384" s="25">
        <f t="shared" si="211"/>
        <v>1666133.2996796065</v>
      </c>
      <c r="P384" s="25">
        <f t="shared" si="212"/>
        <v>0</v>
      </c>
      <c r="Q384" s="25">
        <f t="shared" si="213"/>
        <v>182875.77330748466</v>
      </c>
      <c r="R384" s="25">
        <f t="shared" si="214"/>
        <v>0</v>
      </c>
      <c r="S384" s="25">
        <f t="shared" si="215"/>
        <v>1623029.9967497867</v>
      </c>
      <c r="T384" s="25">
        <f t="shared" si="216"/>
        <v>376318.28985580744</v>
      </c>
      <c r="U384" s="25">
        <f t="shared" si="217"/>
        <v>0</v>
      </c>
      <c r="V384" s="25">
        <f t="shared" si="218"/>
        <v>0</v>
      </c>
      <c r="W384" s="25">
        <f t="shared" si="219"/>
        <v>4011064.9999999981</v>
      </c>
      <c r="X384" s="120" t="str">
        <f t="shared" si="220"/>
        <v>ok</v>
      </c>
    </row>
    <row r="385" spans="1:24" x14ac:dyDescent="0.2">
      <c r="A385" s="26">
        <v>881</v>
      </c>
      <c r="B385" s="23" t="s">
        <v>108</v>
      </c>
      <c r="C385" s="114" t="s">
        <v>126</v>
      </c>
      <c r="D385" s="114" t="s">
        <v>200</v>
      </c>
      <c r="F385" s="25">
        <f>6.755*1000</f>
        <v>6755</v>
      </c>
      <c r="G385" s="25">
        <f t="shared" si="203"/>
        <v>0</v>
      </c>
      <c r="H385" s="25">
        <f t="shared" si="204"/>
        <v>0</v>
      </c>
      <c r="I385" s="25">
        <f t="shared" si="205"/>
        <v>0</v>
      </c>
      <c r="J385" s="25">
        <f t="shared" si="206"/>
        <v>0</v>
      </c>
      <c r="K385" s="25">
        <f t="shared" si="207"/>
        <v>0</v>
      </c>
      <c r="L385" s="25">
        <f t="shared" si="208"/>
        <v>0</v>
      </c>
      <c r="M385" s="25">
        <f t="shared" si="209"/>
        <v>0</v>
      </c>
      <c r="N385" s="25">
        <f t="shared" si="210"/>
        <v>274.01453503032201</v>
      </c>
      <c r="O385" s="25">
        <f t="shared" si="211"/>
        <v>2805.9207316101206</v>
      </c>
      <c r="P385" s="25">
        <f t="shared" si="212"/>
        <v>0</v>
      </c>
      <c r="Q385" s="25">
        <f t="shared" si="213"/>
        <v>307.9795138428471</v>
      </c>
      <c r="R385" s="25">
        <f t="shared" si="214"/>
        <v>0</v>
      </c>
      <c r="S385" s="25">
        <f t="shared" si="215"/>
        <v>2733.3308306010535</v>
      </c>
      <c r="T385" s="25">
        <f t="shared" si="216"/>
        <v>633.75438891565716</v>
      </c>
      <c r="U385" s="25">
        <f t="shared" si="217"/>
        <v>0</v>
      </c>
      <c r="V385" s="25">
        <f t="shared" si="218"/>
        <v>0</v>
      </c>
      <c r="W385" s="25">
        <f t="shared" si="219"/>
        <v>6755</v>
      </c>
      <c r="X385" s="120" t="str">
        <f t="shared" si="220"/>
        <v>ok</v>
      </c>
    </row>
    <row r="386" spans="1:24" x14ac:dyDescent="0.2">
      <c r="A386" s="26"/>
      <c r="F386" s="25"/>
    </row>
    <row r="387" spans="1:24" x14ac:dyDescent="0.2">
      <c r="A387" s="26" t="s">
        <v>475</v>
      </c>
      <c r="C387" s="114" t="s">
        <v>579</v>
      </c>
      <c r="F387" s="30">
        <f>+SUM(F365:F385)</f>
        <v>11968353.999999985</v>
      </c>
      <c r="G387" s="25">
        <f t="shared" ref="G387:W387" si="221">+SUM(G365:G385)</f>
        <v>0</v>
      </c>
      <c r="H387" s="25">
        <f t="shared" si="221"/>
        <v>0</v>
      </c>
      <c r="I387" s="25">
        <f t="shared" si="221"/>
        <v>0</v>
      </c>
      <c r="J387" s="25">
        <f t="shared" si="221"/>
        <v>0</v>
      </c>
      <c r="K387" s="25">
        <f t="shared" si="221"/>
        <v>0</v>
      </c>
      <c r="L387" s="25">
        <f t="shared" si="221"/>
        <v>0</v>
      </c>
      <c r="M387" s="25">
        <f t="shared" si="221"/>
        <v>912592</v>
      </c>
      <c r="N387" s="25">
        <f t="shared" si="221"/>
        <v>1574680.6549423332</v>
      </c>
      <c r="O387" s="25">
        <f t="shared" si="221"/>
        <v>3397581.5343423174</v>
      </c>
      <c r="P387" s="25">
        <f t="shared" si="221"/>
        <v>0</v>
      </c>
      <c r="Q387" s="25">
        <f>+SUM(Q365:Q385)</f>
        <v>372920.55238771281</v>
      </c>
      <c r="R387" s="25">
        <f>+SUM(R365:R385)</f>
        <v>0</v>
      </c>
      <c r="S387" s="25">
        <f t="shared" si="221"/>
        <v>3309685.2140828995</v>
      </c>
      <c r="T387" s="25">
        <f t="shared" si="221"/>
        <v>2400894.0442447215</v>
      </c>
      <c r="U387" s="25">
        <f t="shared" si="221"/>
        <v>0</v>
      </c>
      <c r="V387" s="25">
        <f t="shared" si="221"/>
        <v>0</v>
      </c>
      <c r="W387" s="25">
        <f t="shared" si="221"/>
        <v>11968353.999999985</v>
      </c>
      <c r="X387" s="120" t="str">
        <f t="shared" si="220"/>
        <v>ok</v>
      </c>
    </row>
    <row r="388" spans="1:24" x14ac:dyDescent="0.2">
      <c r="A388" s="26"/>
      <c r="F388" s="25"/>
    </row>
    <row r="389" spans="1:24" x14ac:dyDescent="0.2">
      <c r="A389" s="26" t="s">
        <v>186</v>
      </c>
      <c r="C389" s="114" t="s">
        <v>580</v>
      </c>
      <c r="F389" s="30">
        <f>+F361+F387</f>
        <v>15830970.999999985</v>
      </c>
      <c r="G389" s="30">
        <f t="shared" ref="G389:V389" si="222">+G361+G387</f>
        <v>0</v>
      </c>
      <c r="H389" s="30">
        <f t="shared" si="222"/>
        <v>0</v>
      </c>
      <c r="I389" s="30">
        <f t="shared" si="222"/>
        <v>0</v>
      </c>
      <c r="J389" s="30">
        <f t="shared" si="222"/>
        <v>0</v>
      </c>
      <c r="K389" s="30">
        <f t="shared" si="222"/>
        <v>673215.94704917597</v>
      </c>
      <c r="L389" s="30">
        <f t="shared" si="222"/>
        <v>3189401.0529508246</v>
      </c>
      <c r="M389" s="30">
        <f t="shared" si="222"/>
        <v>912592</v>
      </c>
      <c r="N389" s="30">
        <f t="shared" si="222"/>
        <v>1574680.6549423332</v>
      </c>
      <c r="O389" s="30">
        <f t="shared" si="222"/>
        <v>3397581.5343423174</v>
      </c>
      <c r="P389" s="30">
        <f t="shared" si="222"/>
        <v>0</v>
      </c>
      <c r="Q389" s="30">
        <f>+Q361+Q387</f>
        <v>372920.55238771281</v>
      </c>
      <c r="R389" s="30">
        <f>+R361+R387</f>
        <v>0</v>
      </c>
      <c r="S389" s="30">
        <f t="shared" si="222"/>
        <v>3309685.2140828995</v>
      </c>
      <c r="T389" s="30">
        <f t="shared" si="222"/>
        <v>2400894.0442447215</v>
      </c>
      <c r="U389" s="30">
        <f t="shared" si="222"/>
        <v>0</v>
      </c>
      <c r="V389" s="30">
        <f t="shared" si="222"/>
        <v>0</v>
      </c>
      <c r="W389" s="25">
        <f>SUM(G389:V389)</f>
        <v>15830970.999999985</v>
      </c>
      <c r="X389" s="120" t="str">
        <f>IF(ABS(W389-F389)&lt;1,"ok","err")</f>
        <v>ok</v>
      </c>
    </row>
    <row r="390" spans="1:24" x14ac:dyDescent="0.2">
      <c r="A390" s="26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25"/>
      <c r="X390" s="120"/>
    </row>
    <row r="391" spans="1:24" x14ac:dyDescent="0.2">
      <c r="A391" s="26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25"/>
      <c r="X391" s="120"/>
    </row>
    <row r="392" spans="1:24" x14ac:dyDescent="0.2">
      <c r="A392" s="26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25"/>
      <c r="X392" s="120"/>
    </row>
    <row r="393" spans="1:24" x14ac:dyDescent="0.2">
      <c r="A393" s="26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25"/>
      <c r="X393" s="120"/>
    </row>
    <row r="394" spans="1:24" x14ac:dyDescent="0.2">
      <c r="A394" s="26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25"/>
      <c r="X394" s="120"/>
    </row>
    <row r="395" spans="1:24" x14ac:dyDescent="0.2">
      <c r="A395" s="26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25"/>
      <c r="X395" s="120"/>
    </row>
    <row r="396" spans="1:24" x14ac:dyDescent="0.2">
      <c r="A396" s="26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25"/>
      <c r="X396" s="120"/>
    </row>
    <row r="397" spans="1:24" x14ac:dyDescent="0.2">
      <c r="A397" s="26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25"/>
      <c r="X397" s="120"/>
    </row>
    <row r="398" spans="1:24" x14ac:dyDescent="0.2">
      <c r="A398" s="26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25"/>
      <c r="X398" s="120"/>
    </row>
    <row r="399" spans="1:24" x14ac:dyDescent="0.2">
      <c r="A399" s="26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25"/>
      <c r="X399" s="120"/>
    </row>
    <row r="400" spans="1:24" x14ac:dyDescent="0.2">
      <c r="A400" s="187" t="s">
        <v>467</v>
      </c>
      <c r="C400" s="195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25"/>
      <c r="X400" s="120"/>
    </row>
    <row r="401" spans="1:24" x14ac:dyDescent="0.2">
      <c r="A401" s="187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25"/>
      <c r="X401" s="120"/>
    </row>
    <row r="402" spans="1:24" x14ac:dyDescent="0.2">
      <c r="A402" s="187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25"/>
      <c r="X402" s="120"/>
    </row>
    <row r="403" spans="1:24" x14ac:dyDescent="0.2">
      <c r="A403" s="117" t="s">
        <v>701</v>
      </c>
      <c r="F403" s="31"/>
      <c r="G403" s="23"/>
      <c r="H403" s="23"/>
      <c r="I403" s="23"/>
      <c r="J403" s="23"/>
      <c r="K403" s="23"/>
      <c r="L403" s="23"/>
      <c r="M403" s="23"/>
      <c r="N403" s="23"/>
    </row>
    <row r="404" spans="1:24" x14ac:dyDescent="0.2">
      <c r="A404" s="26"/>
      <c r="F404" s="31"/>
      <c r="G404" s="23"/>
      <c r="H404" s="23"/>
      <c r="I404" s="23"/>
      <c r="J404" s="23"/>
      <c r="K404" s="23"/>
      <c r="L404" s="23"/>
      <c r="M404" s="23"/>
      <c r="N404" s="23"/>
    </row>
    <row r="405" spans="1:24" x14ac:dyDescent="0.2">
      <c r="A405" s="26">
        <v>885</v>
      </c>
      <c r="B405" s="23" t="s">
        <v>442</v>
      </c>
      <c r="C405" s="114" t="s">
        <v>127</v>
      </c>
      <c r="D405" s="114" t="s">
        <v>641</v>
      </c>
      <c r="F405" s="25">
        <v>0</v>
      </c>
      <c r="G405" s="25">
        <f t="shared" ref="G405:G414" si="223">(VLOOKUP($D405,$C$6:$AJ$991,5,)/VLOOKUP($D405,$C$6:$AJ$991,4,))*$F405</f>
        <v>0</v>
      </c>
      <c r="H405" s="25">
        <f t="shared" ref="H405:H414" si="224">(VLOOKUP($D405,$C$6:$AJ$991,6,)/VLOOKUP($D405,$C$6:$AJ$991,4,))*$F405</f>
        <v>0</v>
      </c>
      <c r="I405" s="25">
        <f t="shared" ref="I405:I414" si="225">(VLOOKUP($D405,$C$6:$AJ$991,7,)/VLOOKUP($D405,$C$6:$AJ$991,4,))*$F405</f>
        <v>0</v>
      </c>
      <c r="J405" s="25">
        <f t="shared" ref="J405:J414" si="226">(VLOOKUP($D405,$C$6:$AJ$991,8,)/VLOOKUP($D405,$C$6:$AJ$991,4,))*$F405</f>
        <v>0</v>
      </c>
      <c r="K405" s="25">
        <f t="shared" ref="K405:K414" si="227">(VLOOKUP($D405,$C$6:$AJ$991,9,)/VLOOKUP($D405,$C$6:$AJ$991,4,))*$F405</f>
        <v>0</v>
      </c>
      <c r="L405" s="25">
        <f t="shared" ref="L405:L414" si="228">(VLOOKUP($D405,$C$6:$AJ$991,10,)/VLOOKUP($D405,$C$6:$AJ$991,4,))*$F405</f>
        <v>0</v>
      </c>
      <c r="M405" s="25">
        <f t="shared" ref="M405:M414" si="229">(VLOOKUP($D405,$C$6:$AJ$991,11,)/VLOOKUP($D405,$C$6:$AJ$991,4,))*$F405</f>
        <v>0</v>
      </c>
      <c r="N405" s="25">
        <f t="shared" ref="N405:N414" si="230">(VLOOKUP($D405,$C$6:$AJ$991,12,)/VLOOKUP($D405,$C$6:$AJ$991,4,))*$F405</f>
        <v>0</v>
      </c>
      <c r="O405" s="25">
        <f t="shared" ref="O405:O414" si="231">(VLOOKUP($D405,$C$6:$AJ$991,13,)/VLOOKUP($D405,$C$6:$AJ$991,4,))*$F405</f>
        <v>0</v>
      </c>
      <c r="P405" s="25">
        <f t="shared" ref="P405:P414" si="232">(VLOOKUP($D405,$C$6:$AJ$991,14,)/VLOOKUP($D405,$C$6:$AJ$991,4,))*$F405</f>
        <v>0</v>
      </c>
      <c r="Q405" s="25">
        <f t="shared" ref="Q405:Q414" si="233">(VLOOKUP($D405,$C$6:$AJ$991,15,)/VLOOKUP($D405,$C$6:$AJ$991,4,))*$F405</f>
        <v>0</v>
      </c>
      <c r="R405" s="25">
        <f t="shared" ref="R405:R414" si="234">(VLOOKUP($D405,$C$6:$AJ$991,16,)/VLOOKUP($D405,$C$6:$AJ$991,4,))*$F405</f>
        <v>0</v>
      </c>
      <c r="S405" s="25">
        <f t="shared" ref="S405:S414" si="235">(VLOOKUP($D405,$C$6:$AJ$991,17,)/VLOOKUP($D405,$C$6:$AJ$991,4,))*$F405</f>
        <v>0</v>
      </c>
      <c r="T405" s="25">
        <f t="shared" ref="T405:T414" si="236">(VLOOKUP($D405,$C$6:$AJ$991,18,)/VLOOKUP($D405,$C$6:$AJ$991,4,))*$F405</f>
        <v>0</v>
      </c>
      <c r="U405" s="25">
        <f t="shared" ref="U405:U414" si="237">(VLOOKUP($D405,$C$6:$AJ$991,19,)/VLOOKUP($D405,$C$6:$AJ$991,4,))*$F405</f>
        <v>0</v>
      </c>
      <c r="V405" s="25">
        <f t="shared" ref="V405:V414" si="238">(VLOOKUP($D405,$C$6:$AJ$991,20,)/VLOOKUP($D405,$C$6:$AJ$991,4,))*$F405</f>
        <v>0</v>
      </c>
      <c r="W405" s="25">
        <f>SUM(G405:V405)</f>
        <v>0</v>
      </c>
      <c r="X405" s="120" t="str">
        <f>IF(ABS(W405-F405)&lt;1,"ok","err")</f>
        <v>ok</v>
      </c>
    </row>
    <row r="406" spans="1:24" x14ac:dyDescent="0.2">
      <c r="A406" s="26">
        <v>886</v>
      </c>
      <c r="B406" s="23" t="s">
        <v>443</v>
      </c>
      <c r="C406" s="114" t="s">
        <v>128</v>
      </c>
      <c r="D406" s="114" t="s">
        <v>38</v>
      </c>
      <c r="F406" s="25">
        <v>0</v>
      </c>
      <c r="G406" s="25">
        <f t="shared" si="223"/>
        <v>0</v>
      </c>
      <c r="H406" s="25">
        <f t="shared" si="224"/>
        <v>0</v>
      </c>
      <c r="I406" s="25">
        <f t="shared" si="225"/>
        <v>0</v>
      </c>
      <c r="J406" s="25">
        <f t="shared" si="226"/>
        <v>0</v>
      </c>
      <c r="K406" s="25">
        <f t="shared" si="227"/>
        <v>0</v>
      </c>
      <c r="L406" s="25">
        <f t="shared" si="228"/>
        <v>0</v>
      </c>
      <c r="M406" s="25">
        <f t="shared" si="229"/>
        <v>0</v>
      </c>
      <c r="N406" s="25">
        <f t="shared" si="230"/>
        <v>0</v>
      </c>
      <c r="O406" s="25">
        <f t="shared" si="231"/>
        <v>0</v>
      </c>
      <c r="P406" s="25">
        <f t="shared" si="232"/>
        <v>0</v>
      </c>
      <c r="Q406" s="25">
        <f t="shared" si="233"/>
        <v>0</v>
      </c>
      <c r="R406" s="25">
        <f t="shared" si="234"/>
        <v>0</v>
      </c>
      <c r="S406" s="25">
        <f t="shared" si="235"/>
        <v>0</v>
      </c>
      <c r="T406" s="25">
        <f t="shared" si="236"/>
        <v>0</v>
      </c>
      <c r="U406" s="25">
        <f t="shared" si="237"/>
        <v>0</v>
      </c>
      <c r="V406" s="25">
        <f t="shared" si="238"/>
        <v>0</v>
      </c>
      <c r="W406" s="25">
        <f t="shared" ref="W406:W414" si="239">SUM(G406:V406)</f>
        <v>0</v>
      </c>
      <c r="X406" s="120" t="str">
        <f t="shared" ref="X406:X414" si="240">IF(ABS(W406-F406)&lt;1,"ok","err")</f>
        <v>ok</v>
      </c>
    </row>
    <row r="407" spans="1:24" x14ac:dyDescent="0.2">
      <c r="A407" s="26">
        <v>887</v>
      </c>
      <c r="B407" s="23" t="s">
        <v>444</v>
      </c>
      <c r="C407" s="114" t="s">
        <v>129</v>
      </c>
      <c r="D407" s="114" t="s">
        <v>40</v>
      </c>
      <c r="F407" s="25">
        <v>10017231.999999998</v>
      </c>
      <c r="G407" s="25">
        <f t="shared" si="223"/>
        <v>0</v>
      </c>
      <c r="H407" s="25">
        <f t="shared" si="224"/>
        <v>0</v>
      </c>
      <c r="I407" s="25">
        <f t="shared" si="225"/>
        <v>0</v>
      </c>
      <c r="J407" s="25">
        <f t="shared" si="226"/>
        <v>0</v>
      </c>
      <c r="K407" s="25">
        <f t="shared" si="227"/>
        <v>0</v>
      </c>
      <c r="L407" s="25">
        <f t="shared" si="228"/>
        <v>0</v>
      </c>
      <c r="M407" s="25">
        <f t="shared" si="229"/>
        <v>0</v>
      </c>
      <c r="N407" s="25">
        <f t="shared" si="230"/>
        <v>0</v>
      </c>
      <c r="O407" s="25">
        <f t="shared" si="231"/>
        <v>9026480.21020969</v>
      </c>
      <c r="P407" s="25">
        <f t="shared" si="232"/>
        <v>0</v>
      </c>
      <c r="Q407" s="25">
        <f t="shared" si="233"/>
        <v>990751.78979030892</v>
      </c>
      <c r="R407" s="25">
        <f t="shared" si="234"/>
        <v>0</v>
      </c>
      <c r="S407" s="25">
        <f t="shared" si="235"/>
        <v>0</v>
      </c>
      <c r="T407" s="25">
        <f t="shared" si="236"/>
        <v>0</v>
      </c>
      <c r="U407" s="25">
        <f t="shared" si="237"/>
        <v>0</v>
      </c>
      <c r="V407" s="25">
        <f t="shared" si="238"/>
        <v>0</v>
      </c>
      <c r="W407" s="25">
        <f t="shared" si="239"/>
        <v>10017231.999999998</v>
      </c>
      <c r="X407" s="120" t="str">
        <f t="shared" si="240"/>
        <v>ok</v>
      </c>
    </row>
    <row r="408" spans="1:24" x14ac:dyDescent="0.2">
      <c r="A408" s="26">
        <v>888</v>
      </c>
      <c r="B408" s="23" t="s">
        <v>445</v>
      </c>
      <c r="C408" s="114" t="s">
        <v>130</v>
      </c>
      <c r="D408" s="114" t="s">
        <v>35</v>
      </c>
      <c r="F408" s="25">
        <v>0</v>
      </c>
      <c r="G408" s="25">
        <f t="shared" si="223"/>
        <v>0</v>
      </c>
      <c r="H408" s="25">
        <f t="shared" si="224"/>
        <v>0</v>
      </c>
      <c r="I408" s="25">
        <f t="shared" si="225"/>
        <v>0</v>
      </c>
      <c r="J408" s="25">
        <f t="shared" si="226"/>
        <v>0</v>
      </c>
      <c r="K408" s="25">
        <f t="shared" si="227"/>
        <v>0</v>
      </c>
      <c r="L408" s="25">
        <f t="shared" si="228"/>
        <v>0</v>
      </c>
      <c r="M408" s="25">
        <f t="shared" si="229"/>
        <v>0</v>
      </c>
      <c r="N408" s="25">
        <f t="shared" si="230"/>
        <v>0</v>
      </c>
      <c r="O408" s="25">
        <f t="shared" si="231"/>
        <v>0</v>
      </c>
      <c r="P408" s="25">
        <f t="shared" si="232"/>
        <v>0</v>
      </c>
      <c r="Q408" s="25">
        <f t="shared" si="233"/>
        <v>0</v>
      </c>
      <c r="R408" s="25">
        <f t="shared" si="234"/>
        <v>0</v>
      </c>
      <c r="S408" s="25">
        <f t="shared" si="235"/>
        <v>0</v>
      </c>
      <c r="T408" s="25">
        <f t="shared" si="236"/>
        <v>0</v>
      </c>
      <c r="U408" s="25">
        <f t="shared" si="237"/>
        <v>0</v>
      </c>
      <c r="V408" s="25">
        <f t="shared" si="238"/>
        <v>0</v>
      </c>
      <c r="W408" s="25">
        <f t="shared" si="239"/>
        <v>0</v>
      </c>
      <c r="X408" s="120" t="str">
        <f t="shared" si="240"/>
        <v>ok</v>
      </c>
    </row>
    <row r="409" spans="1:24" x14ac:dyDescent="0.2">
      <c r="A409" s="26">
        <v>889</v>
      </c>
      <c r="B409" s="23" t="s">
        <v>446</v>
      </c>
      <c r="C409" s="114" t="s">
        <v>131</v>
      </c>
      <c r="D409" s="114" t="s">
        <v>38</v>
      </c>
      <c r="F409" s="25">
        <f>166.69*1000</f>
        <v>166690</v>
      </c>
      <c r="G409" s="25">
        <f t="shared" si="223"/>
        <v>0</v>
      </c>
      <c r="H409" s="25">
        <f t="shared" si="224"/>
        <v>0</v>
      </c>
      <c r="I409" s="25">
        <f t="shared" si="225"/>
        <v>0</v>
      </c>
      <c r="J409" s="25">
        <f t="shared" si="226"/>
        <v>0</v>
      </c>
      <c r="K409" s="25">
        <f t="shared" si="227"/>
        <v>0</v>
      </c>
      <c r="L409" s="25">
        <f t="shared" si="228"/>
        <v>0</v>
      </c>
      <c r="M409" s="25">
        <f t="shared" si="229"/>
        <v>0</v>
      </c>
      <c r="N409" s="25">
        <f t="shared" si="230"/>
        <v>166690</v>
      </c>
      <c r="O409" s="25">
        <f t="shared" si="231"/>
        <v>0</v>
      </c>
      <c r="P409" s="25">
        <f t="shared" si="232"/>
        <v>0</v>
      </c>
      <c r="Q409" s="25">
        <f t="shared" si="233"/>
        <v>0</v>
      </c>
      <c r="R409" s="25">
        <f t="shared" si="234"/>
        <v>0</v>
      </c>
      <c r="S409" s="25">
        <f t="shared" si="235"/>
        <v>0</v>
      </c>
      <c r="T409" s="25">
        <f t="shared" si="236"/>
        <v>0</v>
      </c>
      <c r="U409" s="25">
        <f t="shared" si="237"/>
        <v>0</v>
      </c>
      <c r="V409" s="25">
        <f t="shared" si="238"/>
        <v>0</v>
      </c>
      <c r="W409" s="25">
        <f t="shared" si="239"/>
        <v>166690</v>
      </c>
      <c r="X409" s="120" t="str">
        <f t="shared" si="240"/>
        <v>ok</v>
      </c>
    </row>
    <row r="410" spans="1:24" x14ac:dyDescent="0.2">
      <c r="A410" s="26">
        <v>890</v>
      </c>
      <c r="B410" s="23" t="s">
        <v>447</v>
      </c>
      <c r="C410" s="114" t="s">
        <v>132</v>
      </c>
      <c r="D410" s="114" t="s">
        <v>45</v>
      </c>
      <c r="F410" s="25">
        <f>286.414*1000</f>
        <v>286414</v>
      </c>
      <c r="G410" s="25">
        <f t="shared" si="223"/>
        <v>0</v>
      </c>
      <c r="H410" s="25">
        <f t="shared" si="224"/>
        <v>0</v>
      </c>
      <c r="I410" s="25">
        <f t="shared" si="225"/>
        <v>0</v>
      </c>
      <c r="J410" s="25">
        <f t="shared" si="226"/>
        <v>0</v>
      </c>
      <c r="K410" s="25">
        <f t="shared" si="227"/>
        <v>0</v>
      </c>
      <c r="L410" s="25">
        <f t="shared" si="228"/>
        <v>0</v>
      </c>
      <c r="M410" s="25">
        <f t="shared" si="229"/>
        <v>0</v>
      </c>
      <c r="N410" s="25">
        <f t="shared" si="230"/>
        <v>0</v>
      </c>
      <c r="O410" s="25">
        <f t="shared" si="231"/>
        <v>0</v>
      </c>
      <c r="P410" s="25">
        <f t="shared" si="232"/>
        <v>0</v>
      </c>
      <c r="Q410" s="25">
        <f t="shared" si="233"/>
        <v>0</v>
      </c>
      <c r="R410" s="25">
        <f t="shared" si="234"/>
        <v>0</v>
      </c>
      <c r="S410" s="25">
        <f t="shared" si="235"/>
        <v>0</v>
      </c>
      <c r="T410" s="25">
        <f t="shared" si="236"/>
        <v>286414</v>
      </c>
      <c r="U410" s="25">
        <f t="shared" si="237"/>
        <v>0</v>
      </c>
      <c r="V410" s="25">
        <f t="shared" si="238"/>
        <v>0</v>
      </c>
      <c r="W410" s="25">
        <f t="shared" si="239"/>
        <v>286414</v>
      </c>
      <c r="X410" s="120" t="str">
        <f t="shared" si="240"/>
        <v>ok</v>
      </c>
    </row>
    <row r="411" spans="1:24" x14ac:dyDescent="0.2">
      <c r="A411" s="26">
        <v>891</v>
      </c>
      <c r="B411" s="23" t="s">
        <v>448</v>
      </c>
      <c r="C411" s="114" t="s">
        <v>133</v>
      </c>
      <c r="D411" s="114" t="s">
        <v>38</v>
      </c>
      <c r="F411" s="25">
        <f>415.356999999999*1000</f>
        <v>415356.99999999901</v>
      </c>
      <c r="G411" s="25">
        <f t="shared" si="223"/>
        <v>0</v>
      </c>
      <c r="H411" s="25">
        <f t="shared" si="224"/>
        <v>0</v>
      </c>
      <c r="I411" s="25">
        <f t="shared" si="225"/>
        <v>0</v>
      </c>
      <c r="J411" s="25">
        <f t="shared" si="226"/>
        <v>0</v>
      </c>
      <c r="K411" s="25">
        <f t="shared" si="227"/>
        <v>0</v>
      </c>
      <c r="L411" s="25">
        <f t="shared" si="228"/>
        <v>0</v>
      </c>
      <c r="M411" s="25">
        <f t="shared" si="229"/>
        <v>0</v>
      </c>
      <c r="N411" s="25">
        <f t="shared" si="230"/>
        <v>415356.99999999901</v>
      </c>
      <c r="O411" s="25">
        <f t="shared" si="231"/>
        <v>0</v>
      </c>
      <c r="P411" s="25">
        <f t="shared" si="232"/>
        <v>0</v>
      </c>
      <c r="Q411" s="25">
        <f t="shared" si="233"/>
        <v>0</v>
      </c>
      <c r="R411" s="25">
        <f t="shared" si="234"/>
        <v>0</v>
      </c>
      <c r="S411" s="25">
        <f t="shared" si="235"/>
        <v>0</v>
      </c>
      <c r="T411" s="25">
        <f t="shared" si="236"/>
        <v>0</v>
      </c>
      <c r="U411" s="25">
        <f t="shared" si="237"/>
        <v>0</v>
      </c>
      <c r="V411" s="25">
        <f t="shared" si="238"/>
        <v>0</v>
      </c>
      <c r="W411" s="25">
        <f t="shared" si="239"/>
        <v>415356.99999999901</v>
      </c>
      <c r="X411" s="120" t="str">
        <f t="shared" si="240"/>
        <v>ok</v>
      </c>
    </row>
    <row r="412" spans="1:24" x14ac:dyDescent="0.2">
      <c r="A412" s="26">
        <v>892</v>
      </c>
      <c r="B412" s="23" t="s">
        <v>449</v>
      </c>
      <c r="C412" s="114" t="s">
        <v>134</v>
      </c>
      <c r="D412" s="114" t="s">
        <v>42</v>
      </c>
      <c r="F412" s="196">
        <v>1072829</v>
      </c>
      <c r="G412" s="25">
        <f t="shared" si="223"/>
        <v>0</v>
      </c>
      <c r="H412" s="25">
        <f t="shared" si="224"/>
        <v>0</v>
      </c>
      <c r="I412" s="25">
        <f t="shared" si="225"/>
        <v>0</v>
      </c>
      <c r="J412" s="25">
        <f t="shared" si="226"/>
        <v>0</v>
      </c>
      <c r="K412" s="25">
        <f t="shared" si="227"/>
        <v>0</v>
      </c>
      <c r="L412" s="25">
        <f t="shared" si="228"/>
        <v>0</v>
      </c>
      <c r="M412" s="25">
        <f t="shared" si="229"/>
        <v>0</v>
      </c>
      <c r="N412" s="25">
        <f t="shared" si="230"/>
        <v>0</v>
      </c>
      <c r="O412" s="25">
        <f t="shared" si="231"/>
        <v>0</v>
      </c>
      <c r="P412" s="25">
        <f t="shared" si="232"/>
        <v>0</v>
      </c>
      <c r="Q412" s="25">
        <f t="shared" si="233"/>
        <v>0</v>
      </c>
      <c r="R412" s="25">
        <f t="shared" si="234"/>
        <v>0</v>
      </c>
      <c r="S412" s="25">
        <f t="shared" si="235"/>
        <v>1072829</v>
      </c>
      <c r="T412" s="25">
        <f t="shared" si="236"/>
        <v>0</v>
      </c>
      <c r="U412" s="25">
        <f t="shared" si="237"/>
        <v>0</v>
      </c>
      <c r="V412" s="25">
        <f t="shared" si="238"/>
        <v>0</v>
      </c>
      <c r="W412" s="25">
        <f t="shared" si="239"/>
        <v>1072829</v>
      </c>
      <c r="X412" s="120" t="str">
        <f t="shared" si="240"/>
        <v>ok</v>
      </c>
    </row>
    <row r="413" spans="1:24" x14ac:dyDescent="0.2">
      <c r="A413" s="26">
        <v>893</v>
      </c>
      <c r="B413" s="23" t="s">
        <v>450</v>
      </c>
      <c r="C413" s="114" t="s">
        <v>135</v>
      </c>
      <c r="D413" s="114" t="s">
        <v>45</v>
      </c>
      <c r="F413" s="25">
        <f>15.1979999999999*1000</f>
        <v>15197.9999999999</v>
      </c>
      <c r="G413" s="25">
        <f t="shared" si="223"/>
        <v>0</v>
      </c>
      <c r="H413" s="25">
        <f t="shared" si="224"/>
        <v>0</v>
      </c>
      <c r="I413" s="25">
        <f t="shared" si="225"/>
        <v>0</v>
      </c>
      <c r="J413" s="25">
        <f t="shared" si="226"/>
        <v>0</v>
      </c>
      <c r="K413" s="25">
        <f t="shared" si="227"/>
        <v>0</v>
      </c>
      <c r="L413" s="25">
        <f t="shared" si="228"/>
        <v>0</v>
      </c>
      <c r="M413" s="25">
        <f t="shared" si="229"/>
        <v>0</v>
      </c>
      <c r="N413" s="25">
        <f t="shared" si="230"/>
        <v>0</v>
      </c>
      <c r="O413" s="25">
        <f t="shared" si="231"/>
        <v>0</v>
      </c>
      <c r="P413" s="25">
        <f t="shared" si="232"/>
        <v>0</v>
      </c>
      <c r="Q413" s="25">
        <f t="shared" si="233"/>
        <v>0</v>
      </c>
      <c r="R413" s="25">
        <f t="shared" si="234"/>
        <v>0</v>
      </c>
      <c r="S413" s="25">
        <f t="shared" si="235"/>
        <v>0</v>
      </c>
      <c r="T413" s="25">
        <f t="shared" si="236"/>
        <v>15197.9999999999</v>
      </c>
      <c r="U413" s="25">
        <f t="shared" si="237"/>
        <v>0</v>
      </c>
      <c r="V413" s="25">
        <f t="shared" si="238"/>
        <v>0</v>
      </c>
      <c r="W413" s="25">
        <f t="shared" si="239"/>
        <v>15197.9999999999</v>
      </c>
      <c r="X413" s="120" t="str">
        <f t="shared" si="240"/>
        <v>ok</v>
      </c>
    </row>
    <row r="414" spans="1:24" x14ac:dyDescent="0.2">
      <c r="A414" s="26">
        <v>894</v>
      </c>
      <c r="B414" s="23" t="s">
        <v>451</v>
      </c>
      <c r="C414" s="114" t="s">
        <v>136</v>
      </c>
      <c r="D414" s="114" t="s">
        <v>200</v>
      </c>
      <c r="F414" s="25">
        <f>561.398*1000</f>
        <v>561398</v>
      </c>
      <c r="G414" s="25">
        <f t="shared" si="223"/>
        <v>0</v>
      </c>
      <c r="H414" s="25">
        <f t="shared" si="224"/>
        <v>0</v>
      </c>
      <c r="I414" s="25">
        <f t="shared" si="225"/>
        <v>0</v>
      </c>
      <c r="J414" s="25">
        <f t="shared" si="226"/>
        <v>0</v>
      </c>
      <c r="K414" s="25">
        <f t="shared" si="227"/>
        <v>0</v>
      </c>
      <c r="L414" s="25">
        <f t="shared" si="228"/>
        <v>0</v>
      </c>
      <c r="M414" s="25">
        <f t="shared" si="229"/>
        <v>0</v>
      </c>
      <c r="N414" s="25">
        <f t="shared" si="230"/>
        <v>22772.9403311551</v>
      </c>
      <c r="O414" s="25">
        <f t="shared" si="231"/>
        <v>233195.89739222181</v>
      </c>
      <c r="P414" s="25">
        <f t="shared" si="232"/>
        <v>0</v>
      </c>
      <c r="Q414" s="25">
        <f t="shared" si="233"/>
        <v>25595.719187616087</v>
      </c>
      <c r="R414" s="25">
        <f t="shared" si="234"/>
        <v>0</v>
      </c>
      <c r="S414" s="25">
        <f t="shared" si="235"/>
        <v>227163.05871765656</v>
      </c>
      <c r="T414" s="25">
        <f t="shared" si="236"/>
        <v>52670.384371350425</v>
      </c>
      <c r="U414" s="25">
        <f t="shared" si="237"/>
        <v>0</v>
      </c>
      <c r="V414" s="25">
        <f t="shared" si="238"/>
        <v>0</v>
      </c>
      <c r="W414" s="25">
        <f t="shared" si="239"/>
        <v>561398</v>
      </c>
      <c r="X414" s="120" t="str">
        <f t="shared" si="240"/>
        <v>ok</v>
      </c>
    </row>
    <row r="415" spans="1:24" x14ac:dyDescent="0.2">
      <c r="F415" s="31"/>
      <c r="G415" s="23"/>
      <c r="H415" s="23"/>
      <c r="I415" s="23"/>
      <c r="J415" s="23"/>
      <c r="K415" s="23"/>
      <c r="L415" s="23"/>
      <c r="M415" s="23"/>
      <c r="N415" s="23"/>
    </row>
    <row r="416" spans="1:24" x14ac:dyDescent="0.2">
      <c r="A416" s="26" t="s">
        <v>461</v>
      </c>
      <c r="C416" s="114" t="s">
        <v>560</v>
      </c>
      <c r="F416" s="31">
        <f>SUM(F405:F414)</f>
        <v>12535117.999999996</v>
      </c>
      <c r="G416" s="31">
        <f t="shared" ref="G416:W416" si="241">SUM(G405:G414)</f>
        <v>0</v>
      </c>
      <c r="H416" s="31">
        <f t="shared" si="241"/>
        <v>0</v>
      </c>
      <c r="I416" s="31">
        <f t="shared" si="241"/>
        <v>0</v>
      </c>
      <c r="J416" s="31">
        <f t="shared" si="241"/>
        <v>0</v>
      </c>
      <c r="K416" s="31">
        <f t="shared" si="241"/>
        <v>0</v>
      </c>
      <c r="L416" s="31">
        <f t="shared" si="241"/>
        <v>0</v>
      </c>
      <c r="M416" s="31">
        <f t="shared" si="241"/>
        <v>0</v>
      </c>
      <c r="N416" s="31">
        <f t="shared" si="241"/>
        <v>604819.94033115415</v>
      </c>
      <c r="O416" s="31">
        <f t="shared" si="241"/>
        <v>9259676.1076019127</v>
      </c>
      <c r="P416" s="31">
        <f t="shared" si="241"/>
        <v>0</v>
      </c>
      <c r="Q416" s="31">
        <f>SUM(Q405:Q414)</f>
        <v>1016347.5089779251</v>
      </c>
      <c r="R416" s="31">
        <f>SUM(R405:R414)</f>
        <v>0</v>
      </c>
      <c r="S416" s="31">
        <f t="shared" si="241"/>
        <v>1299992.0587176566</v>
      </c>
      <c r="T416" s="31">
        <f t="shared" si="241"/>
        <v>354282.38437135029</v>
      </c>
      <c r="U416" s="31">
        <f t="shared" si="241"/>
        <v>0</v>
      </c>
      <c r="V416" s="31">
        <f t="shared" si="241"/>
        <v>0</v>
      </c>
      <c r="W416" s="31">
        <f t="shared" si="241"/>
        <v>12535117.999999996</v>
      </c>
    </row>
    <row r="417" spans="1:24" x14ac:dyDescent="0.2">
      <c r="A417" s="26"/>
      <c r="F417" s="31"/>
    </row>
    <row r="418" spans="1:24" x14ac:dyDescent="0.2">
      <c r="A418" s="26" t="s">
        <v>586</v>
      </c>
      <c r="C418" s="114" t="s">
        <v>581</v>
      </c>
      <c r="F418" s="30">
        <f t="shared" ref="F418:V418" si="242">F361+F387+F416</f>
        <v>28366088.999999981</v>
      </c>
      <c r="G418" s="30">
        <f t="shared" si="242"/>
        <v>0</v>
      </c>
      <c r="H418" s="30">
        <f t="shared" si="242"/>
        <v>0</v>
      </c>
      <c r="I418" s="30">
        <f t="shared" si="242"/>
        <v>0</v>
      </c>
      <c r="J418" s="30">
        <f t="shared" si="242"/>
        <v>0</v>
      </c>
      <c r="K418" s="30">
        <f t="shared" si="242"/>
        <v>673215.94704917597</v>
      </c>
      <c r="L418" s="30">
        <f t="shared" si="242"/>
        <v>3189401.0529508246</v>
      </c>
      <c r="M418" s="30">
        <f t="shared" si="242"/>
        <v>912592</v>
      </c>
      <c r="N418" s="30">
        <f t="shared" si="242"/>
        <v>2179500.5952734873</v>
      </c>
      <c r="O418" s="30">
        <f t="shared" si="242"/>
        <v>12657257.64194423</v>
      </c>
      <c r="P418" s="30">
        <f t="shared" si="242"/>
        <v>0</v>
      </c>
      <c r="Q418" s="30">
        <f>Q361+Q387+Q416</f>
        <v>1389268.0613656379</v>
      </c>
      <c r="R418" s="30">
        <f>R361+R387+R416</f>
        <v>0</v>
      </c>
      <c r="S418" s="30">
        <f t="shared" si="242"/>
        <v>4609677.2728005564</v>
      </c>
      <c r="T418" s="30">
        <f t="shared" si="242"/>
        <v>2755176.4286160721</v>
      </c>
      <c r="U418" s="30">
        <f t="shared" si="242"/>
        <v>0</v>
      </c>
      <c r="V418" s="30">
        <f t="shared" si="242"/>
        <v>0</v>
      </c>
      <c r="W418" s="25">
        <f>W387+W416</f>
        <v>24503471.999999981</v>
      </c>
    </row>
    <row r="419" spans="1:24" x14ac:dyDescent="0.2">
      <c r="A419" s="26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25"/>
      <c r="X419" s="120"/>
    </row>
    <row r="420" spans="1:24" x14ac:dyDescent="0.2">
      <c r="A420" s="26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25"/>
      <c r="X420" s="120"/>
    </row>
    <row r="421" spans="1:24" x14ac:dyDescent="0.2">
      <c r="A421" s="13" t="s">
        <v>462</v>
      </c>
      <c r="F421" s="25"/>
    </row>
    <row r="422" spans="1:24" x14ac:dyDescent="0.2">
      <c r="A422" s="26">
        <v>901</v>
      </c>
      <c r="B422" s="23" t="s">
        <v>137</v>
      </c>
      <c r="C422" s="114" t="s">
        <v>138</v>
      </c>
      <c r="D422" s="114" t="s">
        <v>48</v>
      </c>
      <c r="F422" s="25">
        <v>1016772.1944566141</v>
      </c>
      <c r="G422" s="25">
        <f>(VLOOKUP($D422,$C$6:$AJ$991,5,)/VLOOKUP($D422,$C$6:$AJ$991,4,))*$F422</f>
        <v>0</v>
      </c>
      <c r="H422" s="25">
        <f>(VLOOKUP($D422,$C$6:$AJ$991,6,)/VLOOKUP($D422,$C$6:$AJ$991,4,))*$F422</f>
        <v>0</v>
      </c>
      <c r="I422" s="25">
        <f>(VLOOKUP($D422,$C$6:$AJ$991,7,)/VLOOKUP($D422,$C$6:$AJ$991,4,))*$F422</f>
        <v>0</v>
      </c>
      <c r="J422" s="25">
        <f>(VLOOKUP($D422,$C$6:$AJ$991,8,)/VLOOKUP($D422,$C$6:$AJ$991,4,))*$F422</f>
        <v>0</v>
      </c>
      <c r="K422" s="25">
        <f>(VLOOKUP($D422,$C$6:$AJ$991,9,)/VLOOKUP($D422,$C$6:$AJ$991,4,))*$F422</f>
        <v>0</v>
      </c>
      <c r="L422" s="25">
        <f>(VLOOKUP($D422,$C$6:$AJ$991,10,)/VLOOKUP($D422,$C$6:$AJ$991,4,))*$F422</f>
        <v>0</v>
      </c>
      <c r="M422" s="25">
        <f>(VLOOKUP($D422,$C$6:$AJ$991,11,)/VLOOKUP($D422,$C$6:$AJ$991,4,))*$F422</f>
        <v>0</v>
      </c>
      <c r="N422" s="25">
        <f>(VLOOKUP($D422,$C$6:$AJ$991,12,)/VLOOKUP($D422,$C$6:$AJ$991,4,))*$F422</f>
        <v>0</v>
      </c>
      <c r="O422" s="25">
        <f>(VLOOKUP($D422,$C$6:$AJ$991,13,)/VLOOKUP($D422,$C$6:$AJ$991,4,))*$F422</f>
        <v>0</v>
      </c>
      <c r="P422" s="25">
        <f>(VLOOKUP($D422,$C$6:$AJ$991,14,)/VLOOKUP($D422,$C$6:$AJ$991,4,))*$F422</f>
        <v>0</v>
      </c>
      <c r="Q422" s="25">
        <f>(VLOOKUP($D422,$C$6:$AJ$991,15,)/VLOOKUP($D422,$C$6:$AJ$991,4,))*$F422</f>
        <v>0</v>
      </c>
      <c r="R422" s="25">
        <f>(VLOOKUP($D422,$C$6:$AJ$991,16,)/VLOOKUP($D422,$C$6:$AJ$991,4,))*$F422</f>
        <v>0</v>
      </c>
      <c r="S422" s="25">
        <f>(VLOOKUP($D422,$C$6:$AJ$991,17,)/VLOOKUP($D422,$C$6:$AJ$991,4,))*$F422</f>
        <v>0</v>
      </c>
      <c r="T422" s="25">
        <f>(VLOOKUP($D422,$C$6:$AJ$991,18,)/VLOOKUP($D422,$C$6:$AJ$991,4,))*$F422</f>
        <v>0</v>
      </c>
      <c r="U422" s="25">
        <f>(VLOOKUP($D422,$C$6:$AJ$991,19,)/VLOOKUP($D422,$C$6:$AJ$991,4,))*$F422</f>
        <v>1016772.1944566141</v>
      </c>
      <c r="V422" s="25">
        <f>(VLOOKUP($D422,$C$6:$AJ$991,20,)/VLOOKUP($D422,$C$6:$AJ$991,4,))*$F422</f>
        <v>0</v>
      </c>
      <c r="W422" s="25">
        <f>SUM(G422:V422)</f>
        <v>1016772.1944566141</v>
      </c>
      <c r="X422" s="120" t="str">
        <f>IF(ABS(W422-F422)&lt;1,"ok","err")</f>
        <v>ok</v>
      </c>
    </row>
    <row r="423" spans="1:24" x14ac:dyDescent="0.2">
      <c r="A423" s="26">
        <v>902</v>
      </c>
      <c r="B423" s="23" t="s">
        <v>139</v>
      </c>
      <c r="C423" s="114" t="s">
        <v>140</v>
      </c>
      <c r="D423" s="114" t="s">
        <v>48</v>
      </c>
      <c r="F423" s="25">
        <v>2000722.68</v>
      </c>
      <c r="G423" s="25">
        <f>(VLOOKUP($D423,$C$6:$AJ$991,5,)/VLOOKUP($D423,$C$6:$AJ$991,4,))*$F423</f>
        <v>0</v>
      </c>
      <c r="H423" s="25">
        <f>(VLOOKUP($D423,$C$6:$AJ$991,6,)/VLOOKUP($D423,$C$6:$AJ$991,4,))*$F423</f>
        <v>0</v>
      </c>
      <c r="I423" s="25">
        <f>(VLOOKUP($D423,$C$6:$AJ$991,7,)/VLOOKUP($D423,$C$6:$AJ$991,4,))*$F423</f>
        <v>0</v>
      </c>
      <c r="J423" s="25">
        <f>(VLOOKUP($D423,$C$6:$AJ$991,8,)/VLOOKUP($D423,$C$6:$AJ$991,4,))*$F423</f>
        <v>0</v>
      </c>
      <c r="K423" s="25">
        <f>(VLOOKUP($D423,$C$6:$AJ$991,9,)/VLOOKUP($D423,$C$6:$AJ$991,4,))*$F423</f>
        <v>0</v>
      </c>
      <c r="L423" s="25">
        <f>(VLOOKUP($D423,$C$6:$AJ$991,10,)/VLOOKUP($D423,$C$6:$AJ$991,4,))*$F423</f>
        <v>0</v>
      </c>
      <c r="M423" s="25">
        <f>(VLOOKUP($D423,$C$6:$AJ$991,11,)/VLOOKUP($D423,$C$6:$AJ$991,4,))*$F423</f>
        <v>0</v>
      </c>
      <c r="N423" s="25">
        <f>(VLOOKUP($D423,$C$6:$AJ$991,12,)/VLOOKUP($D423,$C$6:$AJ$991,4,))*$F423</f>
        <v>0</v>
      </c>
      <c r="O423" s="25">
        <f>(VLOOKUP($D423,$C$6:$AJ$991,13,)/VLOOKUP($D423,$C$6:$AJ$991,4,))*$F423</f>
        <v>0</v>
      </c>
      <c r="P423" s="25">
        <f>(VLOOKUP($D423,$C$6:$AJ$991,14,)/VLOOKUP($D423,$C$6:$AJ$991,4,))*$F423</f>
        <v>0</v>
      </c>
      <c r="Q423" s="25">
        <f>(VLOOKUP($D423,$C$6:$AJ$991,15,)/VLOOKUP($D423,$C$6:$AJ$991,4,))*$F423</f>
        <v>0</v>
      </c>
      <c r="R423" s="25">
        <f>(VLOOKUP($D423,$C$6:$AJ$991,16,)/VLOOKUP($D423,$C$6:$AJ$991,4,))*$F423</f>
        <v>0</v>
      </c>
      <c r="S423" s="25">
        <f>(VLOOKUP($D423,$C$6:$AJ$991,17,)/VLOOKUP($D423,$C$6:$AJ$991,4,))*$F423</f>
        <v>0</v>
      </c>
      <c r="T423" s="25">
        <f>(VLOOKUP($D423,$C$6:$AJ$991,18,)/VLOOKUP($D423,$C$6:$AJ$991,4,))*$F423</f>
        <v>0</v>
      </c>
      <c r="U423" s="25">
        <f>(VLOOKUP($D423,$C$6:$AJ$991,19,)/VLOOKUP($D423,$C$6:$AJ$991,4,))*$F423</f>
        <v>2000722.68</v>
      </c>
      <c r="V423" s="25">
        <f>(VLOOKUP($D423,$C$6:$AJ$991,20,)/VLOOKUP($D423,$C$6:$AJ$991,4,))*$F423</f>
        <v>0</v>
      </c>
      <c r="W423" s="25">
        <f>SUM(G423:V423)</f>
        <v>2000722.68</v>
      </c>
      <c r="X423" s="120" t="str">
        <f>IF(ABS(W423-F423)&lt;1,"ok","err")</f>
        <v>ok</v>
      </c>
    </row>
    <row r="424" spans="1:24" x14ac:dyDescent="0.2">
      <c r="A424" s="26">
        <v>903</v>
      </c>
      <c r="B424" s="23" t="s">
        <v>434</v>
      </c>
      <c r="C424" s="114" t="s">
        <v>141</v>
      </c>
      <c r="D424" s="114" t="s">
        <v>48</v>
      </c>
      <c r="F424" s="196">
        <v>5889512.4719878752</v>
      </c>
      <c r="G424" s="25">
        <f>(VLOOKUP($D424,$C$6:$AJ$991,5,)/VLOOKUP($D424,$C$6:$AJ$991,4,))*$F424</f>
        <v>0</v>
      </c>
      <c r="H424" s="25">
        <f>(VLOOKUP($D424,$C$6:$AJ$991,6,)/VLOOKUP($D424,$C$6:$AJ$991,4,))*$F424</f>
        <v>0</v>
      </c>
      <c r="I424" s="25">
        <f>(VLOOKUP($D424,$C$6:$AJ$991,7,)/VLOOKUP($D424,$C$6:$AJ$991,4,))*$F424</f>
        <v>0</v>
      </c>
      <c r="J424" s="25">
        <f>(VLOOKUP($D424,$C$6:$AJ$991,8,)/VLOOKUP($D424,$C$6:$AJ$991,4,))*$F424</f>
        <v>0</v>
      </c>
      <c r="K424" s="25">
        <f>(VLOOKUP($D424,$C$6:$AJ$991,9,)/VLOOKUP($D424,$C$6:$AJ$991,4,))*$F424</f>
        <v>0</v>
      </c>
      <c r="L424" s="25">
        <f>(VLOOKUP($D424,$C$6:$AJ$991,10,)/VLOOKUP($D424,$C$6:$AJ$991,4,))*$F424</f>
        <v>0</v>
      </c>
      <c r="M424" s="25">
        <f>(VLOOKUP($D424,$C$6:$AJ$991,11,)/VLOOKUP($D424,$C$6:$AJ$991,4,))*$F424</f>
        <v>0</v>
      </c>
      <c r="N424" s="25">
        <f>(VLOOKUP($D424,$C$6:$AJ$991,12,)/VLOOKUP($D424,$C$6:$AJ$991,4,))*$F424</f>
        <v>0</v>
      </c>
      <c r="O424" s="25">
        <f>(VLOOKUP($D424,$C$6:$AJ$991,13,)/VLOOKUP($D424,$C$6:$AJ$991,4,))*$F424</f>
        <v>0</v>
      </c>
      <c r="P424" s="25">
        <f>(VLOOKUP($D424,$C$6:$AJ$991,14,)/VLOOKUP($D424,$C$6:$AJ$991,4,))*$F424</f>
        <v>0</v>
      </c>
      <c r="Q424" s="25">
        <f>(VLOOKUP($D424,$C$6:$AJ$991,15,)/VLOOKUP($D424,$C$6:$AJ$991,4,))*$F424</f>
        <v>0</v>
      </c>
      <c r="R424" s="25">
        <f>(VLOOKUP($D424,$C$6:$AJ$991,16,)/VLOOKUP($D424,$C$6:$AJ$991,4,))*$F424</f>
        <v>0</v>
      </c>
      <c r="S424" s="25">
        <f>(VLOOKUP($D424,$C$6:$AJ$991,17,)/VLOOKUP($D424,$C$6:$AJ$991,4,))*$F424</f>
        <v>0</v>
      </c>
      <c r="T424" s="25">
        <f>(VLOOKUP($D424,$C$6:$AJ$991,18,)/VLOOKUP($D424,$C$6:$AJ$991,4,))*$F424</f>
        <v>0</v>
      </c>
      <c r="U424" s="25">
        <f>(VLOOKUP($D424,$C$6:$AJ$991,19,)/VLOOKUP($D424,$C$6:$AJ$991,4,))*$F424</f>
        <v>5889512.4719878752</v>
      </c>
      <c r="V424" s="25">
        <f>(VLOOKUP($D424,$C$6:$AJ$991,20,)/VLOOKUP($D424,$C$6:$AJ$991,4,))*$F424</f>
        <v>0</v>
      </c>
      <c r="W424" s="25">
        <f>SUM(G424:V424)</f>
        <v>5889512.4719878752</v>
      </c>
      <c r="X424" s="120" t="str">
        <f>IF(ABS(W424-F424)&lt;1,"ok","err")</f>
        <v>ok</v>
      </c>
    </row>
    <row r="425" spans="1:24" x14ac:dyDescent="0.2">
      <c r="A425" s="26">
        <v>904</v>
      </c>
      <c r="B425" s="23" t="s">
        <v>142</v>
      </c>
      <c r="C425" s="114" t="s">
        <v>143</v>
      </c>
      <c r="D425" s="114" t="s">
        <v>48</v>
      </c>
      <c r="F425" s="196">
        <v>411866.47660961811</v>
      </c>
      <c r="G425" s="25">
        <f>(VLOOKUP($D425,$C$6:$AJ$991,5,)/VLOOKUP($D425,$C$6:$AJ$991,4,))*$F425</f>
        <v>0</v>
      </c>
      <c r="H425" s="25">
        <f>(VLOOKUP($D425,$C$6:$AJ$991,6,)/VLOOKUP($D425,$C$6:$AJ$991,4,))*$F425</f>
        <v>0</v>
      </c>
      <c r="I425" s="25">
        <f>(VLOOKUP($D425,$C$6:$AJ$991,7,)/VLOOKUP($D425,$C$6:$AJ$991,4,))*$F425</f>
        <v>0</v>
      </c>
      <c r="J425" s="25">
        <f>(VLOOKUP($D425,$C$6:$AJ$991,8,)/VLOOKUP($D425,$C$6:$AJ$991,4,))*$F425</f>
        <v>0</v>
      </c>
      <c r="K425" s="25">
        <f>(VLOOKUP($D425,$C$6:$AJ$991,9,)/VLOOKUP($D425,$C$6:$AJ$991,4,))*$F425</f>
        <v>0</v>
      </c>
      <c r="L425" s="25">
        <f>(VLOOKUP($D425,$C$6:$AJ$991,10,)/VLOOKUP($D425,$C$6:$AJ$991,4,))*$F425</f>
        <v>0</v>
      </c>
      <c r="M425" s="25">
        <f>(VLOOKUP($D425,$C$6:$AJ$991,11,)/VLOOKUP($D425,$C$6:$AJ$991,4,))*$F425</f>
        <v>0</v>
      </c>
      <c r="N425" s="25">
        <f>(VLOOKUP($D425,$C$6:$AJ$991,12,)/VLOOKUP($D425,$C$6:$AJ$991,4,))*$F425</f>
        <v>0</v>
      </c>
      <c r="O425" s="25">
        <f>(VLOOKUP($D425,$C$6:$AJ$991,13,)/VLOOKUP($D425,$C$6:$AJ$991,4,))*$F425</f>
        <v>0</v>
      </c>
      <c r="P425" s="25">
        <f>(VLOOKUP($D425,$C$6:$AJ$991,14,)/VLOOKUP($D425,$C$6:$AJ$991,4,))*$F425</f>
        <v>0</v>
      </c>
      <c r="Q425" s="25">
        <f>(VLOOKUP($D425,$C$6:$AJ$991,15,)/VLOOKUP($D425,$C$6:$AJ$991,4,))*$F425</f>
        <v>0</v>
      </c>
      <c r="R425" s="25">
        <f>(VLOOKUP($D425,$C$6:$AJ$991,16,)/VLOOKUP($D425,$C$6:$AJ$991,4,))*$F425</f>
        <v>0</v>
      </c>
      <c r="S425" s="25">
        <f>(VLOOKUP($D425,$C$6:$AJ$991,17,)/VLOOKUP($D425,$C$6:$AJ$991,4,))*$F425</f>
        <v>0</v>
      </c>
      <c r="T425" s="25">
        <f>(VLOOKUP($D425,$C$6:$AJ$991,18,)/VLOOKUP($D425,$C$6:$AJ$991,4,))*$F425</f>
        <v>0</v>
      </c>
      <c r="U425" s="25">
        <f>(VLOOKUP($D425,$C$6:$AJ$991,19,)/VLOOKUP($D425,$C$6:$AJ$991,4,))*$F425</f>
        <v>411866.47660961811</v>
      </c>
      <c r="V425" s="25">
        <f>(VLOOKUP($D425,$C$6:$AJ$991,20,)/VLOOKUP($D425,$C$6:$AJ$991,4,))*$F425</f>
        <v>0</v>
      </c>
      <c r="W425" s="25">
        <f>SUM(G425:V425)</f>
        <v>411866.47660961811</v>
      </c>
      <c r="X425" s="120" t="str">
        <f>IF(ABS(W425-F425)&lt;1,"ok","err")</f>
        <v>ok</v>
      </c>
    </row>
    <row r="426" spans="1:24" x14ac:dyDescent="0.2">
      <c r="A426" s="26">
        <v>905</v>
      </c>
      <c r="B426" s="23" t="s">
        <v>435</v>
      </c>
      <c r="C426" s="114" t="s">
        <v>145</v>
      </c>
      <c r="D426" s="114" t="s">
        <v>48</v>
      </c>
      <c r="F426" s="25">
        <v>1012.0000000000002</v>
      </c>
      <c r="G426" s="25">
        <f>(VLOOKUP($D426,$C$6:$AJ$991,5,)/VLOOKUP($D426,$C$6:$AJ$991,4,))*$F426</f>
        <v>0</v>
      </c>
      <c r="H426" s="25">
        <f>(VLOOKUP($D426,$C$6:$AJ$991,6,)/VLOOKUP($D426,$C$6:$AJ$991,4,))*$F426</f>
        <v>0</v>
      </c>
      <c r="I426" s="25">
        <f>(VLOOKUP($D426,$C$6:$AJ$991,7,)/VLOOKUP($D426,$C$6:$AJ$991,4,))*$F426</f>
        <v>0</v>
      </c>
      <c r="J426" s="25">
        <f>(VLOOKUP($D426,$C$6:$AJ$991,8,)/VLOOKUP($D426,$C$6:$AJ$991,4,))*$F426</f>
        <v>0</v>
      </c>
      <c r="K426" s="25">
        <f>(VLOOKUP($D426,$C$6:$AJ$991,9,)/VLOOKUP($D426,$C$6:$AJ$991,4,))*$F426</f>
        <v>0</v>
      </c>
      <c r="L426" s="25">
        <f>(VLOOKUP($D426,$C$6:$AJ$991,10,)/VLOOKUP($D426,$C$6:$AJ$991,4,))*$F426</f>
        <v>0</v>
      </c>
      <c r="M426" s="25">
        <f>(VLOOKUP($D426,$C$6:$AJ$991,11,)/VLOOKUP($D426,$C$6:$AJ$991,4,))*$F426</f>
        <v>0</v>
      </c>
      <c r="N426" s="25">
        <f>(VLOOKUP($D426,$C$6:$AJ$991,12,)/VLOOKUP($D426,$C$6:$AJ$991,4,))*$F426</f>
        <v>0</v>
      </c>
      <c r="O426" s="25">
        <f>(VLOOKUP($D426,$C$6:$AJ$991,13,)/VLOOKUP($D426,$C$6:$AJ$991,4,))*$F426</f>
        <v>0</v>
      </c>
      <c r="P426" s="25">
        <f>(VLOOKUP($D426,$C$6:$AJ$991,14,)/VLOOKUP($D426,$C$6:$AJ$991,4,))*$F426</f>
        <v>0</v>
      </c>
      <c r="Q426" s="25">
        <f>(VLOOKUP($D426,$C$6:$AJ$991,15,)/VLOOKUP($D426,$C$6:$AJ$991,4,))*$F426</f>
        <v>0</v>
      </c>
      <c r="R426" s="25">
        <f>(VLOOKUP($D426,$C$6:$AJ$991,16,)/VLOOKUP($D426,$C$6:$AJ$991,4,))*$F426</f>
        <v>0</v>
      </c>
      <c r="S426" s="25">
        <f>(VLOOKUP($D426,$C$6:$AJ$991,17,)/VLOOKUP($D426,$C$6:$AJ$991,4,))*$F426</f>
        <v>0</v>
      </c>
      <c r="T426" s="25">
        <f>(VLOOKUP($D426,$C$6:$AJ$991,18,)/VLOOKUP($D426,$C$6:$AJ$991,4,))*$F426</f>
        <v>0</v>
      </c>
      <c r="U426" s="25">
        <f>(VLOOKUP($D426,$C$6:$AJ$991,19,)/VLOOKUP($D426,$C$6:$AJ$991,4,))*$F426</f>
        <v>1012.0000000000002</v>
      </c>
      <c r="V426" s="25">
        <f>(VLOOKUP($D426,$C$6:$AJ$991,20,)/VLOOKUP($D426,$C$6:$AJ$991,4,))*$F426</f>
        <v>0</v>
      </c>
      <c r="W426" s="25">
        <f>SUM(G426:V426)</f>
        <v>1012.0000000000002</v>
      </c>
      <c r="X426" s="120" t="str">
        <f>IF(ABS(W426-F426)&lt;1,"ok","err")</f>
        <v>ok</v>
      </c>
    </row>
    <row r="427" spans="1:24" x14ac:dyDescent="0.2">
      <c r="A427" s="26"/>
      <c r="F427" s="25"/>
    </row>
    <row r="428" spans="1:24" x14ac:dyDescent="0.2">
      <c r="A428" s="26" t="s">
        <v>468</v>
      </c>
      <c r="C428" s="114" t="s">
        <v>146</v>
      </c>
      <c r="F428" s="30">
        <f>SUM(F422:F426)</f>
        <v>9319885.8230541069</v>
      </c>
      <c r="G428" s="30">
        <f t="shared" ref="G428:V428" si="243">SUM(G422:G426)</f>
        <v>0</v>
      </c>
      <c r="H428" s="30">
        <f t="shared" si="243"/>
        <v>0</v>
      </c>
      <c r="I428" s="30">
        <f t="shared" si="243"/>
        <v>0</v>
      </c>
      <c r="J428" s="30">
        <f t="shared" si="243"/>
        <v>0</v>
      </c>
      <c r="K428" s="30">
        <f t="shared" si="243"/>
        <v>0</v>
      </c>
      <c r="L428" s="30">
        <f t="shared" si="243"/>
        <v>0</v>
      </c>
      <c r="M428" s="30">
        <f t="shared" si="243"/>
        <v>0</v>
      </c>
      <c r="N428" s="30">
        <f t="shared" si="243"/>
        <v>0</v>
      </c>
      <c r="O428" s="30">
        <f t="shared" si="243"/>
        <v>0</v>
      </c>
      <c r="P428" s="30">
        <f t="shared" si="243"/>
        <v>0</v>
      </c>
      <c r="Q428" s="30">
        <f t="shared" si="243"/>
        <v>0</v>
      </c>
      <c r="R428" s="30">
        <f t="shared" si="243"/>
        <v>0</v>
      </c>
      <c r="S428" s="30">
        <f t="shared" si="243"/>
        <v>0</v>
      </c>
      <c r="T428" s="30">
        <f t="shared" si="243"/>
        <v>0</v>
      </c>
      <c r="U428" s="30">
        <f t="shared" si="243"/>
        <v>9319885.8230541069</v>
      </c>
      <c r="V428" s="30">
        <f t="shared" si="243"/>
        <v>0</v>
      </c>
      <c r="W428" s="25">
        <f>SUM(G428:V428)</f>
        <v>9319885.8230541069</v>
      </c>
      <c r="X428" s="120" t="str">
        <f>IF(ABS(W428-F428)&lt;1,"ok","err")</f>
        <v>ok</v>
      </c>
    </row>
    <row r="429" spans="1:24" x14ac:dyDescent="0.2">
      <c r="A429" s="26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25"/>
      <c r="X429" s="120"/>
    </row>
    <row r="430" spans="1:24" x14ac:dyDescent="0.2">
      <c r="A430" s="117" t="s">
        <v>148</v>
      </c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25"/>
      <c r="X430" s="120"/>
    </row>
    <row r="431" spans="1:24" x14ac:dyDescent="0.2">
      <c r="A431" s="26" t="s">
        <v>147</v>
      </c>
      <c r="B431" s="23" t="s">
        <v>13</v>
      </c>
      <c r="C431" s="114" t="s">
        <v>149</v>
      </c>
      <c r="D431" s="114" t="s">
        <v>51</v>
      </c>
      <c r="F431" s="30">
        <v>499125.05999999883</v>
      </c>
      <c r="G431" s="25">
        <f>(VLOOKUP($D431,$C$6:$AJ$991,5,)/VLOOKUP($D431,$C$6:$AJ$991,4,))*$F431</f>
        <v>0</v>
      </c>
      <c r="H431" s="25">
        <f>(VLOOKUP($D431,$C$6:$AJ$991,6,)/VLOOKUP($D431,$C$6:$AJ$991,4,))*$F431</f>
        <v>0</v>
      </c>
      <c r="I431" s="25">
        <f>(VLOOKUP($D431,$C$6:$AJ$991,7,)/VLOOKUP($D431,$C$6:$AJ$991,4,))*$F431</f>
        <v>0</v>
      </c>
      <c r="J431" s="25">
        <f>(VLOOKUP($D431,$C$6:$AJ$991,8,)/VLOOKUP($D431,$C$6:$AJ$991,4,))*$F431</f>
        <v>0</v>
      </c>
      <c r="K431" s="25">
        <f>(VLOOKUP($D431,$C$6:$AJ$991,9,)/VLOOKUP($D431,$C$6:$AJ$991,4,))*$F431</f>
        <v>0</v>
      </c>
      <c r="L431" s="25">
        <f>(VLOOKUP($D431,$C$6:$AJ$991,10,)/VLOOKUP($D431,$C$6:$AJ$991,4,))*$F431</f>
        <v>0</v>
      </c>
      <c r="M431" s="25">
        <f>(VLOOKUP($D431,$C$6:$AJ$991,11,)/VLOOKUP($D431,$C$6:$AJ$991,4,))*$F431</f>
        <v>0</v>
      </c>
      <c r="N431" s="25">
        <f>(VLOOKUP($D431,$C$6:$AJ$991,12,)/VLOOKUP($D431,$C$6:$AJ$991,4,))*$F431</f>
        <v>0</v>
      </c>
      <c r="O431" s="25">
        <f>(VLOOKUP($D431,$C$6:$AJ$991,13,)/VLOOKUP($D431,$C$6:$AJ$991,4,))*$F431</f>
        <v>0</v>
      </c>
      <c r="P431" s="25">
        <f>(VLOOKUP($D431,$C$6:$AJ$991,14,)/VLOOKUP($D431,$C$6:$AJ$991,4,))*$F431</f>
        <v>0</v>
      </c>
      <c r="Q431" s="25">
        <f>(VLOOKUP($D431,$C$6:$AJ$991,15,)/VLOOKUP($D431,$C$6:$AJ$991,4,))*$F431</f>
        <v>0</v>
      </c>
      <c r="R431" s="25">
        <f>(VLOOKUP($D431,$C$6:$AJ$991,16,)/VLOOKUP($D431,$C$6:$AJ$991,4,))*$F431</f>
        <v>0</v>
      </c>
      <c r="S431" s="25">
        <f>(VLOOKUP($D431,$C$6:$AJ$991,17,)/VLOOKUP($D431,$C$6:$AJ$991,4,))*$F431</f>
        <v>0</v>
      </c>
      <c r="T431" s="25">
        <f>(VLOOKUP($D431,$C$6:$AJ$991,18,)/VLOOKUP($D431,$C$6:$AJ$991,4,))*$F431</f>
        <v>0</v>
      </c>
      <c r="U431" s="25">
        <f>(VLOOKUP($D431,$C$6:$AJ$991,19,)/VLOOKUP($D431,$C$6:$AJ$991,4,))*$F431</f>
        <v>0</v>
      </c>
      <c r="V431" s="25">
        <f>(VLOOKUP($D431,$C$6:$AJ$991,20,)/VLOOKUP($D431,$C$6:$AJ$991,4,))*$F431</f>
        <v>499125.05999999883</v>
      </c>
      <c r="W431" s="25">
        <f>SUM(G431:V431)</f>
        <v>499125.05999999883</v>
      </c>
      <c r="X431" s="120" t="str">
        <f>IF(ABS(W431-F431)&lt;1,"ok","err")</f>
        <v>ok</v>
      </c>
    </row>
    <row r="432" spans="1:24" x14ac:dyDescent="0.2">
      <c r="A432" s="26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25"/>
      <c r="X432" s="120"/>
    </row>
    <row r="433" spans="1:24" x14ac:dyDescent="0.2">
      <c r="A433" s="117" t="s">
        <v>151</v>
      </c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25"/>
      <c r="X433" s="120"/>
    </row>
    <row r="434" spans="1:24" x14ac:dyDescent="0.2">
      <c r="A434" s="26" t="s">
        <v>150</v>
      </c>
      <c r="B434" s="23" t="s">
        <v>723</v>
      </c>
      <c r="C434" s="114" t="s">
        <v>152</v>
      </c>
      <c r="D434" s="114" t="s">
        <v>51</v>
      </c>
      <c r="F434" s="30">
        <v>0</v>
      </c>
      <c r="G434" s="25">
        <f>(VLOOKUP($D434,$C$6:$AJ$991,5,)/VLOOKUP($D434,$C$6:$AJ$991,4,))*$F434</f>
        <v>0</v>
      </c>
      <c r="H434" s="25">
        <f>(VLOOKUP($D434,$C$6:$AJ$991,6,)/VLOOKUP($D434,$C$6:$AJ$991,4,))*$F434</f>
        <v>0</v>
      </c>
      <c r="I434" s="25">
        <f>(VLOOKUP($D434,$C$6:$AJ$991,7,)/VLOOKUP($D434,$C$6:$AJ$991,4,))*$F434</f>
        <v>0</v>
      </c>
      <c r="J434" s="25">
        <f>(VLOOKUP($D434,$C$6:$AJ$991,8,)/VLOOKUP($D434,$C$6:$AJ$991,4,))*$F434</f>
        <v>0</v>
      </c>
      <c r="K434" s="25">
        <f>(VLOOKUP($D434,$C$6:$AJ$991,9,)/VLOOKUP($D434,$C$6:$AJ$991,4,))*$F434</f>
        <v>0</v>
      </c>
      <c r="L434" s="25">
        <f>(VLOOKUP($D434,$C$6:$AJ$991,10,)/VLOOKUP($D434,$C$6:$AJ$991,4,))*$F434</f>
        <v>0</v>
      </c>
      <c r="M434" s="25">
        <f>(VLOOKUP($D434,$C$6:$AJ$991,11,)/VLOOKUP($D434,$C$6:$AJ$991,4,))*$F434</f>
        <v>0</v>
      </c>
      <c r="N434" s="25">
        <f>(VLOOKUP($D434,$C$6:$AJ$991,12,)/VLOOKUP($D434,$C$6:$AJ$991,4,))*$F434</f>
        <v>0</v>
      </c>
      <c r="O434" s="25">
        <f>(VLOOKUP($D434,$C$6:$AJ$991,13,)/VLOOKUP($D434,$C$6:$AJ$991,4,))*$F434</f>
        <v>0</v>
      </c>
      <c r="P434" s="25">
        <f>(VLOOKUP($D434,$C$6:$AJ$991,14,)/VLOOKUP($D434,$C$6:$AJ$991,4,))*$F434</f>
        <v>0</v>
      </c>
      <c r="Q434" s="25">
        <f>(VLOOKUP($D434,$C$6:$AJ$991,15,)/VLOOKUP($D434,$C$6:$AJ$991,4,))*$F434</f>
        <v>0</v>
      </c>
      <c r="R434" s="25">
        <f>(VLOOKUP($D434,$C$6:$AJ$991,16,)/VLOOKUP($D434,$C$6:$AJ$991,4,))*$F434</f>
        <v>0</v>
      </c>
      <c r="S434" s="25">
        <f>(VLOOKUP($D434,$C$6:$AJ$991,17,)/VLOOKUP($D434,$C$6:$AJ$991,4,))*$F434</f>
        <v>0</v>
      </c>
      <c r="T434" s="25">
        <f>(VLOOKUP($D434,$C$6:$AJ$991,18,)/VLOOKUP($D434,$C$6:$AJ$991,4,))*$F434</f>
        <v>0</v>
      </c>
      <c r="U434" s="25">
        <f>(VLOOKUP($D434,$C$6:$AJ$991,19,)/VLOOKUP($D434,$C$6:$AJ$991,4,))*$F434</f>
        <v>0</v>
      </c>
      <c r="V434" s="25">
        <f>(VLOOKUP($D434,$C$6:$AJ$991,20,)/VLOOKUP($D434,$C$6:$AJ$991,4,))*$F434</f>
        <v>0</v>
      </c>
      <c r="W434" s="25">
        <f>SUM(G434:V434)</f>
        <v>0</v>
      </c>
      <c r="X434" s="120" t="str">
        <f>IF(ABS(W434-F434)&lt;1,"ok","err")</f>
        <v>ok</v>
      </c>
    </row>
    <row r="435" spans="1:24" x14ac:dyDescent="0.2">
      <c r="A435" s="26"/>
      <c r="F435" s="30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120"/>
    </row>
    <row r="436" spans="1:24" x14ac:dyDescent="0.2">
      <c r="A436" s="26"/>
      <c r="F436" s="30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120"/>
    </row>
    <row r="437" spans="1:24" x14ac:dyDescent="0.2">
      <c r="A437" s="26"/>
      <c r="F437" s="30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120"/>
    </row>
    <row r="438" spans="1:24" x14ac:dyDescent="0.2">
      <c r="A438" s="197"/>
      <c r="F438" s="30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120"/>
    </row>
    <row r="439" spans="1:24" x14ac:dyDescent="0.2">
      <c r="A439" s="26"/>
      <c r="F439" s="30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120"/>
    </row>
    <row r="440" spans="1:24" x14ac:dyDescent="0.2">
      <c r="A440" s="26"/>
      <c r="F440" s="30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120"/>
    </row>
    <row r="441" spans="1:24" x14ac:dyDescent="0.2">
      <c r="A441" s="26"/>
      <c r="F441" s="30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120"/>
    </row>
    <row r="442" spans="1:24" x14ac:dyDescent="0.2">
      <c r="A442" s="26"/>
      <c r="F442" s="30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120"/>
    </row>
    <row r="443" spans="1:24" x14ac:dyDescent="0.2">
      <c r="A443" s="187" t="s">
        <v>467</v>
      </c>
      <c r="F443" s="30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120"/>
    </row>
    <row r="444" spans="1:24" x14ac:dyDescent="0.2">
      <c r="A444" s="26"/>
      <c r="F444" s="30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120"/>
    </row>
    <row r="445" spans="1:24" x14ac:dyDescent="0.2">
      <c r="A445" s="26"/>
      <c r="F445" s="25"/>
    </row>
    <row r="446" spans="1:24" x14ac:dyDescent="0.2">
      <c r="A446" s="117" t="s">
        <v>172</v>
      </c>
      <c r="F446" s="25"/>
    </row>
    <row r="447" spans="1:24" x14ac:dyDescent="0.2">
      <c r="A447" s="26">
        <v>920</v>
      </c>
      <c r="B447" s="23" t="s">
        <v>436</v>
      </c>
      <c r="C447" s="114" t="s">
        <v>153</v>
      </c>
      <c r="D447" s="114" t="s">
        <v>154</v>
      </c>
      <c r="F447" s="30">
        <v>7797586.9179715468</v>
      </c>
      <c r="G447" s="25">
        <f t="shared" ref="G447:G460" si="244">(VLOOKUP($D447,$C$6:$AJ$991,5,)/VLOOKUP($D447,$C$6:$AJ$991,4,))*$F447</f>
        <v>27702.059878871281</v>
      </c>
      <c r="H447" s="25">
        <f t="shared" ref="H447:H460" si="245">(VLOOKUP($D447,$C$6:$AJ$991,6,)/VLOOKUP($D447,$C$6:$AJ$991,4,))*$F447</f>
        <v>208260.97145734067</v>
      </c>
      <c r="I447" s="25">
        <f t="shared" ref="I447:I460" si="246">(VLOOKUP($D447,$C$6:$AJ$991,7,)/VLOOKUP($D447,$C$6:$AJ$991,4,))*$F447</f>
        <v>480781.20784609346</v>
      </c>
      <c r="J447" s="25">
        <f t="shared" ref="J447:J460" si="247">(VLOOKUP($D447,$C$6:$AJ$991,8,)/VLOOKUP($D447,$C$6:$AJ$991,4,))*$F447</f>
        <v>1051898.6358689114</v>
      </c>
      <c r="K447" s="25">
        <f t="shared" ref="K447:K460" si="248">(VLOOKUP($D447,$C$6:$AJ$991,9,)/VLOOKUP($D447,$C$6:$AJ$991,4,))*$F447</f>
        <v>139342.17261658091</v>
      </c>
      <c r="L447" s="25">
        <f t="shared" ref="L447:L460" si="249">(VLOOKUP($D447,$C$6:$AJ$991,10,)/VLOOKUP($D447,$C$6:$AJ$991,4,))*$F447</f>
        <v>660141.92624482757</v>
      </c>
      <c r="M447" s="25">
        <f t="shared" ref="M447:M460" si="250">(VLOOKUP($D447,$C$6:$AJ$991,11,)/VLOOKUP($D447,$C$6:$AJ$991,4,))*$F447</f>
        <v>260271.97295152518</v>
      </c>
      <c r="N447" s="25">
        <f t="shared" ref="N447:N460" si="251">(VLOOKUP($D447,$C$6:$AJ$991,12,)/VLOOKUP($D447,$C$6:$AJ$991,4,))*$F447</f>
        <v>404035.55987368315</v>
      </c>
      <c r="O447" s="25">
        <f t="shared" ref="O447:O460" si="252">(VLOOKUP($D447,$C$6:$AJ$991,13,)/VLOOKUP($D447,$C$6:$AJ$991,4,))*$F447</f>
        <v>1793177.4207572176</v>
      </c>
      <c r="P447" s="25">
        <f t="shared" ref="P447:P460" si="253">(VLOOKUP($D447,$C$6:$AJ$991,14,)/VLOOKUP($D447,$C$6:$AJ$991,4,))*$F447</f>
        <v>0</v>
      </c>
      <c r="Q447" s="25">
        <f t="shared" ref="Q447:Q460" si="254">(VLOOKUP($D447,$C$6:$AJ$991,15,)/VLOOKUP($D447,$C$6:$AJ$991,4,))*$F447</f>
        <v>196820.21094083937</v>
      </c>
      <c r="R447" s="25">
        <f t="shared" ref="R447:R460" si="255">(VLOOKUP($D447,$C$6:$AJ$991,16,)/VLOOKUP($D447,$C$6:$AJ$991,4,))*$F447</f>
        <v>0</v>
      </c>
      <c r="S447" s="25">
        <f t="shared" ref="S447:S460" si="256">(VLOOKUP($D447,$C$6:$AJ$991,17,)/VLOOKUP($D447,$C$6:$AJ$991,4,))*$F447</f>
        <v>659973.92297235597</v>
      </c>
      <c r="T447" s="25">
        <f t="shared" ref="T447:T460" si="257">(VLOOKUP($D447,$C$6:$AJ$991,18,)/VLOOKUP($D447,$C$6:$AJ$991,4,))*$F447</f>
        <v>532172.14604055556</v>
      </c>
      <c r="U447" s="25">
        <f t="shared" ref="U447:U460" si="258">(VLOOKUP($D447,$C$6:$AJ$991,19,)/VLOOKUP($D447,$C$6:$AJ$991,4,))*$F447</f>
        <v>1296966.3203014175</v>
      </c>
      <c r="V447" s="25">
        <f t="shared" ref="V447:V460" si="259">(VLOOKUP($D447,$C$6:$AJ$991,20,)/VLOOKUP($D447,$C$6:$AJ$991,4,))*$F447</f>
        <v>86042.390221326292</v>
      </c>
      <c r="W447" s="25">
        <f t="shared" ref="W447:W454" si="260">SUM(G447:V447)</f>
        <v>7797586.9179715468</v>
      </c>
      <c r="X447" s="120" t="str">
        <f t="shared" ref="X447:X454" si="261">IF(ABS(W447-F447)&lt;1,"ok","err")</f>
        <v>ok</v>
      </c>
    </row>
    <row r="448" spans="1:24" x14ac:dyDescent="0.2">
      <c r="A448" s="26">
        <v>921</v>
      </c>
      <c r="B448" s="23" t="s">
        <v>437</v>
      </c>
      <c r="C448" s="114" t="s">
        <v>155</v>
      </c>
      <c r="D448" s="114" t="s">
        <v>154</v>
      </c>
      <c r="F448" s="25">
        <v>1753271.143916717</v>
      </c>
      <c r="G448" s="25">
        <f t="shared" si="244"/>
        <v>6228.7503459227573</v>
      </c>
      <c r="H448" s="25">
        <f t="shared" si="245"/>
        <v>46827.04476415184</v>
      </c>
      <c r="I448" s="25">
        <f t="shared" si="246"/>
        <v>108102.65113059648</v>
      </c>
      <c r="J448" s="25">
        <f t="shared" si="247"/>
        <v>236517.21282435986</v>
      </c>
      <c r="K448" s="25">
        <f t="shared" si="248"/>
        <v>31330.796687402177</v>
      </c>
      <c r="L448" s="25">
        <f t="shared" si="249"/>
        <v>148431.53431314879</v>
      </c>
      <c r="M448" s="25">
        <f t="shared" si="250"/>
        <v>58521.609896320304</v>
      </c>
      <c r="N448" s="25">
        <f t="shared" si="251"/>
        <v>90846.552362258459</v>
      </c>
      <c r="O448" s="25">
        <f t="shared" si="252"/>
        <v>403192.20046020229</v>
      </c>
      <c r="P448" s="25">
        <f t="shared" si="253"/>
        <v>0</v>
      </c>
      <c r="Q448" s="25">
        <f t="shared" si="254"/>
        <v>44254.613640388045</v>
      </c>
      <c r="R448" s="25">
        <f t="shared" si="255"/>
        <v>0</v>
      </c>
      <c r="S448" s="25">
        <f t="shared" si="256"/>
        <v>148393.7591279785</v>
      </c>
      <c r="T448" s="25">
        <f t="shared" si="257"/>
        <v>119657.796323976</v>
      </c>
      <c r="U448" s="25">
        <f t="shared" si="258"/>
        <v>291620.17018052802</v>
      </c>
      <c r="V448" s="25">
        <f t="shared" si="259"/>
        <v>19346.451859483299</v>
      </c>
      <c r="W448" s="25">
        <f t="shared" si="260"/>
        <v>1753271.1439167168</v>
      </c>
      <c r="X448" s="120" t="str">
        <f t="shared" si="261"/>
        <v>ok</v>
      </c>
    </row>
    <row r="449" spans="1:24" x14ac:dyDescent="0.2">
      <c r="A449" s="26">
        <v>922</v>
      </c>
      <c r="B449" s="23" t="s">
        <v>438</v>
      </c>
      <c r="C449" s="114" t="s">
        <v>156</v>
      </c>
      <c r="D449" s="114" t="s">
        <v>154</v>
      </c>
      <c r="F449" s="25">
        <v>-1218694.8399999989</v>
      </c>
      <c r="G449" s="25">
        <f t="shared" si="244"/>
        <v>-4329.5903959649349</v>
      </c>
      <c r="H449" s="25">
        <f t="shared" si="245"/>
        <v>-32549.373794537067</v>
      </c>
      <c r="I449" s="25">
        <f t="shared" si="246"/>
        <v>-75141.910354418069</v>
      </c>
      <c r="J449" s="25">
        <f t="shared" si="247"/>
        <v>-164402.5841868991</v>
      </c>
      <c r="K449" s="25">
        <f t="shared" si="248"/>
        <v>-21777.966510489619</v>
      </c>
      <c r="L449" s="25">
        <f t="shared" si="249"/>
        <v>-103174.42660729143</v>
      </c>
      <c r="M449" s="25">
        <f t="shared" si="250"/>
        <v>-40678.239790003769</v>
      </c>
      <c r="N449" s="25">
        <f t="shared" si="251"/>
        <v>-63147.234801540304</v>
      </c>
      <c r="O449" s="25">
        <f t="shared" si="252"/>
        <v>-280257.9942834184</v>
      </c>
      <c r="P449" s="25">
        <f t="shared" si="253"/>
        <v>0</v>
      </c>
      <c r="Q449" s="25">
        <f t="shared" si="254"/>
        <v>-30761.282689710642</v>
      </c>
      <c r="R449" s="25">
        <f t="shared" si="255"/>
        <v>0</v>
      </c>
      <c r="S449" s="25">
        <f t="shared" si="256"/>
        <v>-103148.16916079959</v>
      </c>
      <c r="T449" s="25">
        <f t="shared" si="257"/>
        <v>-83173.865863115672</v>
      </c>
      <c r="U449" s="25">
        <f t="shared" si="258"/>
        <v>-202704.52626340202</v>
      </c>
      <c r="V449" s="25">
        <f t="shared" si="259"/>
        <v>-13447.675298408176</v>
      </c>
      <c r="W449" s="25">
        <f t="shared" si="260"/>
        <v>-1218694.8399999987</v>
      </c>
      <c r="X449" s="120" t="str">
        <f t="shared" si="261"/>
        <v>ok</v>
      </c>
    </row>
    <row r="450" spans="1:24" x14ac:dyDescent="0.2">
      <c r="A450" s="26">
        <v>923</v>
      </c>
      <c r="B450" s="23" t="s">
        <v>157</v>
      </c>
      <c r="C450" s="114" t="s">
        <v>158</v>
      </c>
      <c r="D450" s="114" t="s">
        <v>154</v>
      </c>
      <c r="F450" s="25">
        <v>4461616.9404543359</v>
      </c>
      <c r="G450" s="25">
        <f t="shared" si="244"/>
        <v>15850.542089655164</v>
      </c>
      <c r="H450" s="25">
        <f t="shared" si="245"/>
        <v>119162.59325664096</v>
      </c>
      <c r="I450" s="25">
        <f t="shared" si="246"/>
        <v>275093.00045561284</v>
      </c>
      <c r="J450" s="25">
        <f t="shared" si="247"/>
        <v>601874.50589578249</v>
      </c>
      <c r="K450" s="25">
        <f t="shared" si="248"/>
        <v>79728.690991953146</v>
      </c>
      <c r="L450" s="25">
        <f t="shared" si="249"/>
        <v>377719.47042358399</v>
      </c>
      <c r="M450" s="25">
        <f t="shared" si="250"/>
        <v>148922.20578774635</v>
      </c>
      <c r="N450" s="25">
        <f t="shared" si="251"/>
        <v>231180.73802084866</v>
      </c>
      <c r="O450" s="25">
        <f t="shared" si="252"/>
        <v>1026018.7981042531</v>
      </c>
      <c r="P450" s="25">
        <f t="shared" si="253"/>
        <v>0</v>
      </c>
      <c r="Q450" s="25">
        <f t="shared" si="254"/>
        <v>112616.4282098034</v>
      </c>
      <c r="R450" s="25">
        <f t="shared" si="255"/>
        <v>0</v>
      </c>
      <c r="S450" s="25">
        <f t="shared" si="256"/>
        <v>377623.34244778892</v>
      </c>
      <c r="T450" s="25">
        <f t="shared" si="257"/>
        <v>304497.8256722198</v>
      </c>
      <c r="U450" s="25">
        <f t="shared" si="258"/>
        <v>742097.13424532604</v>
      </c>
      <c r="V450" s="25">
        <f t="shared" si="259"/>
        <v>49231.664853120485</v>
      </c>
      <c r="W450" s="25">
        <f t="shared" si="260"/>
        <v>4461616.9404543359</v>
      </c>
      <c r="X450" s="120" t="str">
        <f t="shared" si="261"/>
        <v>ok</v>
      </c>
    </row>
    <row r="451" spans="1:24" x14ac:dyDescent="0.2">
      <c r="A451" s="26">
        <v>924</v>
      </c>
      <c r="B451" s="23" t="s">
        <v>160</v>
      </c>
      <c r="C451" s="114" t="s">
        <v>161</v>
      </c>
      <c r="D451" s="114" t="s">
        <v>72</v>
      </c>
      <c r="F451" s="25">
        <v>178474.11345532539</v>
      </c>
      <c r="G451" s="25">
        <f t="shared" si="244"/>
        <v>0</v>
      </c>
      <c r="H451" s="25">
        <f t="shared" si="245"/>
        <v>0</v>
      </c>
      <c r="I451" s="25">
        <f t="shared" si="246"/>
        <v>25902.798166772096</v>
      </c>
      <c r="J451" s="25">
        <f t="shared" si="247"/>
        <v>0</v>
      </c>
      <c r="K451" s="25">
        <f t="shared" si="248"/>
        <v>1594.6911305716742</v>
      </c>
      <c r="L451" s="25">
        <f t="shared" si="249"/>
        <v>7554.9451751253864</v>
      </c>
      <c r="M451" s="25">
        <f t="shared" si="250"/>
        <v>0</v>
      </c>
      <c r="N451" s="25">
        <f t="shared" si="251"/>
        <v>5785.614511727149</v>
      </c>
      <c r="O451" s="25">
        <f t="shared" si="252"/>
        <v>59961.173352546204</v>
      </c>
      <c r="P451" s="25">
        <f t="shared" si="253"/>
        <v>0</v>
      </c>
      <c r="Q451" s="25">
        <f t="shared" si="254"/>
        <v>6581.37373965196</v>
      </c>
      <c r="R451" s="25">
        <f t="shared" si="255"/>
        <v>0</v>
      </c>
      <c r="S451" s="25">
        <f t="shared" si="256"/>
        <v>57712.261567170986</v>
      </c>
      <c r="T451" s="25">
        <f t="shared" si="257"/>
        <v>13381.255811759953</v>
      </c>
      <c r="U451" s="25">
        <f t="shared" si="258"/>
        <v>0</v>
      </c>
      <c r="V451" s="25">
        <f t="shared" si="259"/>
        <v>0</v>
      </c>
      <c r="W451" s="25">
        <f t="shared" si="260"/>
        <v>178474.11345532539</v>
      </c>
      <c r="X451" s="120" t="str">
        <f t="shared" si="261"/>
        <v>ok</v>
      </c>
    </row>
    <row r="452" spans="1:24" x14ac:dyDescent="0.2">
      <c r="A452" s="26">
        <v>925</v>
      </c>
      <c r="B452" s="23" t="s">
        <v>724</v>
      </c>
      <c r="C452" s="114" t="s">
        <v>163</v>
      </c>
      <c r="D452" s="114" t="s">
        <v>154</v>
      </c>
      <c r="F452" s="25">
        <v>918879.98</v>
      </c>
      <c r="G452" s="25">
        <f t="shared" si="244"/>
        <v>3264.4545671929282</v>
      </c>
      <c r="H452" s="25">
        <f t="shared" si="245"/>
        <v>24541.802393564554</v>
      </c>
      <c r="I452" s="25">
        <f t="shared" si="246"/>
        <v>56656.018239668214</v>
      </c>
      <c r="J452" s="25">
        <f t="shared" si="247"/>
        <v>123957.39959775844</v>
      </c>
      <c r="K452" s="25">
        <f t="shared" si="248"/>
        <v>16420.302092687445</v>
      </c>
      <c r="L452" s="25">
        <f t="shared" si="249"/>
        <v>77792.16908592105</v>
      </c>
      <c r="M452" s="25">
        <f t="shared" si="250"/>
        <v>30670.861103074745</v>
      </c>
      <c r="N452" s="25">
        <f t="shared" si="251"/>
        <v>47612.189653231573</v>
      </c>
      <c r="O452" s="25">
        <f t="shared" si="252"/>
        <v>211310.86448350584</v>
      </c>
      <c r="P452" s="25">
        <f t="shared" si="253"/>
        <v>0</v>
      </c>
      <c r="Q452" s="25">
        <f t="shared" si="254"/>
        <v>23193.605072370443</v>
      </c>
      <c r="R452" s="25">
        <f t="shared" si="255"/>
        <v>0</v>
      </c>
      <c r="S452" s="25">
        <f t="shared" si="256"/>
        <v>77772.37131447297</v>
      </c>
      <c r="T452" s="25">
        <f t="shared" si="257"/>
        <v>62712.007708855548</v>
      </c>
      <c r="U452" s="25">
        <f t="shared" si="258"/>
        <v>152836.56328505051</v>
      </c>
      <c r="V452" s="25">
        <f t="shared" si="259"/>
        <v>10139.371402645646</v>
      </c>
      <c r="W452" s="25">
        <f t="shared" si="260"/>
        <v>918879.9800000001</v>
      </c>
      <c r="X452" s="120" t="str">
        <f t="shared" si="261"/>
        <v>ok</v>
      </c>
    </row>
    <row r="453" spans="1:24" x14ac:dyDescent="0.2">
      <c r="A453" s="26">
        <v>926</v>
      </c>
      <c r="B453" s="23" t="s">
        <v>725</v>
      </c>
      <c r="C453" s="114" t="s">
        <v>164</v>
      </c>
      <c r="D453" s="114" t="s">
        <v>154</v>
      </c>
      <c r="F453" s="25">
        <v>9609081.6200000048</v>
      </c>
      <c r="G453" s="25">
        <f t="shared" si="244"/>
        <v>34137.657870115567</v>
      </c>
      <c r="H453" s="25">
        <f t="shared" si="245"/>
        <v>256643.07356187396</v>
      </c>
      <c r="I453" s="25">
        <f t="shared" si="246"/>
        <v>592473.78915490233</v>
      </c>
      <c r="J453" s="25">
        <f t="shared" si="247"/>
        <v>1296270.2377494574</v>
      </c>
      <c r="K453" s="25">
        <f t="shared" si="248"/>
        <v>171713.41901876079</v>
      </c>
      <c r="L453" s="25">
        <f t="shared" si="249"/>
        <v>813502.65368003398</v>
      </c>
      <c r="M453" s="25">
        <f t="shared" si="250"/>
        <v>320736.99951013038</v>
      </c>
      <c r="N453" s="25">
        <f t="shared" si="251"/>
        <v>497898.99273332948</v>
      </c>
      <c r="O453" s="25">
        <f t="shared" si="252"/>
        <v>2209759.0416702386</v>
      </c>
      <c r="P453" s="25">
        <f t="shared" si="253"/>
        <v>0</v>
      </c>
      <c r="Q453" s="25">
        <f t="shared" si="254"/>
        <v>242544.45526439013</v>
      </c>
      <c r="R453" s="25">
        <f t="shared" si="255"/>
        <v>0</v>
      </c>
      <c r="S453" s="25">
        <f t="shared" si="256"/>
        <v>813295.62076400639</v>
      </c>
      <c r="T453" s="25">
        <f t="shared" si="257"/>
        <v>655803.60193336941</v>
      </c>
      <c r="U453" s="25">
        <f t="shared" si="258"/>
        <v>1598270.7677735523</v>
      </c>
      <c r="V453" s="25">
        <f t="shared" si="259"/>
        <v>106031.30931584333</v>
      </c>
      <c r="W453" s="25">
        <f t="shared" si="260"/>
        <v>9609081.6200000048</v>
      </c>
      <c r="X453" s="120" t="str">
        <f t="shared" si="261"/>
        <v>ok</v>
      </c>
    </row>
    <row r="454" spans="1:24" x14ac:dyDescent="0.2">
      <c r="A454" s="26">
        <v>927</v>
      </c>
      <c r="B454" s="23" t="s">
        <v>689</v>
      </c>
      <c r="C454" s="114" t="s">
        <v>165</v>
      </c>
      <c r="D454" s="114" t="s">
        <v>72</v>
      </c>
      <c r="F454" s="25">
        <v>0</v>
      </c>
      <c r="G454" s="25">
        <f t="shared" si="244"/>
        <v>0</v>
      </c>
      <c r="H454" s="25">
        <f t="shared" si="245"/>
        <v>0</v>
      </c>
      <c r="I454" s="25">
        <f t="shared" si="246"/>
        <v>0</v>
      </c>
      <c r="J454" s="25">
        <f t="shared" si="247"/>
        <v>0</v>
      </c>
      <c r="K454" s="25">
        <f t="shared" si="248"/>
        <v>0</v>
      </c>
      <c r="L454" s="25">
        <f t="shared" si="249"/>
        <v>0</v>
      </c>
      <c r="M454" s="25">
        <f t="shared" si="250"/>
        <v>0</v>
      </c>
      <c r="N454" s="25">
        <f t="shared" si="251"/>
        <v>0</v>
      </c>
      <c r="O454" s="25">
        <f t="shared" si="252"/>
        <v>0</v>
      </c>
      <c r="P454" s="25">
        <f t="shared" si="253"/>
        <v>0</v>
      </c>
      <c r="Q454" s="25">
        <f t="shared" si="254"/>
        <v>0</v>
      </c>
      <c r="R454" s="25">
        <f t="shared" si="255"/>
        <v>0</v>
      </c>
      <c r="S454" s="25">
        <f t="shared" si="256"/>
        <v>0</v>
      </c>
      <c r="T454" s="25">
        <f t="shared" si="257"/>
        <v>0</v>
      </c>
      <c r="U454" s="25">
        <f t="shared" si="258"/>
        <v>0</v>
      </c>
      <c r="V454" s="25">
        <f t="shared" si="259"/>
        <v>0</v>
      </c>
      <c r="W454" s="25">
        <f t="shared" si="260"/>
        <v>0</v>
      </c>
      <c r="X454" s="120" t="str">
        <f t="shared" si="261"/>
        <v>ok</v>
      </c>
    </row>
    <row r="455" spans="1:24" x14ac:dyDescent="0.2">
      <c r="A455" s="26">
        <v>928</v>
      </c>
      <c r="B455" s="23" t="s">
        <v>166</v>
      </c>
      <c r="C455" s="114" t="s">
        <v>167</v>
      </c>
      <c r="D455" s="114" t="s">
        <v>72</v>
      </c>
      <c r="F455" s="25">
        <v>194513.99999999971</v>
      </c>
      <c r="G455" s="25">
        <f t="shared" si="244"/>
        <v>0</v>
      </c>
      <c r="H455" s="25">
        <f t="shared" si="245"/>
        <v>0</v>
      </c>
      <c r="I455" s="25">
        <f t="shared" si="246"/>
        <v>28230.74329977102</v>
      </c>
      <c r="J455" s="25">
        <f t="shared" si="247"/>
        <v>0</v>
      </c>
      <c r="K455" s="25">
        <f t="shared" si="248"/>
        <v>1738.009757082576</v>
      </c>
      <c r="L455" s="25">
        <f t="shared" si="249"/>
        <v>8233.9257909365351</v>
      </c>
      <c r="M455" s="25">
        <f t="shared" si="250"/>
        <v>0</v>
      </c>
      <c r="N455" s="25">
        <f t="shared" si="251"/>
        <v>6305.5812372240316</v>
      </c>
      <c r="O455" s="25">
        <f t="shared" si="252"/>
        <v>65350.024424783835</v>
      </c>
      <c r="P455" s="25">
        <f t="shared" si="253"/>
        <v>0</v>
      </c>
      <c r="Q455" s="25">
        <f t="shared" si="254"/>
        <v>7172.8572105506155</v>
      </c>
      <c r="R455" s="25">
        <f t="shared" si="255"/>
        <v>0</v>
      </c>
      <c r="S455" s="25">
        <f t="shared" si="256"/>
        <v>62898.997670531462</v>
      </c>
      <c r="T455" s="25">
        <f t="shared" si="257"/>
        <v>14583.860609119653</v>
      </c>
      <c r="U455" s="25">
        <f t="shared" si="258"/>
        <v>0</v>
      </c>
      <c r="V455" s="25">
        <f t="shared" si="259"/>
        <v>0</v>
      </c>
      <c r="W455" s="25">
        <f t="shared" ref="W455:W460" si="262">SUM(G455:V455)</f>
        <v>194513.99999999971</v>
      </c>
      <c r="X455" s="120" t="str">
        <f t="shared" ref="X455:X460" si="263">IF(ABS(W455-F455)&lt;1,"ok","err")</f>
        <v>ok</v>
      </c>
    </row>
    <row r="456" spans="1:24" x14ac:dyDescent="0.2">
      <c r="A456" s="26">
        <v>929</v>
      </c>
      <c r="B456" s="23" t="s">
        <v>688</v>
      </c>
      <c r="C456" s="114" t="s">
        <v>168</v>
      </c>
      <c r="D456" s="114" t="s">
        <v>154</v>
      </c>
      <c r="F456" s="25">
        <v>-597722</v>
      </c>
      <c r="G456" s="25">
        <f t="shared" si="244"/>
        <v>-2123.4942052080528</v>
      </c>
      <c r="H456" s="25">
        <f t="shared" si="245"/>
        <v>-15964.190677313693</v>
      </c>
      <c r="I456" s="25">
        <f t="shared" si="246"/>
        <v>-36854.158618463931</v>
      </c>
      <c r="J456" s="25">
        <f t="shared" si="247"/>
        <v>-80633.016732360818</v>
      </c>
      <c r="K456" s="25">
        <f t="shared" si="248"/>
        <v>-10681.238051834935</v>
      </c>
      <c r="L456" s="25">
        <f t="shared" si="249"/>
        <v>-50603.0079035729</v>
      </c>
      <c r="M456" s="25">
        <f t="shared" si="250"/>
        <v>-19951.08048850084</v>
      </c>
      <c r="N456" s="25">
        <f t="shared" si="251"/>
        <v>-30971.24090559562</v>
      </c>
      <c r="O456" s="25">
        <f t="shared" si="252"/>
        <v>-137455.54946230311</v>
      </c>
      <c r="P456" s="25">
        <f t="shared" si="253"/>
        <v>0</v>
      </c>
      <c r="Q456" s="25">
        <f t="shared" si="254"/>
        <v>-15087.202151327103</v>
      </c>
      <c r="R456" s="25">
        <f t="shared" si="255"/>
        <v>0</v>
      </c>
      <c r="S456" s="25">
        <f t="shared" si="256"/>
        <v>-50590.129656355566</v>
      </c>
      <c r="T456" s="25">
        <f t="shared" si="257"/>
        <v>-40793.517638454323</v>
      </c>
      <c r="U456" s="25">
        <f t="shared" si="258"/>
        <v>-99418.616433309333</v>
      </c>
      <c r="V456" s="25">
        <f t="shared" si="259"/>
        <v>-6595.5570753997272</v>
      </c>
      <c r="W456" s="25">
        <f t="shared" si="262"/>
        <v>-597721.99999999977</v>
      </c>
      <c r="X456" s="120" t="str">
        <f t="shared" si="263"/>
        <v>ok</v>
      </c>
    </row>
    <row r="457" spans="1:24" x14ac:dyDescent="0.2">
      <c r="A457" s="198">
        <v>930.1</v>
      </c>
      <c r="B457" s="23" t="s">
        <v>726</v>
      </c>
      <c r="C457" s="114" t="s">
        <v>582</v>
      </c>
      <c r="D457" s="114" t="s">
        <v>72</v>
      </c>
      <c r="F457" s="25">
        <v>0</v>
      </c>
      <c r="G457" s="25">
        <f t="shared" si="244"/>
        <v>0</v>
      </c>
      <c r="H457" s="25">
        <f t="shared" si="245"/>
        <v>0</v>
      </c>
      <c r="I457" s="25">
        <f t="shared" si="246"/>
        <v>0</v>
      </c>
      <c r="J457" s="25">
        <f t="shared" si="247"/>
        <v>0</v>
      </c>
      <c r="K457" s="25">
        <f t="shared" si="248"/>
        <v>0</v>
      </c>
      <c r="L457" s="25">
        <f t="shared" si="249"/>
        <v>0</v>
      </c>
      <c r="M457" s="25">
        <f t="shared" si="250"/>
        <v>0</v>
      </c>
      <c r="N457" s="25">
        <f t="shared" si="251"/>
        <v>0</v>
      </c>
      <c r="O457" s="25">
        <f t="shared" si="252"/>
        <v>0</v>
      </c>
      <c r="P457" s="25">
        <f t="shared" si="253"/>
        <v>0</v>
      </c>
      <c r="Q457" s="25">
        <f t="shared" si="254"/>
        <v>0</v>
      </c>
      <c r="R457" s="25">
        <f t="shared" si="255"/>
        <v>0</v>
      </c>
      <c r="S457" s="25">
        <f t="shared" si="256"/>
        <v>0</v>
      </c>
      <c r="T457" s="25">
        <f t="shared" si="257"/>
        <v>0</v>
      </c>
      <c r="U457" s="25">
        <f t="shared" si="258"/>
        <v>0</v>
      </c>
      <c r="V457" s="25">
        <f t="shared" si="259"/>
        <v>0</v>
      </c>
      <c r="W457" s="25">
        <f t="shared" si="262"/>
        <v>0</v>
      </c>
      <c r="X457" s="120" t="str">
        <f t="shared" si="263"/>
        <v>ok</v>
      </c>
    </row>
    <row r="458" spans="1:24" x14ac:dyDescent="0.2">
      <c r="A458" s="198">
        <v>930.2</v>
      </c>
      <c r="B458" s="23" t="s">
        <v>707</v>
      </c>
      <c r="C458" s="114" t="s">
        <v>583</v>
      </c>
      <c r="D458" s="114" t="s">
        <v>154</v>
      </c>
      <c r="F458" s="196">
        <v>593099.55323100416</v>
      </c>
      <c r="G458" s="25">
        <f t="shared" si="244"/>
        <v>2107.0722917970602</v>
      </c>
      <c r="H458" s="25">
        <f t="shared" si="245"/>
        <v>15840.732578706009</v>
      </c>
      <c r="I458" s="25">
        <f t="shared" si="246"/>
        <v>36569.14922207233</v>
      </c>
      <c r="J458" s="25">
        <f t="shared" si="247"/>
        <v>80009.446196779245</v>
      </c>
      <c r="K458" s="25">
        <f t="shared" si="248"/>
        <v>10598.635346360517</v>
      </c>
      <c r="L458" s="25">
        <f t="shared" si="249"/>
        <v>50211.67261662455</v>
      </c>
      <c r="M458" s="25">
        <f t="shared" si="250"/>
        <v>19796.790019784537</v>
      </c>
      <c r="N458" s="25">
        <f t="shared" si="251"/>
        <v>30731.726695886318</v>
      </c>
      <c r="O458" s="25">
        <f t="shared" si="252"/>
        <v>136392.54532243111</v>
      </c>
      <c r="P458" s="25">
        <f t="shared" si="253"/>
        <v>0</v>
      </c>
      <c r="Q458" s="25">
        <f t="shared" si="254"/>
        <v>14970.526190198703</v>
      </c>
      <c r="R458" s="25">
        <f t="shared" si="255"/>
        <v>0</v>
      </c>
      <c r="S458" s="25">
        <f t="shared" si="256"/>
        <v>50198.893962549584</v>
      </c>
      <c r="T458" s="25">
        <f t="shared" si="257"/>
        <v>40478.043448439821</v>
      </c>
      <c r="U458" s="25">
        <f t="shared" si="258"/>
        <v>98649.768603866571</v>
      </c>
      <c r="V458" s="25">
        <f t="shared" si="259"/>
        <v>6544.5507355077561</v>
      </c>
      <c r="W458" s="25">
        <f t="shared" si="262"/>
        <v>593099.55323100404</v>
      </c>
      <c r="X458" s="120" t="str">
        <f t="shared" si="263"/>
        <v>ok</v>
      </c>
    </row>
    <row r="459" spans="1:24" x14ac:dyDescent="0.2">
      <c r="A459" s="198">
        <v>931</v>
      </c>
      <c r="B459" s="23" t="s">
        <v>108</v>
      </c>
      <c r="C459" s="114" t="s">
        <v>169</v>
      </c>
      <c r="D459" s="114" t="s">
        <v>72</v>
      </c>
      <c r="F459" s="25">
        <v>316976.22000000003</v>
      </c>
      <c r="G459" s="25">
        <f t="shared" si="244"/>
        <v>0</v>
      </c>
      <c r="H459" s="25">
        <f t="shared" si="245"/>
        <v>0</v>
      </c>
      <c r="I459" s="25">
        <f t="shared" si="246"/>
        <v>46004.268581962009</v>
      </c>
      <c r="J459" s="25">
        <f t="shared" si="247"/>
        <v>0</v>
      </c>
      <c r="K459" s="25">
        <f t="shared" si="248"/>
        <v>2832.2267966478198</v>
      </c>
      <c r="L459" s="25">
        <f t="shared" si="249"/>
        <v>13417.844849067818</v>
      </c>
      <c r="M459" s="25">
        <f t="shared" si="250"/>
        <v>0</v>
      </c>
      <c r="N459" s="25">
        <f t="shared" si="251"/>
        <v>10275.452180707816</v>
      </c>
      <c r="O459" s="25">
        <f t="shared" si="252"/>
        <v>106493.1250145269</v>
      </c>
      <c r="P459" s="25">
        <f t="shared" si="253"/>
        <v>0</v>
      </c>
      <c r="Q459" s="25">
        <f t="shared" si="254"/>
        <v>11688.748188819734</v>
      </c>
      <c r="R459" s="25">
        <f t="shared" si="255"/>
        <v>0</v>
      </c>
      <c r="S459" s="25">
        <f t="shared" si="256"/>
        <v>102498.97962817021</v>
      </c>
      <c r="T459" s="25">
        <f t="shared" si="257"/>
        <v>23765.574760097741</v>
      </c>
      <c r="U459" s="25">
        <f t="shared" si="258"/>
        <v>0</v>
      </c>
      <c r="V459" s="25">
        <f t="shared" si="259"/>
        <v>0</v>
      </c>
      <c r="W459" s="25">
        <f t="shared" si="262"/>
        <v>316976.22000000003</v>
      </c>
      <c r="X459" s="120" t="str">
        <f t="shared" si="263"/>
        <v>ok</v>
      </c>
    </row>
    <row r="460" spans="1:24" x14ac:dyDescent="0.2">
      <c r="A460" s="198">
        <v>935</v>
      </c>
      <c r="B460" s="23" t="s">
        <v>188</v>
      </c>
      <c r="C460" s="114" t="s">
        <v>170</v>
      </c>
      <c r="D460" s="114" t="s">
        <v>62</v>
      </c>
      <c r="F460" s="25">
        <v>257250.26148747173</v>
      </c>
      <c r="G460" s="25">
        <f t="shared" si="244"/>
        <v>0</v>
      </c>
      <c r="H460" s="25">
        <f t="shared" si="245"/>
        <v>0</v>
      </c>
      <c r="I460" s="25">
        <f t="shared" si="246"/>
        <v>34834.751822575054</v>
      </c>
      <c r="J460" s="25">
        <f t="shared" si="247"/>
        <v>0</v>
      </c>
      <c r="K460" s="25">
        <f t="shared" si="248"/>
        <v>2103.3656099073983</v>
      </c>
      <c r="L460" s="25">
        <f t="shared" si="249"/>
        <v>9964.8211252030542</v>
      </c>
      <c r="M460" s="25">
        <f t="shared" si="250"/>
        <v>0</v>
      </c>
      <c r="N460" s="25">
        <f t="shared" si="251"/>
        <v>8532.6756310108613</v>
      </c>
      <c r="O460" s="25">
        <f t="shared" si="252"/>
        <v>87374.968800499788</v>
      </c>
      <c r="P460" s="25">
        <f t="shared" si="253"/>
        <v>0</v>
      </c>
      <c r="Q460" s="25">
        <f t="shared" si="254"/>
        <v>9590.3280909045043</v>
      </c>
      <c r="R460" s="25">
        <f t="shared" si="255"/>
        <v>0</v>
      </c>
      <c r="S460" s="25">
        <f t="shared" si="256"/>
        <v>85114.555573409423</v>
      </c>
      <c r="T460" s="25">
        <f t="shared" si="257"/>
        <v>19734.794833961671</v>
      </c>
      <c r="U460" s="25">
        <f t="shared" si="258"/>
        <v>0</v>
      </c>
      <c r="V460" s="25">
        <f t="shared" si="259"/>
        <v>0</v>
      </c>
      <c r="W460" s="25">
        <f t="shared" si="262"/>
        <v>257250.26148747175</v>
      </c>
      <c r="X460" s="120" t="str">
        <f t="shared" si="263"/>
        <v>ok</v>
      </c>
    </row>
    <row r="461" spans="1:24" x14ac:dyDescent="0.2">
      <c r="A461" s="198"/>
      <c r="F461" s="25"/>
      <c r="G461" s="125"/>
    </row>
    <row r="462" spans="1:24" x14ac:dyDescent="0.2">
      <c r="A462" s="198" t="s">
        <v>469</v>
      </c>
      <c r="C462" s="114" t="s">
        <v>584</v>
      </c>
      <c r="F462" s="30">
        <f>SUM(F447:F460)</f>
        <v>24264333.910516407</v>
      </c>
      <c r="G462" s="30">
        <f t="shared" ref="G462:V462" si="264">SUM(G447:G460)</f>
        <v>82837.452442381764</v>
      </c>
      <c r="H462" s="30">
        <f t="shared" si="264"/>
        <v>622762.65354042721</v>
      </c>
      <c r="I462" s="30">
        <f t="shared" si="264"/>
        <v>1572652.3089471438</v>
      </c>
      <c r="J462" s="30">
        <f t="shared" si="264"/>
        <v>3145491.8372137891</v>
      </c>
      <c r="K462" s="30">
        <f t="shared" si="264"/>
        <v>424943.10548562987</v>
      </c>
      <c r="L462" s="30">
        <f t="shared" si="264"/>
        <v>2013193.5287936083</v>
      </c>
      <c r="M462" s="30">
        <f t="shared" si="264"/>
        <v>778291.11899007694</v>
      </c>
      <c r="N462" s="30">
        <f t="shared" si="264"/>
        <v>1239086.6071927713</v>
      </c>
      <c r="O462" s="30">
        <f t="shared" si="264"/>
        <v>5681316.6186444834</v>
      </c>
      <c r="P462" s="30">
        <f t="shared" si="264"/>
        <v>0</v>
      </c>
      <c r="Q462" s="30">
        <f>SUM(Q447:Q460)</f>
        <v>623584.66170687927</v>
      </c>
      <c r="R462" s="30">
        <f>SUM(R447:R460)</f>
        <v>0</v>
      </c>
      <c r="S462" s="30">
        <f t="shared" si="264"/>
        <v>2281744.4062112793</v>
      </c>
      <c r="T462" s="30">
        <f t="shared" si="264"/>
        <v>1662819.5236407854</v>
      </c>
      <c r="U462" s="30">
        <f t="shared" si="264"/>
        <v>3878317.5816930295</v>
      </c>
      <c r="V462" s="30">
        <f t="shared" si="264"/>
        <v>257292.5060141189</v>
      </c>
      <c r="W462" s="25">
        <f>SUM(G462:V462)</f>
        <v>24264333.910516407</v>
      </c>
      <c r="X462" s="120" t="str">
        <f>IF(ABS(W462-F462)&lt;1,"ok","err")</f>
        <v>ok</v>
      </c>
    </row>
    <row r="463" spans="1:24" x14ac:dyDescent="0.2">
      <c r="A463" s="198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</row>
    <row r="464" spans="1:24" x14ac:dyDescent="0.2">
      <c r="A464" s="198" t="s">
        <v>470</v>
      </c>
      <c r="C464" s="114" t="s">
        <v>90</v>
      </c>
      <c r="F464" s="30">
        <f>F316+F351+F418+F428+F431+F434+F462</f>
        <v>72491475.793570489</v>
      </c>
      <c r="G464" s="30">
        <f t="shared" ref="G464:V464" si="265">G316+G351+G418+G428+G431+G434+G462</f>
        <v>124749.13504238133</v>
      </c>
      <c r="H464" s="30">
        <f t="shared" si="265"/>
        <v>937849.9709404239</v>
      </c>
      <c r="I464" s="30">
        <f t="shared" si="265"/>
        <v>4193958.3404536862</v>
      </c>
      <c r="J464" s="30">
        <f t="shared" si="265"/>
        <v>10209228.805707246</v>
      </c>
      <c r="K464" s="30">
        <f t="shared" si="265"/>
        <v>1098159.0525348058</v>
      </c>
      <c r="L464" s="30">
        <f t="shared" si="265"/>
        <v>5202594.5817444324</v>
      </c>
      <c r="M464" s="30">
        <f t="shared" si="265"/>
        <v>1690883.1189900769</v>
      </c>
      <c r="N464" s="30">
        <f t="shared" si="265"/>
        <v>3418587.2024662588</v>
      </c>
      <c r="O464" s="30">
        <f t="shared" si="265"/>
        <v>18338574.260588713</v>
      </c>
      <c r="P464" s="30">
        <f t="shared" si="265"/>
        <v>0</v>
      </c>
      <c r="Q464" s="30">
        <f t="shared" si="265"/>
        <v>2012852.7230725172</v>
      </c>
      <c r="R464" s="30">
        <f t="shared" si="265"/>
        <v>0</v>
      </c>
      <c r="S464" s="30">
        <f t="shared" si="265"/>
        <v>6891421.6790118357</v>
      </c>
      <c r="T464" s="30">
        <f t="shared" si="265"/>
        <v>4417995.9522568574</v>
      </c>
      <c r="U464" s="30">
        <f t="shared" si="265"/>
        <v>13198203.404747136</v>
      </c>
      <c r="V464" s="30">
        <f t="shared" si="265"/>
        <v>756417.56601411779</v>
      </c>
      <c r="W464" s="25">
        <f>SUM(G464:V464)</f>
        <v>72491475.793570489</v>
      </c>
      <c r="X464" s="120" t="str">
        <f>IF(ABS(W464-F464)&lt;1,"ok","err")</f>
        <v>ok</v>
      </c>
    </row>
    <row r="465" spans="1:20" x14ac:dyDescent="0.2">
      <c r="A465" s="198"/>
      <c r="F465" s="31"/>
    </row>
    <row r="466" spans="1:20" x14ac:dyDescent="0.2">
      <c r="A466" s="199"/>
      <c r="F466" s="31"/>
      <c r="T466" s="31">
        <f>T464+S464+R464+Q464+P464+O464+N464+M464</f>
        <v>36770314.936386257</v>
      </c>
    </row>
    <row r="467" spans="1:20" x14ac:dyDescent="0.2">
      <c r="A467" s="199"/>
    </row>
    <row r="468" spans="1:20" x14ac:dyDescent="0.2">
      <c r="A468" s="199"/>
      <c r="F468" s="29"/>
    </row>
    <row r="469" spans="1:20" x14ac:dyDescent="0.2">
      <c r="A469" s="197"/>
      <c r="F469" s="127"/>
    </row>
    <row r="470" spans="1:20" x14ac:dyDescent="0.2">
      <c r="F470" s="31"/>
    </row>
    <row r="486" spans="1:24" x14ac:dyDescent="0.2">
      <c r="A486" s="187" t="s">
        <v>173</v>
      </c>
    </row>
    <row r="488" spans="1:24" x14ac:dyDescent="0.2">
      <c r="A488" s="117"/>
    </row>
    <row r="489" spans="1:24" x14ac:dyDescent="0.2">
      <c r="A489" s="13" t="s">
        <v>393</v>
      </c>
    </row>
    <row r="490" spans="1:24" x14ac:dyDescent="0.2">
      <c r="A490" s="23" t="s">
        <v>22</v>
      </c>
      <c r="B490" s="23" t="s">
        <v>391</v>
      </c>
      <c r="C490" s="114" t="s">
        <v>595</v>
      </c>
      <c r="D490" s="114" t="s">
        <v>25</v>
      </c>
      <c r="F490" s="30">
        <v>3577970.1304642526</v>
      </c>
      <c r="G490" s="25">
        <f>(VLOOKUP($D490,$C$6:$AJ$991,5,)/VLOOKUP($D490,$C$6:$AJ$991,4,))*$F490</f>
        <v>0</v>
      </c>
      <c r="H490" s="25">
        <f>(VLOOKUP($D490,$C$6:$AJ$991,6,)/VLOOKUP($D490,$C$6:$AJ$991,4,))*$F490</f>
        <v>0</v>
      </c>
      <c r="I490" s="25">
        <f>(VLOOKUP($D490,$C$6:$AJ$991,7,)/VLOOKUP($D490,$C$6:$AJ$991,4,))*$F490</f>
        <v>3577970.1304642526</v>
      </c>
      <c r="J490" s="25">
        <f>(VLOOKUP($D490,$C$6:$AJ$991,8,)/VLOOKUP($D490,$C$6:$AJ$991,4,))*$F490</f>
        <v>0</v>
      </c>
      <c r="K490" s="25">
        <f>(VLOOKUP($D490,$C$6:$AJ$991,9,)/VLOOKUP($D490,$C$6:$AJ$991,4,))*$F490</f>
        <v>0</v>
      </c>
      <c r="L490" s="25">
        <f>(VLOOKUP($D490,$C$6:$AJ$991,10,)/VLOOKUP($D490,$C$6:$AJ$991,4,))*$F490</f>
        <v>0</v>
      </c>
      <c r="M490" s="25">
        <f>(VLOOKUP($D490,$C$6:$AJ$991,11,)/VLOOKUP($D490,$C$6:$AJ$991,4,))*$F490</f>
        <v>0</v>
      </c>
      <c r="N490" s="25">
        <f>(VLOOKUP($D490,$C$6:$AJ$991,12,)/VLOOKUP($D490,$C$6:$AJ$991,4,))*$F490</f>
        <v>0</v>
      </c>
      <c r="O490" s="25">
        <f>(VLOOKUP($D490,$C$6:$AJ$991,13,)/VLOOKUP($D490,$C$6:$AJ$991,4,))*$F490</f>
        <v>0</v>
      </c>
      <c r="P490" s="25">
        <f>(VLOOKUP($D490,$C$6:$AJ$991,14,)/VLOOKUP($D490,$C$6:$AJ$991,4,))*$F490</f>
        <v>0</v>
      </c>
      <c r="Q490" s="25">
        <f>(VLOOKUP($D490,$C$6:$AJ$991,15,)/VLOOKUP($D490,$C$6:$AJ$991,4,))*$F490</f>
        <v>0</v>
      </c>
      <c r="R490" s="25">
        <f>(VLOOKUP($D490,$C$6:$AJ$991,16,)/VLOOKUP($D490,$C$6:$AJ$991,4,))*$F490</f>
        <v>0</v>
      </c>
      <c r="S490" s="25">
        <f>(VLOOKUP($D490,$C$6:$AJ$991,17,)/VLOOKUP($D490,$C$6:$AJ$991,4,))*$F490</f>
        <v>0</v>
      </c>
      <c r="T490" s="25">
        <f>(VLOOKUP($D490,$C$6:$AJ$991,18,)/VLOOKUP($D490,$C$6:$AJ$991,4,))*$F490</f>
        <v>0</v>
      </c>
      <c r="U490" s="25">
        <f>(VLOOKUP($D490,$C$6:$AJ$991,19,)/VLOOKUP($D490,$C$6:$AJ$991,4,))*$F490</f>
        <v>0</v>
      </c>
      <c r="V490" s="25">
        <f>(VLOOKUP($D490,$C$6:$AJ$991,20,)/VLOOKUP($D490,$C$6:$AJ$991,4,))*$F490</f>
        <v>0</v>
      </c>
      <c r="W490" s="25">
        <f>SUM(G490:V490)</f>
        <v>3577970.1304642526</v>
      </c>
      <c r="X490" s="120" t="str">
        <f>IF(ABS(W490-F490)&lt;1,"ok","err")</f>
        <v>ok</v>
      </c>
    </row>
    <row r="491" spans="1:24" x14ac:dyDescent="0.2">
      <c r="A491" s="26">
        <v>358</v>
      </c>
      <c r="B491" s="119" t="s">
        <v>706</v>
      </c>
      <c r="C491" s="114" t="s">
        <v>595</v>
      </c>
      <c r="D491" s="114" t="s">
        <v>25</v>
      </c>
      <c r="F491" s="30">
        <v>0</v>
      </c>
      <c r="G491" s="25">
        <f>(VLOOKUP($D491,$C$6:$AJ$991,5,)/VLOOKUP($D491,$C$6:$AJ$991,4,))*$F491</f>
        <v>0</v>
      </c>
      <c r="H491" s="25">
        <f>(VLOOKUP($D491,$C$6:$AJ$991,6,)/VLOOKUP($D491,$C$6:$AJ$991,4,))*$F491</f>
        <v>0</v>
      </c>
      <c r="I491" s="25">
        <f>(VLOOKUP($D491,$C$6:$AJ$991,7,)/VLOOKUP($D491,$C$6:$AJ$991,4,))*$F491</f>
        <v>0</v>
      </c>
      <c r="J491" s="25">
        <f>(VLOOKUP($D491,$C$6:$AJ$991,8,)/VLOOKUP($D491,$C$6:$AJ$991,4,))*$F491</f>
        <v>0</v>
      </c>
      <c r="K491" s="25">
        <f>(VLOOKUP($D491,$C$6:$AJ$991,9,)/VLOOKUP($D491,$C$6:$AJ$991,4,))*$F491</f>
        <v>0</v>
      </c>
      <c r="L491" s="25">
        <f>(VLOOKUP($D491,$C$6:$AJ$991,10,)/VLOOKUP($D491,$C$6:$AJ$991,4,))*$F491</f>
        <v>0</v>
      </c>
      <c r="M491" s="25">
        <f>(VLOOKUP($D491,$C$6:$AJ$991,11,)/VLOOKUP($D491,$C$6:$AJ$991,4,))*$F491</f>
        <v>0</v>
      </c>
      <c r="N491" s="25">
        <f>(VLOOKUP($D491,$C$6:$AJ$991,12,)/VLOOKUP($D491,$C$6:$AJ$991,4,))*$F491</f>
        <v>0</v>
      </c>
      <c r="O491" s="25">
        <f>(VLOOKUP($D491,$C$6:$AJ$991,13,)/VLOOKUP($D491,$C$6:$AJ$991,4,))*$F491</f>
        <v>0</v>
      </c>
      <c r="P491" s="25">
        <f>(VLOOKUP($D491,$C$6:$AJ$991,14,)/VLOOKUP($D491,$C$6:$AJ$991,4,))*$F491</f>
        <v>0</v>
      </c>
      <c r="Q491" s="25">
        <f>(VLOOKUP($D491,$C$6:$AJ$991,15,)/VLOOKUP($D491,$C$6:$AJ$991,4,))*$F491</f>
        <v>0</v>
      </c>
      <c r="R491" s="25">
        <f>(VLOOKUP($D491,$C$6:$AJ$991,16,)/VLOOKUP($D491,$C$6:$AJ$991,4,))*$F491</f>
        <v>0</v>
      </c>
      <c r="S491" s="25">
        <f>(VLOOKUP($D491,$C$6:$AJ$991,17,)/VLOOKUP($D491,$C$6:$AJ$991,4,))*$F491</f>
        <v>0</v>
      </c>
      <c r="T491" s="25">
        <f>(VLOOKUP($D491,$C$6:$AJ$991,18,)/VLOOKUP($D491,$C$6:$AJ$991,4,))*$F491</f>
        <v>0</v>
      </c>
      <c r="U491" s="25">
        <f>(VLOOKUP($D491,$C$6:$AJ$991,19,)/VLOOKUP($D491,$C$6:$AJ$991,4,))*$F491</f>
        <v>0</v>
      </c>
      <c r="V491" s="25">
        <f>(VLOOKUP($D491,$C$6:$AJ$991,20,)/VLOOKUP($D491,$C$6:$AJ$991,4,))*$F491</f>
        <v>0</v>
      </c>
      <c r="W491" s="25">
        <f>SUM(G491:V491)</f>
        <v>0</v>
      </c>
      <c r="X491" s="120" t="str">
        <f>IF(ABS(W491-F491)&lt;1,"ok","err")</f>
        <v>ok</v>
      </c>
    </row>
    <row r="492" spans="1:24" x14ac:dyDescent="0.2">
      <c r="F492" s="30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120"/>
    </row>
    <row r="493" spans="1:24" x14ac:dyDescent="0.2">
      <c r="A493" s="23" t="s">
        <v>715</v>
      </c>
      <c r="F493" s="30">
        <f>SUM(F490:F492)</f>
        <v>3577970.1304642526</v>
      </c>
      <c r="G493" s="25">
        <f>SUM(G490:G492)</f>
        <v>0</v>
      </c>
      <c r="H493" s="25">
        <f t="shared" ref="H493:V493" si="266">SUM(H490:H492)</f>
        <v>0</v>
      </c>
      <c r="I493" s="25">
        <f t="shared" si="266"/>
        <v>3577970.1304642526</v>
      </c>
      <c r="J493" s="25">
        <f t="shared" si="266"/>
        <v>0</v>
      </c>
      <c r="K493" s="25">
        <f t="shared" si="266"/>
        <v>0</v>
      </c>
      <c r="L493" s="25">
        <f t="shared" si="266"/>
        <v>0</v>
      </c>
      <c r="M493" s="25">
        <f t="shared" si="266"/>
        <v>0</v>
      </c>
      <c r="N493" s="25">
        <f t="shared" si="266"/>
        <v>0</v>
      </c>
      <c r="O493" s="25">
        <f t="shared" si="266"/>
        <v>0</v>
      </c>
      <c r="P493" s="25">
        <f t="shared" si="266"/>
        <v>0</v>
      </c>
      <c r="Q493" s="25">
        <f t="shared" si="266"/>
        <v>0</v>
      </c>
      <c r="R493" s="25">
        <f t="shared" si="266"/>
        <v>0</v>
      </c>
      <c r="S493" s="25">
        <f t="shared" si="266"/>
        <v>0</v>
      </c>
      <c r="T493" s="25">
        <f t="shared" si="266"/>
        <v>0</v>
      </c>
      <c r="U493" s="25">
        <f t="shared" si="266"/>
        <v>0</v>
      </c>
      <c r="V493" s="25">
        <f t="shared" si="266"/>
        <v>0</v>
      </c>
      <c r="W493" s="25">
        <f>SUM(G493:V493)</f>
        <v>3577970.1304642526</v>
      </c>
      <c r="X493" s="120" t="str">
        <f>IF(ABS(W493-F493)&lt;1,"ok","err")</f>
        <v>ok</v>
      </c>
    </row>
    <row r="494" spans="1:24" x14ac:dyDescent="0.2">
      <c r="F494" s="30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120"/>
    </row>
    <row r="495" spans="1:24" x14ac:dyDescent="0.2">
      <c r="A495" s="13" t="s">
        <v>4</v>
      </c>
      <c r="F495" s="30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120"/>
    </row>
    <row r="496" spans="1:24" x14ac:dyDescent="0.2">
      <c r="A496" s="23" t="s">
        <v>863</v>
      </c>
      <c r="B496" s="23" t="s">
        <v>386</v>
      </c>
      <c r="C496" s="114" t="s">
        <v>596</v>
      </c>
      <c r="D496" s="114" t="s">
        <v>28</v>
      </c>
      <c r="F496" s="30">
        <v>1086758.5055889599</v>
      </c>
      <c r="G496" s="25">
        <f>(VLOOKUP($D496,$C$6:$AJ$991,5,)/VLOOKUP($D496,$C$6:$AJ$991,4,))*$F496</f>
        <v>0</v>
      </c>
      <c r="H496" s="25">
        <f>(VLOOKUP($D496,$C$6:$AJ$991,6,)/VLOOKUP($D496,$C$6:$AJ$991,4,))*$F496</f>
        <v>0</v>
      </c>
      <c r="I496" s="25">
        <f>(VLOOKUP($D496,$C$6:$AJ$991,7,)/VLOOKUP($D496,$C$6:$AJ$991,4,))*$F496</f>
        <v>0</v>
      </c>
      <c r="J496" s="25">
        <f>(VLOOKUP($D496,$C$6:$AJ$991,8,)/VLOOKUP($D496,$C$6:$AJ$991,4,))*$F496</f>
        <v>0</v>
      </c>
      <c r="K496" s="25">
        <f>(VLOOKUP($D496,$C$6:$AJ$991,9,)/VLOOKUP($D496,$C$6:$AJ$991,4,))*$F496</f>
        <v>189411.26095437855</v>
      </c>
      <c r="L496" s="25">
        <f>(VLOOKUP($D496,$C$6:$AJ$991,10,)/VLOOKUP($D496,$C$6:$AJ$991,4,))*$F496</f>
        <v>897347.2446345815</v>
      </c>
      <c r="M496" s="25">
        <f>(VLOOKUP($D496,$C$6:$AJ$991,11,)/VLOOKUP($D496,$C$6:$AJ$991,4,))*$F496</f>
        <v>0</v>
      </c>
      <c r="N496" s="25">
        <f>(VLOOKUP($D496,$C$6:$AJ$991,12,)/VLOOKUP($D496,$C$6:$AJ$991,4,))*$F496</f>
        <v>0</v>
      </c>
      <c r="O496" s="25">
        <f>(VLOOKUP($D496,$C$6:$AJ$991,13,)/VLOOKUP($D496,$C$6:$AJ$991,4,))*$F496</f>
        <v>0</v>
      </c>
      <c r="P496" s="25">
        <f>(VLOOKUP($D496,$C$6:$AJ$991,14,)/VLOOKUP($D496,$C$6:$AJ$991,4,))*$F496</f>
        <v>0</v>
      </c>
      <c r="Q496" s="25">
        <f>(VLOOKUP($D496,$C$6:$AJ$991,15,)/VLOOKUP($D496,$C$6:$AJ$991,4,))*$F496</f>
        <v>0</v>
      </c>
      <c r="R496" s="25">
        <f>(VLOOKUP($D496,$C$6:$AJ$991,16,)/VLOOKUP($D496,$C$6:$AJ$991,4,))*$F496</f>
        <v>0</v>
      </c>
      <c r="S496" s="25">
        <f>(VLOOKUP($D496,$C$6:$AJ$991,17,)/VLOOKUP($D496,$C$6:$AJ$991,4,))*$F496</f>
        <v>0</v>
      </c>
      <c r="T496" s="25">
        <f>(VLOOKUP($D496,$C$6:$AJ$991,18,)/VLOOKUP($D496,$C$6:$AJ$991,4,))*$F496</f>
        <v>0</v>
      </c>
      <c r="U496" s="25">
        <f>(VLOOKUP($D496,$C$6:$AJ$991,19,)/VLOOKUP($D496,$C$6:$AJ$991,4,))*$F496</f>
        <v>0</v>
      </c>
      <c r="V496" s="25">
        <f>(VLOOKUP($D496,$C$6:$AJ$991,20,)/VLOOKUP($D496,$C$6:$AJ$991,4,))*$F496</f>
        <v>0</v>
      </c>
      <c r="W496" s="25">
        <f>SUM(G496:V496)</f>
        <v>1086758.5055889601</v>
      </c>
      <c r="X496" s="120" t="str">
        <f>IF(ABS(W496-F496)&lt;1,"ok","err")</f>
        <v>ok</v>
      </c>
    </row>
    <row r="497" spans="1:24" x14ac:dyDescent="0.2">
      <c r="F497" s="30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120"/>
    </row>
    <row r="498" spans="1:24" x14ac:dyDescent="0.2">
      <c r="A498" s="13" t="s">
        <v>5</v>
      </c>
      <c r="F498" s="30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120"/>
    </row>
    <row r="499" spans="1:24" x14ac:dyDescent="0.2">
      <c r="A499" s="26">
        <v>374</v>
      </c>
      <c r="B499" s="23" t="s">
        <v>597</v>
      </c>
      <c r="C499" s="114" t="s">
        <v>601</v>
      </c>
      <c r="D499" s="114" t="s">
        <v>38</v>
      </c>
      <c r="F499" s="30">
        <v>0</v>
      </c>
      <c r="G499" s="25">
        <f t="shared" ref="G499:G512" si="267">(VLOOKUP($D499,$C$6:$AJ$991,5,)/VLOOKUP($D499,$C$6:$AJ$991,4,))*$F499</f>
        <v>0</v>
      </c>
      <c r="H499" s="25">
        <f t="shared" ref="H499:H512" si="268">(VLOOKUP($D499,$C$6:$AJ$991,6,)/VLOOKUP($D499,$C$6:$AJ$991,4,))*$F499</f>
        <v>0</v>
      </c>
      <c r="I499" s="25">
        <f t="shared" ref="I499:I512" si="269">(VLOOKUP($D499,$C$6:$AJ$991,7,)/VLOOKUP($D499,$C$6:$AJ$991,4,))*$F499</f>
        <v>0</v>
      </c>
      <c r="J499" s="25">
        <f t="shared" ref="J499:J512" si="270">(VLOOKUP($D499,$C$6:$AJ$991,8,)/VLOOKUP($D499,$C$6:$AJ$991,4,))*$F499</f>
        <v>0</v>
      </c>
      <c r="K499" s="25">
        <f t="shared" ref="K499:K512" si="271">(VLOOKUP($D499,$C$6:$AJ$991,9,)/VLOOKUP($D499,$C$6:$AJ$991,4,))*$F499</f>
        <v>0</v>
      </c>
      <c r="L499" s="25">
        <f t="shared" ref="L499:L512" si="272">(VLOOKUP($D499,$C$6:$AJ$991,10,)/VLOOKUP($D499,$C$6:$AJ$991,4,))*$F499</f>
        <v>0</v>
      </c>
      <c r="M499" s="25">
        <f t="shared" ref="M499:M512" si="273">(VLOOKUP($D499,$C$6:$AJ$991,11,)/VLOOKUP($D499,$C$6:$AJ$991,4,))*$F499</f>
        <v>0</v>
      </c>
      <c r="N499" s="25">
        <f t="shared" ref="N499:N512" si="274">(VLOOKUP($D499,$C$6:$AJ$991,12,)/VLOOKUP($D499,$C$6:$AJ$991,4,))*$F499</f>
        <v>0</v>
      </c>
      <c r="O499" s="25">
        <f t="shared" ref="O499:O512" si="275">(VLOOKUP($D499,$C$6:$AJ$991,13,)/VLOOKUP($D499,$C$6:$AJ$991,4,))*$F499</f>
        <v>0</v>
      </c>
      <c r="P499" s="25">
        <f t="shared" ref="P499:P512" si="276">(VLOOKUP($D499,$C$6:$AJ$991,14,)/VLOOKUP($D499,$C$6:$AJ$991,4,))*$F499</f>
        <v>0</v>
      </c>
      <c r="Q499" s="25">
        <f t="shared" ref="Q499:Q512" si="277">(VLOOKUP($D499,$C$6:$AJ$991,15,)/VLOOKUP($D499,$C$6:$AJ$991,4,))*$F499</f>
        <v>0</v>
      </c>
      <c r="R499" s="25">
        <f t="shared" ref="R499:R512" si="278">(VLOOKUP($D499,$C$6:$AJ$991,16,)/VLOOKUP($D499,$C$6:$AJ$991,4,))*$F499</f>
        <v>0</v>
      </c>
      <c r="S499" s="25">
        <f t="shared" ref="S499:S512" si="279">(VLOOKUP($D499,$C$6:$AJ$991,17,)/VLOOKUP($D499,$C$6:$AJ$991,4,))*$F499</f>
        <v>0</v>
      </c>
      <c r="T499" s="25">
        <f t="shared" ref="T499:T512" si="280">(VLOOKUP($D499,$C$6:$AJ$991,18,)/VLOOKUP($D499,$C$6:$AJ$991,4,))*$F499</f>
        <v>0</v>
      </c>
      <c r="U499" s="25">
        <f t="shared" ref="U499:U512" si="281">(VLOOKUP($D499,$C$6:$AJ$991,19,)/VLOOKUP($D499,$C$6:$AJ$991,4,))*$F499</f>
        <v>0</v>
      </c>
      <c r="V499" s="25">
        <f t="shared" ref="V499:V512" si="282">(VLOOKUP($D499,$C$6:$AJ$991,20,)/VLOOKUP($D499,$C$6:$AJ$991,4,))*$F499</f>
        <v>0</v>
      </c>
      <c r="W499" s="25">
        <f>SUM(G499:V499)</f>
        <v>0</v>
      </c>
      <c r="X499" s="120" t="str">
        <f>IF(ABS(W499-F499)&lt;1,"ok","err")</f>
        <v>ok</v>
      </c>
    </row>
    <row r="500" spans="1:24" x14ac:dyDescent="0.2">
      <c r="A500" s="26">
        <v>375</v>
      </c>
      <c r="B500" s="23" t="s">
        <v>29</v>
      </c>
      <c r="C500" s="114" t="s">
        <v>602</v>
      </c>
      <c r="D500" s="114" t="s">
        <v>38</v>
      </c>
      <c r="F500" s="25">
        <v>36434.369453999992</v>
      </c>
      <c r="G500" s="25">
        <f t="shared" si="267"/>
        <v>0</v>
      </c>
      <c r="H500" s="25">
        <f t="shared" si="268"/>
        <v>0</v>
      </c>
      <c r="I500" s="25">
        <f t="shared" si="269"/>
        <v>0</v>
      </c>
      <c r="J500" s="25">
        <f t="shared" si="270"/>
        <v>0</v>
      </c>
      <c r="K500" s="25">
        <f t="shared" si="271"/>
        <v>0</v>
      </c>
      <c r="L500" s="25">
        <f t="shared" si="272"/>
        <v>0</v>
      </c>
      <c r="M500" s="25">
        <f t="shared" si="273"/>
        <v>0</v>
      </c>
      <c r="N500" s="25">
        <f t="shared" si="274"/>
        <v>36434.369453999992</v>
      </c>
      <c r="O500" s="25">
        <f t="shared" si="275"/>
        <v>0</v>
      </c>
      <c r="P500" s="25">
        <f t="shared" si="276"/>
        <v>0</v>
      </c>
      <c r="Q500" s="25">
        <f t="shared" si="277"/>
        <v>0</v>
      </c>
      <c r="R500" s="25">
        <f t="shared" si="278"/>
        <v>0</v>
      </c>
      <c r="S500" s="25">
        <f t="shared" si="279"/>
        <v>0</v>
      </c>
      <c r="T500" s="25">
        <f t="shared" si="280"/>
        <v>0</v>
      </c>
      <c r="U500" s="25">
        <f t="shared" si="281"/>
        <v>0</v>
      </c>
      <c r="V500" s="25">
        <f t="shared" si="282"/>
        <v>0</v>
      </c>
      <c r="W500" s="25">
        <f t="shared" ref="W500:W510" si="283">SUM(G500:V500)</f>
        <v>36434.369453999992</v>
      </c>
      <c r="X500" s="120" t="str">
        <f t="shared" ref="X500:X514" si="284">IF(ABS(W500-F500)&lt;1,"ok","err")</f>
        <v>ok</v>
      </c>
    </row>
    <row r="501" spans="1:24" x14ac:dyDescent="0.2">
      <c r="A501" s="26">
        <v>376</v>
      </c>
      <c r="B501" s="23" t="s">
        <v>31</v>
      </c>
      <c r="C501" s="114" t="s">
        <v>603</v>
      </c>
      <c r="D501" s="114" t="s">
        <v>40</v>
      </c>
      <c r="F501" s="25">
        <v>8512130.3967099972</v>
      </c>
      <c r="G501" s="25">
        <f t="shared" si="267"/>
        <v>0</v>
      </c>
      <c r="H501" s="25">
        <f t="shared" si="268"/>
        <v>0</v>
      </c>
      <c r="I501" s="25">
        <f t="shared" si="269"/>
        <v>0</v>
      </c>
      <c r="J501" s="25">
        <f t="shared" si="270"/>
        <v>0</v>
      </c>
      <c r="K501" s="25">
        <f t="shared" si="271"/>
        <v>0</v>
      </c>
      <c r="L501" s="25">
        <f t="shared" si="272"/>
        <v>0</v>
      </c>
      <c r="M501" s="25">
        <f t="shared" si="273"/>
        <v>0</v>
      </c>
      <c r="N501" s="25">
        <f t="shared" si="274"/>
        <v>0</v>
      </c>
      <c r="O501" s="25">
        <f t="shared" si="275"/>
        <v>7670240.2991791703</v>
      </c>
      <c r="P501" s="25">
        <f t="shared" si="276"/>
        <v>0</v>
      </c>
      <c r="Q501" s="25">
        <f t="shared" si="277"/>
        <v>841890.09753082728</v>
      </c>
      <c r="R501" s="25">
        <f t="shared" si="278"/>
        <v>0</v>
      </c>
      <c r="S501" s="25">
        <f t="shared" si="279"/>
        <v>0</v>
      </c>
      <c r="T501" s="25">
        <f t="shared" si="280"/>
        <v>0</v>
      </c>
      <c r="U501" s="25">
        <f t="shared" si="281"/>
        <v>0</v>
      </c>
      <c r="V501" s="25">
        <f t="shared" si="282"/>
        <v>0</v>
      </c>
      <c r="W501" s="25">
        <f t="shared" si="283"/>
        <v>8512130.3967099972</v>
      </c>
      <c r="X501" s="120" t="str">
        <f t="shared" si="284"/>
        <v>ok</v>
      </c>
    </row>
    <row r="502" spans="1:24" x14ac:dyDescent="0.2">
      <c r="A502" s="26">
        <v>378</v>
      </c>
      <c r="B502" s="23" t="s">
        <v>599</v>
      </c>
      <c r="C502" s="114" t="s">
        <v>604</v>
      </c>
      <c r="D502" s="114" t="s">
        <v>38</v>
      </c>
      <c r="F502" s="25">
        <v>664444.94149459957</v>
      </c>
      <c r="G502" s="25">
        <f t="shared" si="267"/>
        <v>0</v>
      </c>
      <c r="H502" s="25">
        <f t="shared" si="268"/>
        <v>0</v>
      </c>
      <c r="I502" s="25">
        <f t="shared" si="269"/>
        <v>0</v>
      </c>
      <c r="J502" s="25">
        <f t="shared" si="270"/>
        <v>0</v>
      </c>
      <c r="K502" s="25">
        <f t="shared" si="271"/>
        <v>0</v>
      </c>
      <c r="L502" s="25">
        <f t="shared" si="272"/>
        <v>0</v>
      </c>
      <c r="M502" s="25">
        <f t="shared" si="273"/>
        <v>0</v>
      </c>
      <c r="N502" s="25">
        <f t="shared" si="274"/>
        <v>664444.94149459957</v>
      </c>
      <c r="O502" s="25">
        <f t="shared" si="275"/>
        <v>0</v>
      </c>
      <c r="P502" s="25">
        <f t="shared" si="276"/>
        <v>0</v>
      </c>
      <c r="Q502" s="25">
        <f t="shared" si="277"/>
        <v>0</v>
      </c>
      <c r="R502" s="25">
        <f t="shared" si="278"/>
        <v>0</v>
      </c>
      <c r="S502" s="25">
        <f t="shared" si="279"/>
        <v>0</v>
      </c>
      <c r="T502" s="25">
        <f t="shared" si="280"/>
        <v>0</v>
      </c>
      <c r="U502" s="25">
        <f t="shared" si="281"/>
        <v>0</v>
      </c>
      <c r="V502" s="25">
        <f t="shared" si="282"/>
        <v>0</v>
      </c>
      <c r="W502" s="25">
        <f t="shared" si="283"/>
        <v>664444.94149459957</v>
      </c>
      <c r="X502" s="120" t="str">
        <f t="shared" si="284"/>
        <v>ok</v>
      </c>
    </row>
    <row r="503" spans="1:24" x14ac:dyDescent="0.2">
      <c r="A503" s="26">
        <v>379</v>
      </c>
      <c r="B503" s="23" t="s">
        <v>598</v>
      </c>
      <c r="C503" s="114" t="s">
        <v>605</v>
      </c>
      <c r="D503" s="114" t="s">
        <v>38</v>
      </c>
      <c r="F503" s="25">
        <v>448793.28422449989</v>
      </c>
      <c r="G503" s="25">
        <f t="shared" si="267"/>
        <v>0</v>
      </c>
      <c r="H503" s="25">
        <f t="shared" si="268"/>
        <v>0</v>
      </c>
      <c r="I503" s="25">
        <f t="shared" si="269"/>
        <v>0</v>
      </c>
      <c r="J503" s="25">
        <f t="shared" si="270"/>
        <v>0</v>
      </c>
      <c r="K503" s="25">
        <f t="shared" si="271"/>
        <v>0</v>
      </c>
      <c r="L503" s="25">
        <f t="shared" si="272"/>
        <v>0</v>
      </c>
      <c r="M503" s="25">
        <f t="shared" si="273"/>
        <v>0</v>
      </c>
      <c r="N503" s="25">
        <f t="shared" si="274"/>
        <v>448793.28422449989</v>
      </c>
      <c r="O503" s="25">
        <f t="shared" si="275"/>
        <v>0</v>
      </c>
      <c r="P503" s="25">
        <f t="shared" si="276"/>
        <v>0</v>
      </c>
      <c r="Q503" s="25">
        <f t="shared" si="277"/>
        <v>0</v>
      </c>
      <c r="R503" s="25">
        <f t="shared" si="278"/>
        <v>0</v>
      </c>
      <c r="S503" s="25">
        <f t="shared" si="279"/>
        <v>0</v>
      </c>
      <c r="T503" s="25">
        <f t="shared" si="280"/>
        <v>0</v>
      </c>
      <c r="U503" s="25">
        <f t="shared" si="281"/>
        <v>0</v>
      </c>
      <c r="V503" s="25">
        <f t="shared" si="282"/>
        <v>0</v>
      </c>
      <c r="W503" s="25">
        <f t="shared" si="283"/>
        <v>448793.28422449989</v>
      </c>
      <c r="X503" s="120" t="str">
        <f t="shared" si="284"/>
        <v>ok</v>
      </c>
    </row>
    <row r="504" spans="1:24" x14ac:dyDescent="0.2">
      <c r="A504" s="26">
        <v>380</v>
      </c>
      <c r="B504" s="23" t="s">
        <v>10</v>
      </c>
      <c r="C504" s="114" t="s">
        <v>606</v>
      </c>
      <c r="D504" s="114" t="s">
        <v>42</v>
      </c>
      <c r="F504" s="25">
        <f>12286772.9994</f>
        <v>12286772.999399999</v>
      </c>
      <c r="G504" s="25">
        <f t="shared" si="267"/>
        <v>0</v>
      </c>
      <c r="H504" s="25">
        <f t="shared" si="268"/>
        <v>0</v>
      </c>
      <c r="I504" s="25">
        <f t="shared" si="269"/>
        <v>0</v>
      </c>
      <c r="J504" s="25">
        <f t="shared" si="270"/>
        <v>0</v>
      </c>
      <c r="K504" s="25">
        <f t="shared" si="271"/>
        <v>0</v>
      </c>
      <c r="L504" s="25">
        <f t="shared" si="272"/>
        <v>0</v>
      </c>
      <c r="M504" s="25">
        <f t="shared" si="273"/>
        <v>0</v>
      </c>
      <c r="N504" s="25">
        <f t="shared" si="274"/>
        <v>0</v>
      </c>
      <c r="O504" s="25">
        <f t="shared" si="275"/>
        <v>0</v>
      </c>
      <c r="P504" s="25">
        <f t="shared" si="276"/>
        <v>0</v>
      </c>
      <c r="Q504" s="25">
        <f t="shared" si="277"/>
        <v>0</v>
      </c>
      <c r="R504" s="25">
        <f t="shared" si="278"/>
        <v>0</v>
      </c>
      <c r="S504" s="25">
        <f t="shared" si="279"/>
        <v>12286772.999399999</v>
      </c>
      <c r="T504" s="25">
        <f t="shared" si="280"/>
        <v>0</v>
      </c>
      <c r="U504" s="25">
        <f t="shared" si="281"/>
        <v>0</v>
      </c>
      <c r="V504" s="25">
        <f t="shared" si="282"/>
        <v>0</v>
      </c>
      <c r="W504" s="25">
        <f t="shared" si="283"/>
        <v>12286772.999399999</v>
      </c>
      <c r="X504" s="120" t="str">
        <f t="shared" si="284"/>
        <v>ok</v>
      </c>
    </row>
    <row r="505" spans="1:24" x14ac:dyDescent="0.2">
      <c r="A505" s="26">
        <v>381</v>
      </c>
      <c r="B505" s="23" t="s">
        <v>11</v>
      </c>
      <c r="C505" s="114" t="s">
        <v>607</v>
      </c>
      <c r="D505" s="114" t="s">
        <v>45</v>
      </c>
      <c r="F505" s="25">
        <v>2192731.034215997</v>
      </c>
      <c r="G505" s="25">
        <f t="shared" si="267"/>
        <v>0</v>
      </c>
      <c r="H505" s="25">
        <f t="shared" si="268"/>
        <v>0</v>
      </c>
      <c r="I505" s="25">
        <f t="shared" si="269"/>
        <v>0</v>
      </c>
      <c r="J505" s="25">
        <f t="shared" si="270"/>
        <v>0</v>
      </c>
      <c r="K505" s="25">
        <f t="shared" si="271"/>
        <v>0</v>
      </c>
      <c r="L505" s="25">
        <f t="shared" si="272"/>
        <v>0</v>
      </c>
      <c r="M505" s="25">
        <f t="shared" si="273"/>
        <v>0</v>
      </c>
      <c r="N505" s="25">
        <f t="shared" si="274"/>
        <v>0</v>
      </c>
      <c r="O505" s="25">
        <f t="shared" si="275"/>
        <v>0</v>
      </c>
      <c r="P505" s="25">
        <f t="shared" si="276"/>
        <v>0</v>
      </c>
      <c r="Q505" s="25">
        <f t="shared" si="277"/>
        <v>0</v>
      </c>
      <c r="R505" s="25">
        <f t="shared" si="278"/>
        <v>0</v>
      </c>
      <c r="S505" s="25">
        <f t="shared" si="279"/>
        <v>0</v>
      </c>
      <c r="T505" s="25">
        <f t="shared" si="280"/>
        <v>2192731.034215997</v>
      </c>
      <c r="U505" s="25">
        <f t="shared" si="281"/>
        <v>0</v>
      </c>
      <c r="V505" s="25">
        <f t="shared" si="282"/>
        <v>0</v>
      </c>
      <c r="W505" s="25">
        <f t="shared" si="283"/>
        <v>2192731.034215997</v>
      </c>
      <c r="X505" s="120" t="str">
        <f t="shared" si="284"/>
        <v>ok</v>
      </c>
    </row>
    <row r="506" spans="1:24" x14ac:dyDescent="0.2">
      <c r="A506" s="26">
        <v>382</v>
      </c>
      <c r="B506" s="23" t="s">
        <v>43</v>
      </c>
      <c r="C506" s="114" t="s">
        <v>608</v>
      </c>
      <c r="D506" s="114" t="s">
        <v>45</v>
      </c>
      <c r="F506" s="25">
        <v>0</v>
      </c>
      <c r="G506" s="25">
        <f t="shared" si="267"/>
        <v>0</v>
      </c>
      <c r="H506" s="25">
        <f t="shared" si="268"/>
        <v>0</v>
      </c>
      <c r="I506" s="25">
        <f t="shared" si="269"/>
        <v>0</v>
      </c>
      <c r="J506" s="25">
        <f t="shared" si="270"/>
        <v>0</v>
      </c>
      <c r="K506" s="25">
        <f t="shared" si="271"/>
        <v>0</v>
      </c>
      <c r="L506" s="25">
        <f t="shared" si="272"/>
        <v>0</v>
      </c>
      <c r="M506" s="25">
        <f t="shared" si="273"/>
        <v>0</v>
      </c>
      <c r="N506" s="25">
        <f t="shared" si="274"/>
        <v>0</v>
      </c>
      <c r="O506" s="25">
        <f t="shared" si="275"/>
        <v>0</v>
      </c>
      <c r="P506" s="25">
        <f t="shared" si="276"/>
        <v>0</v>
      </c>
      <c r="Q506" s="25">
        <f t="shared" si="277"/>
        <v>0</v>
      </c>
      <c r="R506" s="25">
        <f t="shared" si="278"/>
        <v>0</v>
      </c>
      <c r="S506" s="25">
        <f t="shared" si="279"/>
        <v>0</v>
      </c>
      <c r="T506" s="25">
        <f t="shared" si="280"/>
        <v>0</v>
      </c>
      <c r="U506" s="25">
        <f t="shared" si="281"/>
        <v>0</v>
      </c>
      <c r="V506" s="25">
        <f t="shared" si="282"/>
        <v>0</v>
      </c>
      <c r="W506" s="25">
        <f t="shared" si="283"/>
        <v>0</v>
      </c>
      <c r="X506" s="120" t="str">
        <f t="shared" si="284"/>
        <v>ok</v>
      </c>
    </row>
    <row r="507" spans="1:24" x14ac:dyDescent="0.2">
      <c r="A507" s="26">
        <v>383</v>
      </c>
      <c r="B507" s="23" t="s">
        <v>46</v>
      </c>
      <c r="C507" s="114" t="s">
        <v>609</v>
      </c>
      <c r="D507" s="114" t="s">
        <v>45</v>
      </c>
      <c r="F507" s="25">
        <v>962550.00006000011</v>
      </c>
      <c r="G507" s="25">
        <f t="shared" si="267"/>
        <v>0</v>
      </c>
      <c r="H507" s="25">
        <f t="shared" si="268"/>
        <v>0</v>
      </c>
      <c r="I507" s="25">
        <f t="shared" si="269"/>
        <v>0</v>
      </c>
      <c r="J507" s="25">
        <f t="shared" si="270"/>
        <v>0</v>
      </c>
      <c r="K507" s="25">
        <f t="shared" si="271"/>
        <v>0</v>
      </c>
      <c r="L507" s="25">
        <f t="shared" si="272"/>
        <v>0</v>
      </c>
      <c r="M507" s="25">
        <f t="shared" si="273"/>
        <v>0</v>
      </c>
      <c r="N507" s="25">
        <f t="shared" si="274"/>
        <v>0</v>
      </c>
      <c r="O507" s="25">
        <f t="shared" si="275"/>
        <v>0</v>
      </c>
      <c r="P507" s="25">
        <f t="shared" si="276"/>
        <v>0</v>
      </c>
      <c r="Q507" s="25">
        <f t="shared" si="277"/>
        <v>0</v>
      </c>
      <c r="R507" s="25">
        <f t="shared" si="278"/>
        <v>0</v>
      </c>
      <c r="S507" s="25">
        <f t="shared" si="279"/>
        <v>0</v>
      </c>
      <c r="T507" s="25">
        <f t="shared" si="280"/>
        <v>962550.00006000011</v>
      </c>
      <c r="U507" s="25">
        <f t="shared" si="281"/>
        <v>0</v>
      </c>
      <c r="V507" s="25">
        <f t="shared" si="282"/>
        <v>0</v>
      </c>
      <c r="W507" s="25">
        <f t="shared" si="283"/>
        <v>962550.00006000011</v>
      </c>
      <c r="X507" s="120" t="str">
        <f t="shared" si="284"/>
        <v>ok</v>
      </c>
    </row>
    <row r="508" spans="1:24" x14ac:dyDescent="0.2">
      <c r="A508" s="26">
        <v>384</v>
      </c>
      <c r="B508" s="23" t="s">
        <v>49</v>
      </c>
      <c r="C508" s="114" t="s">
        <v>610</v>
      </c>
      <c r="D508" s="114" t="s">
        <v>45</v>
      </c>
      <c r="F508" s="25">
        <v>0</v>
      </c>
      <c r="G508" s="25">
        <f t="shared" si="267"/>
        <v>0</v>
      </c>
      <c r="H508" s="25">
        <f t="shared" si="268"/>
        <v>0</v>
      </c>
      <c r="I508" s="25">
        <f t="shared" si="269"/>
        <v>0</v>
      </c>
      <c r="J508" s="25">
        <f t="shared" si="270"/>
        <v>0</v>
      </c>
      <c r="K508" s="25">
        <f t="shared" si="271"/>
        <v>0</v>
      </c>
      <c r="L508" s="25">
        <f t="shared" si="272"/>
        <v>0</v>
      </c>
      <c r="M508" s="25">
        <f t="shared" si="273"/>
        <v>0</v>
      </c>
      <c r="N508" s="25">
        <f t="shared" si="274"/>
        <v>0</v>
      </c>
      <c r="O508" s="25">
        <f t="shared" si="275"/>
        <v>0</v>
      </c>
      <c r="P508" s="25">
        <f t="shared" si="276"/>
        <v>0</v>
      </c>
      <c r="Q508" s="25">
        <f t="shared" si="277"/>
        <v>0</v>
      </c>
      <c r="R508" s="25">
        <f t="shared" si="278"/>
        <v>0</v>
      </c>
      <c r="S508" s="25">
        <f t="shared" si="279"/>
        <v>0</v>
      </c>
      <c r="T508" s="25">
        <f t="shared" si="280"/>
        <v>0</v>
      </c>
      <c r="U508" s="25">
        <f t="shared" si="281"/>
        <v>0</v>
      </c>
      <c r="V508" s="25">
        <f t="shared" si="282"/>
        <v>0</v>
      </c>
      <c r="W508" s="25">
        <f t="shared" si="283"/>
        <v>0</v>
      </c>
      <c r="X508" s="120" t="str">
        <f t="shared" si="284"/>
        <v>ok</v>
      </c>
    </row>
    <row r="509" spans="1:24" x14ac:dyDescent="0.2">
      <c r="A509" s="26">
        <v>385</v>
      </c>
      <c r="B509" s="23" t="s">
        <v>600</v>
      </c>
      <c r="C509" s="114" t="s">
        <v>611</v>
      </c>
      <c r="D509" s="114" t="s">
        <v>45</v>
      </c>
      <c r="F509" s="25">
        <v>52324.048106699986</v>
      </c>
      <c r="G509" s="25">
        <f t="shared" si="267"/>
        <v>0</v>
      </c>
      <c r="H509" s="25">
        <f t="shared" si="268"/>
        <v>0</v>
      </c>
      <c r="I509" s="25">
        <f t="shared" si="269"/>
        <v>0</v>
      </c>
      <c r="J509" s="25">
        <f t="shared" si="270"/>
        <v>0</v>
      </c>
      <c r="K509" s="25">
        <f t="shared" si="271"/>
        <v>0</v>
      </c>
      <c r="L509" s="25">
        <f t="shared" si="272"/>
        <v>0</v>
      </c>
      <c r="M509" s="25">
        <f t="shared" si="273"/>
        <v>0</v>
      </c>
      <c r="N509" s="25">
        <f t="shared" si="274"/>
        <v>0</v>
      </c>
      <c r="O509" s="25">
        <f t="shared" si="275"/>
        <v>0</v>
      </c>
      <c r="P509" s="25">
        <f t="shared" si="276"/>
        <v>0</v>
      </c>
      <c r="Q509" s="25">
        <f t="shared" si="277"/>
        <v>0</v>
      </c>
      <c r="R509" s="25">
        <f t="shared" si="278"/>
        <v>0</v>
      </c>
      <c r="S509" s="25">
        <f t="shared" si="279"/>
        <v>0</v>
      </c>
      <c r="T509" s="25">
        <f t="shared" si="280"/>
        <v>52324.048106699986</v>
      </c>
      <c r="U509" s="25">
        <f t="shared" si="281"/>
        <v>0</v>
      </c>
      <c r="V509" s="25">
        <f t="shared" si="282"/>
        <v>0</v>
      </c>
      <c r="W509" s="25">
        <f t="shared" si="283"/>
        <v>52324.048106699986</v>
      </c>
      <c r="X509" s="120" t="str">
        <f t="shared" si="284"/>
        <v>ok</v>
      </c>
    </row>
    <row r="510" spans="1:24" x14ac:dyDescent="0.2">
      <c r="A510" s="26">
        <v>387</v>
      </c>
      <c r="B510" s="23" t="s">
        <v>54</v>
      </c>
      <c r="C510" s="114" t="s">
        <v>612</v>
      </c>
      <c r="D510" s="114" t="s">
        <v>45</v>
      </c>
      <c r="F510" s="25">
        <v>38166.517636399985</v>
      </c>
      <c r="G510" s="25">
        <f t="shared" si="267"/>
        <v>0</v>
      </c>
      <c r="H510" s="25">
        <f t="shared" si="268"/>
        <v>0</v>
      </c>
      <c r="I510" s="25">
        <f t="shared" si="269"/>
        <v>0</v>
      </c>
      <c r="J510" s="25">
        <f t="shared" si="270"/>
        <v>0</v>
      </c>
      <c r="K510" s="25">
        <f t="shared" si="271"/>
        <v>0</v>
      </c>
      <c r="L510" s="25">
        <f t="shared" si="272"/>
        <v>0</v>
      </c>
      <c r="M510" s="25">
        <f t="shared" si="273"/>
        <v>0</v>
      </c>
      <c r="N510" s="25">
        <f t="shared" si="274"/>
        <v>0</v>
      </c>
      <c r="O510" s="25">
        <f t="shared" si="275"/>
        <v>0</v>
      </c>
      <c r="P510" s="25">
        <f t="shared" si="276"/>
        <v>0</v>
      </c>
      <c r="Q510" s="25">
        <f t="shared" si="277"/>
        <v>0</v>
      </c>
      <c r="R510" s="25">
        <f t="shared" si="278"/>
        <v>0</v>
      </c>
      <c r="S510" s="25">
        <f t="shared" si="279"/>
        <v>0</v>
      </c>
      <c r="T510" s="25">
        <f t="shared" si="280"/>
        <v>38166.517636399985</v>
      </c>
      <c r="U510" s="25">
        <f t="shared" si="281"/>
        <v>0</v>
      </c>
      <c r="V510" s="25">
        <f t="shared" si="282"/>
        <v>0</v>
      </c>
      <c r="W510" s="25">
        <f t="shared" si="283"/>
        <v>38166.517636399985</v>
      </c>
      <c r="X510" s="120" t="str">
        <f t="shared" si="284"/>
        <v>ok</v>
      </c>
    </row>
    <row r="511" spans="1:24" x14ac:dyDescent="0.2">
      <c r="A511" s="26">
        <v>388</v>
      </c>
      <c r="B511" s="23" t="s">
        <v>712</v>
      </c>
      <c r="C511" s="114" t="s">
        <v>714</v>
      </c>
      <c r="D511" s="114" t="s">
        <v>38</v>
      </c>
      <c r="F511" s="25">
        <v>0</v>
      </c>
      <c r="G511" s="25">
        <f t="shared" si="267"/>
        <v>0</v>
      </c>
      <c r="H511" s="25">
        <f t="shared" si="268"/>
        <v>0</v>
      </c>
      <c r="I511" s="25">
        <f t="shared" si="269"/>
        <v>0</v>
      </c>
      <c r="J511" s="25">
        <f t="shared" si="270"/>
        <v>0</v>
      </c>
      <c r="K511" s="25">
        <f t="shared" si="271"/>
        <v>0</v>
      </c>
      <c r="L511" s="25">
        <f t="shared" si="272"/>
        <v>0</v>
      </c>
      <c r="M511" s="25">
        <f t="shared" si="273"/>
        <v>0</v>
      </c>
      <c r="N511" s="25">
        <f t="shared" si="274"/>
        <v>0</v>
      </c>
      <c r="O511" s="25">
        <f t="shared" si="275"/>
        <v>0</v>
      </c>
      <c r="P511" s="25">
        <f t="shared" si="276"/>
        <v>0</v>
      </c>
      <c r="Q511" s="25">
        <f t="shared" si="277"/>
        <v>0</v>
      </c>
      <c r="R511" s="25">
        <f t="shared" si="278"/>
        <v>0</v>
      </c>
      <c r="S511" s="25">
        <f t="shared" si="279"/>
        <v>0</v>
      </c>
      <c r="T511" s="25">
        <f t="shared" si="280"/>
        <v>0</v>
      </c>
      <c r="U511" s="25">
        <f t="shared" si="281"/>
        <v>0</v>
      </c>
      <c r="V511" s="25">
        <f t="shared" si="282"/>
        <v>0</v>
      </c>
      <c r="W511" s="25">
        <f>SUM(G511:V511)</f>
        <v>0</v>
      </c>
      <c r="X511" s="120" t="str">
        <f>IF(ABS(W511-F511)&lt;1,"ok","err")</f>
        <v>ok</v>
      </c>
    </row>
    <row r="512" spans="1:24" x14ac:dyDescent="0.2">
      <c r="A512" s="26">
        <v>388</v>
      </c>
      <c r="B512" s="23" t="s">
        <v>711</v>
      </c>
      <c r="C512" s="114" t="s">
        <v>714</v>
      </c>
      <c r="D512" s="114" t="s">
        <v>40</v>
      </c>
      <c r="F512" s="25">
        <v>0</v>
      </c>
      <c r="G512" s="25">
        <f t="shared" si="267"/>
        <v>0</v>
      </c>
      <c r="H512" s="25">
        <f t="shared" si="268"/>
        <v>0</v>
      </c>
      <c r="I512" s="25">
        <f t="shared" si="269"/>
        <v>0</v>
      </c>
      <c r="J512" s="25">
        <f t="shared" si="270"/>
        <v>0</v>
      </c>
      <c r="K512" s="25">
        <f t="shared" si="271"/>
        <v>0</v>
      </c>
      <c r="L512" s="25">
        <f t="shared" si="272"/>
        <v>0</v>
      </c>
      <c r="M512" s="25">
        <f t="shared" si="273"/>
        <v>0</v>
      </c>
      <c r="N512" s="25">
        <f t="shared" si="274"/>
        <v>0</v>
      </c>
      <c r="O512" s="25">
        <f t="shared" si="275"/>
        <v>0</v>
      </c>
      <c r="P512" s="25">
        <f t="shared" si="276"/>
        <v>0</v>
      </c>
      <c r="Q512" s="25">
        <f t="shared" si="277"/>
        <v>0</v>
      </c>
      <c r="R512" s="25">
        <f t="shared" si="278"/>
        <v>0</v>
      </c>
      <c r="S512" s="25">
        <f t="shared" si="279"/>
        <v>0</v>
      </c>
      <c r="T512" s="25">
        <f t="shared" si="280"/>
        <v>0</v>
      </c>
      <c r="U512" s="25">
        <f t="shared" si="281"/>
        <v>0</v>
      </c>
      <c r="V512" s="25">
        <f t="shared" si="282"/>
        <v>0</v>
      </c>
      <c r="W512" s="25">
        <f>SUM(G512:V512)</f>
        <v>0</v>
      </c>
      <c r="X512" s="120" t="str">
        <f>IF(ABS(W512-F512)&lt;1,"ok","err")</f>
        <v>ok</v>
      </c>
    </row>
    <row r="514" spans="1:24" x14ac:dyDescent="0.2">
      <c r="A514" s="23" t="s">
        <v>613</v>
      </c>
      <c r="F514" s="31">
        <f>SUM(F499:F513)</f>
        <v>25194347.591302194</v>
      </c>
      <c r="G514" s="31">
        <f t="shared" ref="G514:W514" si="285">SUM(G499:G513)</f>
        <v>0</v>
      </c>
      <c r="H514" s="31">
        <f t="shared" si="285"/>
        <v>0</v>
      </c>
      <c r="I514" s="31">
        <f t="shared" si="285"/>
        <v>0</v>
      </c>
      <c r="J514" s="31">
        <f t="shared" si="285"/>
        <v>0</v>
      </c>
      <c r="K514" s="31">
        <f t="shared" si="285"/>
        <v>0</v>
      </c>
      <c r="L514" s="31">
        <f t="shared" si="285"/>
        <v>0</v>
      </c>
      <c r="M514" s="31">
        <f t="shared" si="285"/>
        <v>0</v>
      </c>
      <c r="N514" s="31">
        <f t="shared" si="285"/>
        <v>1149672.5951730995</v>
      </c>
      <c r="O514" s="31">
        <f t="shared" si="285"/>
        <v>7670240.2991791703</v>
      </c>
      <c r="P514" s="31">
        <f t="shared" si="285"/>
        <v>0</v>
      </c>
      <c r="Q514" s="31">
        <f>SUM(Q499:Q513)</f>
        <v>841890.09753082728</v>
      </c>
      <c r="R514" s="31">
        <f>SUM(R499:R513)</f>
        <v>0</v>
      </c>
      <c r="S514" s="31">
        <f t="shared" si="285"/>
        <v>12286772.999399999</v>
      </c>
      <c r="T514" s="31">
        <f t="shared" si="285"/>
        <v>3245771.6000190973</v>
      </c>
      <c r="U514" s="31">
        <f t="shared" si="285"/>
        <v>0</v>
      </c>
      <c r="V514" s="31">
        <f t="shared" si="285"/>
        <v>0</v>
      </c>
      <c r="W514" s="31">
        <f t="shared" si="285"/>
        <v>25194347.591302194</v>
      </c>
      <c r="X514" s="120" t="str">
        <f t="shared" si="284"/>
        <v>ok</v>
      </c>
    </row>
    <row r="515" spans="1:24" x14ac:dyDescent="0.2">
      <c r="F515" s="31"/>
    </row>
    <row r="516" spans="1:24" x14ac:dyDescent="0.2">
      <c r="A516" s="26">
        <v>117</v>
      </c>
      <c r="B516" s="23" t="s">
        <v>86</v>
      </c>
      <c r="C516" s="114" t="s">
        <v>614</v>
      </c>
      <c r="D516" s="114" t="s">
        <v>25</v>
      </c>
      <c r="F516" s="30">
        <v>0</v>
      </c>
      <c r="G516" s="25">
        <f>(VLOOKUP($D516,$C$6:$AJ$991,5,)/VLOOKUP($D516,$C$6:$AJ$991,4,))*$F516</f>
        <v>0</v>
      </c>
      <c r="H516" s="25">
        <f>(VLOOKUP($D516,$C$6:$AJ$991,6,)/VLOOKUP($D516,$C$6:$AJ$991,4,))*$F516</f>
        <v>0</v>
      </c>
      <c r="I516" s="25">
        <f>(VLOOKUP($D516,$C$6:$AJ$991,7,)/VLOOKUP($D516,$C$6:$AJ$991,4,))*$F516</f>
        <v>0</v>
      </c>
      <c r="J516" s="25">
        <f>(VLOOKUP($D516,$C$6:$AJ$991,8,)/VLOOKUP($D516,$C$6:$AJ$991,4,))*$F516</f>
        <v>0</v>
      </c>
      <c r="K516" s="25">
        <f>(VLOOKUP($D516,$C$6:$AJ$991,9,)/VLOOKUP($D516,$C$6:$AJ$991,4,))*$F516</f>
        <v>0</v>
      </c>
      <c r="L516" s="25">
        <f>(VLOOKUP($D516,$C$6:$AJ$991,10,)/VLOOKUP($D516,$C$6:$AJ$991,4,))*$F516</f>
        <v>0</v>
      </c>
      <c r="M516" s="25">
        <f>(VLOOKUP($D516,$C$6:$AJ$991,11,)/VLOOKUP($D516,$C$6:$AJ$991,4,))*$F516</f>
        <v>0</v>
      </c>
      <c r="N516" s="25">
        <f>(VLOOKUP($D516,$C$6:$AJ$991,12,)/VLOOKUP($D516,$C$6:$AJ$991,4,))*$F516</f>
        <v>0</v>
      </c>
      <c r="O516" s="25">
        <f>(VLOOKUP($D516,$C$6:$AJ$991,13,)/VLOOKUP($D516,$C$6:$AJ$991,4,))*$F516</f>
        <v>0</v>
      </c>
      <c r="P516" s="25">
        <f>(VLOOKUP($D516,$C$6:$AJ$991,14,)/VLOOKUP($D516,$C$6:$AJ$991,4,))*$F516</f>
        <v>0</v>
      </c>
      <c r="Q516" s="25">
        <f>(VLOOKUP($D516,$C$6:$AJ$991,15,)/VLOOKUP($D516,$C$6:$AJ$991,4,))*$F516</f>
        <v>0</v>
      </c>
      <c r="R516" s="25">
        <f>(VLOOKUP($D516,$C$6:$AJ$991,16,)/VLOOKUP($D516,$C$6:$AJ$991,4,))*$F516</f>
        <v>0</v>
      </c>
      <c r="S516" s="25">
        <f>(VLOOKUP($D516,$C$6:$AJ$991,17,)/VLOOKUP($D516,$C$6:$AJ$991,4,))*$F516</f>
        <v>0</v>
      </c>
      <c r="T516" s="25">
        <f>(VLOOKUP($D516,$C$6:$AJ$991,18,)/VLOOKUP($D516,$C$6:$AJ$991,4,))*$F516</f>
        <v>0</v>
      </c>
      <c r="U516" s="25">
        <f>(VLOOKUP($D516,$C$6:$AJ$991,19,)/VLOOKUP($D516,$C$6:$AJ$991,4,))*$F516</f>
        <v>0</v>
      </c>
      <c r="V516" s="25">
        <f>(VLOOKUP($D516,$C$6:$AJ$991,20,)/VLOOKUP($D516,$C$6:$AJ$991,4,))*$F516</f>
        <v>0</v>
      </c>
      <c r="W516" s="25">
        <f>SUM(G516:V516)</f>
        <v>0</v>
      </c>
      <c r="X516" s="120" t="str">
        <f>IF(ABS(W516-F516)&lt;1,"ok","err")</f>
        <v>ok</v>
      </c>
    </row>
    <row r="517" spans="1:24" x14ac:dyDescent="0.2">
      <c r="A517" s="26" t="s">
        <v>57</v>
      </c>
      <c r="B517" s="23" t="s">
        <v>58</v>
      </c>
      <c r="C517" s="114" t="s">
        <v>615</v>
      </c>
      <c r="D517" s="114" t="s">
        <v>56</v>
      </c>
      <c r="F517" s="25">
        <v>48.000000000000014</v>
      </c>
      <c r="G517" s="25">
        <f>(VLOOKUP($D517,$C$6:$AJ$991,5,)/VLOOKUP($D517,$C$6:$AJ$991,4,))*$F517</f>
        <v>0</v>
      </c>
      <c r="H517" s="25">
        <f>(VLOOKUP($D517,$C$6:$AJ$991,6,)/VLOOKUP($D517,$C$6:$AJ$991,4,))*$F517</f>
        <v>0</v>
      </c>
      <c r="I517" s="25">
        <f>(VLOOKUP($D517,$C$6:$AJ$991,7,)/VLOOKUP($D517,$C$6:$AJ$991,4,))*$F517</f>
        <v>6.4997721588906288</v>
      </c>
      <c r="J517" s="25">
        <f>(VLOOKUP($D517,$C$6:$AJ$991,8,)/VLOOKUP($D517,$C$6:$AJ$991,4,))*$F517</f>
        <v>0</v>
      </c>
      <c r="K517" s="25">
        <f>(VLOOKUP($D517,$C$6:$AJ$991,9,)/VLOOKUP($D517,$C$6:$AJ$991,4,))*$F517</f>
        <v>0.39246432128688835</v>
      </c>
      <c r="L517" s="25">
        <f>(VLOOKUP($D517,$C$6:$AJ$991,10,)/VLOOKUP($D517,$C$6:$AJ$991,4,))*$F517</f>
        <v>1.859323334577216</v>
      </c>
      <c r="M517" s="25">
        <f>(VLOOKUP($D517,$C$6:$AJ$991,11,)/VLOOKUP($D517,$C$6:$AJ$991,4,))*$F517</f>
        <v>0</v>
      </c>
      <c r="N517" s="25">
        <f>(VLOOKUP($D517,$C$6:$AJ$991,12,)/VLOOKUP($D517,$C$6:$AJ$991,4,))*$F517</f>
        <v>1.5921011233198212</v>
      </c>
      <c r="O517" s="25">
        <f>(VLOOKUP($D517,$C$6:$AJ$991,13,)/VLOOKUP($D517,$C$6:$AJ$991,4,))*$F517</f>
        <v>16.303184603869649</v>
      </c>
      <c r="P517" s="25">
        <f>(VLOOKUP($D517,$C$6:$AJ$991,14,)/VLOOKUP($D517,$C$6:$AJ$991,4,))*$F517</f>
        <v>0</v>
      </c>
      <c r="Q517" s="25">
        <f>(VLOOKUP($D517,$C$6:$AJ$991,15,)/VLOOKUP($D517,$C$6:$AJ$991,4,))*$F517</f>
        <v>1.7894471543067216</v>
      </c>
      <c r="R517" s="25">
        <f>(VLOOKUP($D517,$C$6:$AJ$991,16,)/VLOOKUP($D517,$C$6:$AJ$991,4,))*$F517</f>
        <v>0</v>
      </c>
      <c r="S517" s="25">
        <f>(VLOOKUP($D517,$C$6:$AJ$991,17,)/VLOOKUP($D517,$C$6:$AJ$991,4,))*$F517</f>
        <v>15.881416966888565</v>
      </c>
      <c r="T517" s="25">
        <f>(VLOOKUP($D517,$C$6:$AJ$991,18,)/VLOOKUP($D517,$C$6:$AJ$991,4,))*$F517</f>
        <v>3.6822903368605253</v>
      </c>
      <c r="U517" s="25">
        <f>(VLOOKUP($D517,$C$6:$AJ$991,19,)/VLOOKUP($D517,$C$6:$AJ$991,4,))*$F517</f>
        <v>0</v>
      </c>
      <c r="V517" s="25">
        <f>(VLOOKUP($D517,$C$6:$AJ$991,20,)/VLOOKUP($D517,$C$6:$AJ$991,4,))*$F517</f>
        <v>0</v>
      </c>
      <c r="W517" s="25">
        <f>SUM(G517:V517)</f>
        <v>48.000000000000014</v>
      </c>
      <c r="X517" s="120" t="str">
        <f>IF(ABS(W517-F517)&lt;1,"ok","err")</f>
        <v>ok</v>
      </c>
    </row>
    <row r="518" spans="1:24" x14ac:dyDescent="0.2">
      <c r="A518" s="26" t="s">
        <v>60</v>
      </c>
      <c r="B518" s="23" t="s">
        <v>61</v>
      </c>
      <c r="C518" s="114" t="s">
        <v>616</v>
      </c>
      <c r="D518" s="114" t="s">
        <v>56</v>
      </c>
      <c r="F518" s="25">
        <v>401460.41273760004</v>
      </c>
      <c r="G518" s="25">
        <f>(VLOOKUP($D518,$C$6:$AJ$991,5,)/VLOOKUP($D518,$C$6:$AJ$991,4,))*$F518</f>
        <v>0</v>
      </c>
      <c r="H518" s="25">
        <f>(VLOOKUP($D518,$C$6:$AJ$991,6,)/VLOOKUP($D518,$C$6:$AJ$991,4,))*$F518</f>
        <v>0</v>
      </c>
      <c r="I518" s="25">
        <f>(VLOOKUP($D518,$C$6:$AJ$991,7,)/VLOOKUP($D518,$C$6:$AJ$991,4,))*$F518</f>
        <v>54362.525283512347</v>
      </c>
      <c r="J518" s="25">
        <f>(VLOOKUP($D518,$C$6:$AJ$991,8,)/VLOOKUP($D518,$C$6:$AJ$991,4,))*$F518</f>
        <v>0</v>
      </c>
      <c r="K518" s="25">
        <f>(VLOOKUP($D518,$C$6:$AJ$991,9,)/VLOOKUP($D518,$C$6:$AJ$991,4,))*$F518</f>
        <v>3282.4768418461713</v>
      </c>
      <c r="L518" s="25">
        <f>(VLOOKUP($D518,$C$6:$AJ$991,10,)/VLOOKUP($D518,$C$6:$AJ$991,4,))*$F518</f>
        <v>15550.931527333745</v>
      </c>
      <c r="M518" s="25">
        <f>(VLOOKUP($D518,$C$6:$AJ$991,11,)/VLOOKUP($D518,$C$6:$AJ$991,4,))*$F518</f>
        <v>0</v>
      </c>
      <c r="N518" s="25">
        <f>(VLOOKUP($D518,$C$6:$AJ$991,12,)/VLOOKUP($D518,$C$6:$AJ$991,4,))*$F518</f>
        <v>13315.949460166081</v>
      </c>
      <c r="O518" s="25">
        <f>(VLOOKUP($D518,$C$6:$AJ$991,13,)/VLOOKUP($D518,$C$6:$AJ$991,4,))*$F518</f>
        <v>136355.9004168082</v>
      </c>
      <c r="P518" s="25">
        <f>(VLOOKUP($D518,$C$6:$AJ$991,14,)/VLOOKUP($D518,$C$6:$AJ$991,4,))*$F518</f>
        <v>0</v>
      </c>
      <c r="Q518" s="25">
        <f>(VLOOKUP($D518,$C$6:$AJ$991,15,)/VLOOKUP($D518,$C$6:$AJ$991,4,))*$F518</f>
        <v>14966.504023752086</v>
      </c>
      <c r="R518" s="25">
        <f>(VLOOKUP($D518,$C$6:$AJ$991,16,)/VLOOKUP($D518,$C$6:$AJ$991,4,))*$F518</f>
        <v>0</v>
      </c>
      <c r="S518" s="25">
        <f>(VLOOKUP($D518,$C$6:$AJ$991,17,)/VLOOKUP($D518,$C$6:$AJ$991,4,))*$F518</f>
        <v>132828.33771635429</v>
      </c>
      <c r="T518" s="25">
        <f>(VLOOKUP($D518,$C$6:$AJ$991,18,)/VLOOKUP($D518,$C$6:$AJ$991,4,))*$F518</f>
        <v>30797.787467827133</v>
      </c>
      <c r="U518" s="25">
        <f>(VLOOKUP($D518,$C$6:$AJ$991,19,)/VLOOKUP($D518,$C$6:$AJ$991,4,))*$F518</f>
        <v>0</v>
      </c>
      <c r="V518" s="25">
        <f>(VLOOKUP($D518,$C$6:$AJ$991,20,)/VLOOKUP($D518,$C$6:$AJ$991,4,))*$F518</f>
        <v>0</v>
      </c>
      <c r="W518" s="25">
        <f>SUM(G518:V518)</f>
        <v>401460.4127376001</v>
      </c>
      <c r="X518" s="120" t="str">
        <f>IF(ABS(W518-F518)&lt;1,"ok","err")</f>
        <v>ok</v>
      </c>
    </row>
    <row r="519" spans="1:24" x14ac:dyDescent="0.2">
      <c r="A519" s="26" t="s">
        <v>588</v>
      </c>
      <c r="C519" s="114" t="s">
        <v>617</v>
      </c>
      <c r="D519" s="114" t="s">
        <v>56</v>
      </c>
      <c r="F519" s="25">
        <v>8449876.5543376748</v>
      </c>
      <c r="G519" s="25">
        <f>(VLOOKUP($D519,$C$6:$AJ$991,5,)/VLOOKUP($D519,$C$6:$AJ$991,4,))*$F519</f>
        <v>0</v>
      </c>
      <c r="H519" s="25">
        <f>(VLOOKUP($D519,$C$6:$AJ$991,6,)/VLOOKUP($D519,$C$6:$AJ$991,4,))*$F519</f>
        <v>0</v>
      </c>
      <c r="I519" s="25">
        <f>(VLOOKUP($D519,$C$6:$AJ$991,7,)/VLOOKUP($D519,$C$6:$AJ$991,4,))*$F519</f>
        <v>1144214.0077905559</v>
      </c>
      <c r="J519" s="25">
        <f>(VLOOKUP($D519,$C$6:$AJ$991,8,)/VLOOKUP($D519,$C$6:$AJ$991,4,))*$F519</f>
        <v>0</v>
      </c>
      <c r="K519" s="25">
        <f>(VLOOKUP($D519,$C$6:$AJ$991,9,)/VLOOKUP($D519,$C$6:$AJ$991,4,))*$F519</f>
        <v>69089.06389283594</v>
      </c>
      <c r="L519" s="25">
        <f>(VLOOKUP($D519,$C$6:$AJ$991,10,)/VLOOKUP($D519,$C$6:$AJ$991,4,))*$F519</f>
        <v>327313.59691201994</v>
      </c>
      <c r="M519" s="25">
        <f>(VLOOKUP($D519,$C$6:$AJ$991,11,)/VLOOKUP($D519,$C$6:$AJ$991,4,))*$F519</f>
        <v>0</v>
      </c>
      <c r="N519" s="25">
        <f>(VLOOKUP($D519,$C$6:$AJ$991,12,)/VLOOKUP($D519,$C$6:$AJ$991,4,))*$F519</f>
        <v>280272.04070989223</v>
      </c>
      <c r="O519" s="25">
        <f>(VLOOKUP($D519,$C$6:$AJ$991,13,)/VLOOKUP($D519,$C$6:$AJ$991,4,))*$F519</f>
        <v>2869997.861359939</v>
      </c>
      <c r="P519" s="25">
        <f>(VLOOKUP($D519,$C$6:$AJ$991,14,)/VLOOKUP($D519,$C$6:$AJ$991,4,))*$F519</f>
        <v>0</v>
      </c>
      <c r="Q519" s="25">
        <f>(VLOOKUP($D519,$C$6:$AJ$991,15,)/VLOOKUP($D519,$C$6:$AJ$991,4,))*$F519</f>
        <v>315012.6573833882</v>
      </c>
      <c r="R519" s="25">
        <f>(VLOOKUP($D519,$C$6:$AJ$991,16,)/VLOOKUP($D519,$C$6:$AJ$991,4,))*$F519</f>
        <v>0</v>
      </c>
      <c r="S519" s="25">
        <f>(VLOOKUP($D519,$C$6:$AJ$991,17,)/VLOOKUP($D519,$C$6:$AJ$991,4,))*$F519</f>
        <v>2795750.2682952541</v>
      </c>
      <c r="T519" s="25">
        <f>(VLOOKUP($D519,$C$6:$AJ$991,18,)/VLOOKUP($D519,$C$6:$AJ$991,4,))*$F519</f>
        <v>648227.05799379002</v>
      </c>
      <c r="U519" s="25">
        <f>(VLOOKUP($D519,$C$6:$AJ$991,19,)/VLOOKUP($D519,$C$6:$AJ$991,4,))*$F519</f>
        <v>0</v>
      </c>
      <c r="V519" s="25">
        <f>(VLOOKUP($D519,$C$6:$AJ$991,20,)/VLOOKUP($D519,$C$6:$AJ$991,4,))*$F519</f>
        <v>0</v>
      </c>
      <c r="W519" s="25">
        <f>SUM(G519:V519)</f>
        <v>8449876.5543376748</v>
      </c>
      <c r="X519" s="120" t="str">
        <f>IF(ABS(W519-F519)&lt;1,"ok","err")</f>
        <v>ok</v>
      </c>
    </row>
    <row r="520" spans="1:24" x14ac:dyDescent="0.2">
      <c r="A520" s="26" t="s">
        <v>825</v>
      </c>
      <c r="C520" s="114" t="s">
        <v>617</v>
      </c>
      <c r="D520" s="114" t="s">
        <v>56</v>
      </c>
      <c r="F520" s="25">
        <v>0</v>
      </c>
      <c r="G520" s="25">
        <f>(VLOOKUP($D520,$C$6:$AJ$991,5,)/VLOOKUP($D520,$C$6:$AJ$991,4,))*$F520</f>
        <v>0</v>
      </c>
      <c r="H520" s="25">
        <f>(VLOOKUP($D520,$C$6:$AJ$991,6,)/VLOOKUP($D520,$C$6:$AJ$991,4,))*$F520</f>
        <v>0</v>
      </c>
      <c r="I520" s="25">
        <f>(VLOOKUP($D520,$C$6:$AJ$991,7,)/VLOOKUP($D520,$C$6:$AJ$991,4,))*$F520</f>
        <v>0</v>
      </c>
      <c r="J520" s="25">
        <f>(VLOOKUP($D520,$C$6:$AJ$991,8,)/VLOOKUP($D520,$C$6:$AJ$991,4,))*$F520</f>
        <v>0</v>
      </c>
      <c r="K520" s="25">
        <f>(VLOOKUP($D520,$C$6:$AJ$991,9,)/VLOOKUP($D520,$C$6:$AJ$991,4,))*$F520</f>
        <v>0</v>
      </c>
      <c r="L520" s="25">
        <f>(VLOOKUP($D520,$C$6:$AJ$991,10,)/VLOOKUP($D520,$C$6:$AJ$991,4,))*$F520</f>
        <v>0</v>
      </c>
      <c r="M520" s="25">
        <f>(VLOOKUP($D520,$C$6:$AJ$991,11,)/VLOOKUP($D520,$C$6:$AJ$991,4,))*$F520</f>
        <v>0</v>
      </c>
      <c r="N520" s="25">
        <f>(VLOOKUP($D520,$C$6:$AJ$991,12,)/VLOOKUP($D520,$C$6:$AJ$991,4,))*$F520</f>
        <v>0</v>
      </c>
      <c r="O520" s="25">
        <f>(VLOOKUP($D520,$C$6:$AJ$991,13,)/VLOOKUP($D520,$C$6:$AJ$991,4,))*$F520</f>
        <v>0</v>
      </c>
      <c r="P520" s="25">
        <f>(VLOOKUP($D520,$C$6:$AJ$991,14,)/VLOOKUP($D520,$C$6:$AJ$991,4,))*$F520</f>
        <v>0</v>
      </c>
      <c r="Q520" s="25">
        <f>(VLOOKUP($D520,$C$6:$AJ$991,15,)/VLOOKUP($D520,$C$6:$AJ$991,4,))*$F520</f>
        <v>0</v>
      </c>
      <c r="R520" s="25">
        <f>(VLOOKUP($D520,$C$6:$AJ$991,16,)/VLOOKUP($D520,$C$6:$AJ$991,4,))*$F520</f>
        <v>0</v>
      </c>
      <c r="S520" s="25">
        <f>(VLOOKUP($D520,$C$6:$AJ$991,17,)/VLOOKUP($D520,$C$6:$AJ$991,4,))*$F520</f>
        <v>0</v>
      </c>
      <c r="T520" s="25">
        <f>(VLOOKUP($D520,$C$6:$AJ$991,18,)/VLOOKUP($D520,$C$6:$AJ$991,4,))*$F520</f>
        <v>0</v>
      </c>
      <c r="U520" s="25">
        <f>(VLOOKUP($D520,$C$6:$AJ$991,19,)/VLOOKUP($D520,$C$6:$AJ$991,4,))*$F520</f>
        <v>0</v>
      </c>
      <c r="V520" s="25">
        <f>(VLOOKUP($D520,$C$6:$AJ$991,20,)/VLOOKUP($D520,$C$6:$AJ$991,4,))*$F520</f>
        <v>0</v>
      </c>
      <c r="W520" s="25">
        <f>SUM(G520:V520)</f>
        <v>0</v>
      </c>
      <c r="X520" s="120" t="str">
        <f>IF(ABS(W520-F520)&lt;1,"ok","err")</f>
        <v>ok</v>
      </c>
    </row>
    <row r="521" spans="1:24" x14ac:dyDescent="0.2">
      <c r="A521" s="26"/>
      <c r="F521" s="31"/>
    </row>
    <row r="522" spans="1:24" x14ac:dyDescent="0.2">
      <c r="A522" s="26" t="s">
        <v>618</v>
      </c>
      <c r="C522" s="114" t="s">
        <v>203</v>
      </c>
      <c r="F522" s="31">
        <f>F493+F496+F514+F516+F517+F518+F519+F520</f>
        <v>38710461.194430679</v>
      </c>
      <c r="G522" s="31">
        <f t="shared" ref="G522:V522" si="286">G493+G496+G514+G516+G517+G518+G519+G520</f>
        <v>0</v>
      </c>
      <c r="H522" s="31">
        <f t="shared" si="286"/>
        <v>0</v>
      </c>
      <c r="I522" s="31">
        <f t="shared" si="286"/>
        <v>4776553.1633104794</v>
      </c>
      <c r="J522" s="31">
        <f t="shared" si="286"/>
        <v>0</v>
      </c>
      <c r="K522" s="31">
        <f t="shared" si="286"/>
        <v>261783.19415338192</v>
      </c>
      <c r="L522" s="31">
        <f t="shared" si="286"/>
        <v>1240213.6323972698</v>
      </c>
      <c r="M522" s="31">
        <f t="shared" si="286"/>
        <v>0</v>
      </c>
      <c r="N522" s="31">
        <f t="shared" si="286"/>
        <v>1443262.1774442813</v>
      </c>
      <c r="O522" s="31">
        <f t="shared" si="286"/>
        <v>10676610.364140522</v>
      </c>
      <c r="P522" s="31">
        <f t="shared" si="286"/>
        <v>0</v>
      </c>
      <c r="Q522" s="31">
        <f t="shared" si="286"/>
        <v>1171871.0483851219</v>
      </c>
      <c r="R522" s="31">
        <f t="shared" si="286"/>
        <v>0</v>
      </c>
      <c r="S522" s="31">
        <f t="shared" si="286"/>
        <v>15215367.486828575</v>
      </c>
      <c r="T522" s="31">
        <f t="shared" si="286"/>
        <v>3924800.1277710516</v>
      </c>
      <c r="U522" s="31">
        <f t="shared" si="286"/>
        <v>0</v>
      </c>
      <c r="V522" s="31">
        <f t="shared" si="286"/>
        <v>0</v>
      </c>
      <c r="W522" s="30">
        <f>SUM(G522:V522)</f>
        <v>38710461.194430679</v>
      </c>
      <c r="X522" s="120" t="str">
        <f>IF(ABS(W522-F522)&lt;1,"ok","err")</f>
        <v>ok</v>
      </c>
    </row>
    <row r="523" spans="1:24" x14ac:dyDescent="0.2">
      <c r="F523" s="26"/>
    </row>
    <row r="524" spans="1:24" x14ac:dyDescent="0.2">
      <c r="A524" s="26"/>
      <c r="F524" s="31"/>
    </row>
    <row r="525" spans="1:24" x14ac:dyDescent="0.2">
      <c r="A525" s="200" t="s">
        <v>728</v>
      </c>
      <c r="F525" s="31"/>
    </row>
    <row r="526" spans="1:24" x14ac:dyDescent="0.2">
      <c r="F526" s="31"/>
    </row>
    <row r="527" spans="1:24" x14ac:dyDescent="0.2">
      <c r="B527" s="23" t="s">
        <v>727</v>
      </c>
      <c r="C527" s="114" t="s">
        <v>730</v>
      </c>
      <c r="D527" s="114" t="s">
        <v>56</v>
      </c>
      <c r="F527" s="31">
        <v>0</v>
      </c>
      <c r="G527" s="25">
        <f>(VLOOKUP($D527,$C$6:$AJ$991,5,)/VLOOKUP($D527,$C$6:$AJ$991,4,))*$F527</f>
        <v>0</v>
      </c>
      <c r="H527" s="25">
        <f>(VLOOKUP($D527,$C$6:$AJ$991,6,)/VLOOKUP($D527,$C$6:$AJ$991,4,))*$F527</f>
        <v>0</v>
      </c>
      <c r="I527" s="25">
        <f>(VLOOKUP($D527,$C$6:$AJ$991,7,)/VLOOKUP($D527,$C$6:$AJ$991,4,))*$F527</f>
        <v>0</v>
      </c>
      <c r="J527" s="25">
        <f>(VLOOKUP($D527,$C$6:$AJ$991,8,)/VLOOKUP($D527,$C$6:$AJ$991,4,))*$F527</f>
        <v>0</v>
      </c>
      <c r="K527" s="25">
        <f>(VLOOKUP($D527,$C$6:$AJ$991,9,)/VLOOKUP($D527,$C$6:$AJ$991,4,))*$F527</f>
        <v>0</v>
      </c>
      <c r="L527" s="25">
        <f>(VLOOKUP($D527,$C$6:$AJ$991,10,)/VLOOKUP($D527,$C$6:$AJ$991,4,))*$F527</f>
        <v>0</v>
      </c>
      <c r="M527" s="25">
        <f>(VLOOKUP($D527,$C$6:$AJ$991,11,)/VLOOKUP($D527,$C$6:$AJ$991,4,))*$F527</f>
        <v>0</v>
      </c>
      <c r="N527" s="25">
        <f>(VLOOKUP($D527,$C$6:$AJ$991,12,)/VLOOKUP($D527,$C$6:$AJ$991,4,))*$F527</f>
        <v>0</v>
      </c>
      <c r="O527" s="25">
        <f>(VLOOKUP($D527,$C$6:$AJ$991,13,)/VLOOKUP($D527,$C$6:$AJ$991,4,))*$F527</f>
        <v>0</v>
      </c>
      <c r="P527" s="25">
        <f>(VLOOKUP($D527,$C$6:$AJ$991,14,)/VLOOKUP($D527,$C$6:$AJ$991,4,))*$F527</f>
        <v>0</v>
      </c>
      <c r="Q527" s="25">
        <f>(VLOOKUP($D527,$C$6:$AJ$991,15,)/VLOOKUP($D527,$C$6:$AJ$991,4,))*$F527</f>
        <v>0</v>
      </c>
      <c r="R527" s="25">
        <f>(VLOOKUP($D527,$C$6:$AJ$991,16,)/VLOOKUP($D527,$C$6:$AJ$991,4,))*$F527</f>
        <v>0</v>
      </c>
      <c r="S527" s="25">
        <f>(VLOOKUP($D527,$C$6:$AJ$991,17,)/VLOOKUP($D527,$C$6:$AJ$991,4,))*$F527</f>
        <v>0</v>
      </c>
      <c r="T527" s="25">
        <f>(VLOOKUP($D527,$C$6:$AJ$991,18,)/VLOOKUP($D527,$C$6:$AJ$991,4,))*$F527</f>
        <v>0</v>
      </c>
      <c r="U527" s="25">
        <f>(VLOOKUP($D527,$C$6:$AJ$991,19,)/VLOOKUP($D527,$C$6:$AJ$991,4,))*$F527</f>
        <v>0</v>
      </c>
      <c r="V527" s="25">
        <f>(VLOOKUP($D527,$C$6:$AJ$991,20,)/VLOOKUP($D527,$C$6:$AJ$991,4,))*$F527</f>
        <v>0</v>
      </c>
      <c r="W527" s="25">
        <f>SUM(G527:V527)</f>
        <v>0</v>
      </c>
      <c r="X527" s="120" t="str">
        <f>IF(ABS(W527-F527)&lt;1,"ok","err")</f>
        <v>ok</v>
      </c>
    </row>
    <row r="529" spans="1:24" x14ac:dyDescent="0.2">
      <c r="B529" s="23" t="s">
        <v>729</v>
      </c>
      <c r="C529" s="114" t="s">
        <v>731</v>
      </c>
      <c r="D529" s="114" t="s">
        <v>56</v>
      </c>
      <c r="F529" s="31">
        <v>0</v>
      </c>
      <c r="G529" s="25">
        <f>(VLOOKUP($D529,$C$6:$AJ$991,5,)/VLOOKUP($D529,$C$6:$AJ$991,4,))*$F529</f>
        <v>0</v>
      </c>
      <c r="H529" s="25">
        <f>(VLOOKUP($D529,$C$6:$AJ$991,6,)/VLOOKUP($D529,$C$6:$AJ$991,4,))*$F529</f>
        <v>0</v>
      </c>
      <c r="I529" s="25">
        <f>(VLOOKUP($D529,$C$6:$AJ$991,7,)/VLOOKUP($D529,$C$6:$AJ$991,4,))*$F529</f>
        <v>0</v>
      </c>
      <c r="J529" s="25">
        <f>(VLOOKUP($D529,$C$6:$AJ$991,8,)/VLOOKUP($D529,$C$6:$AJ$991,4,))*$F529</f>
        <v>0</v>
      </c>
      <c r="K529" s="25">
        <f>(VLOOKUP($D529,$C$6:$AJ$991,9,)/VLOOKUP($D529,$C$6:$AJ$991,4,))*$F529</f>
        <v>0</v>
      </c>
      <c r="L529" s="25">
        <f>(VLOOKUP($D529,$C$6:$AJ$991,10,)/VLOOKUP($D529,$C$6:$AJ$991,4,))*$F529</f>
        <v>0</v>
      </c>
      <c r="M529" s="25">
        <f>(VLOOKUP($D529,$C$6:$AJ$991,11,)/VLOOKUP($D529,$C$6:$AJ$991,4,))*$F529</f>
        <v>0</v>
      </c>
      <c r="N529" s="25">
        <f>(VLOOKUP($D529,$C$6:$AJ$991,12,)/VLOOKUP($D529,$C$6:$AJ$991,4,))*$F529</f>
        <v>0</v>
      </c>
      <c r="O529" s="25">
        <f>(VLOOKUP($D529,$C$6:$AJ$991,13,)/VLOOKUP($D529,$C$6:$AJ$991,4,))*$F529</f>
        <v>0</v>
      </c>
      <c r="P529" s="25">
        <f>(VLOOKUP($D529,$C$6:$AJ$991,14,)/VLOOKUP($D529,$C$6:$AJ$991,4,))*$F529</f>
        <v>0</v>
      </c>
      <c r="Q529" s="25">
        <f>(VLOOKUP($D529,$C$6:$AJ$991,15,)/VLOOKUP($D529,$C$6:$AJ$991,4,))*$F529</f>
        <v>0</v>
      </c>
      <c r="R529" s="25">
        <f>(VLOOKUP($D529,$C$6:$AJ$991,16,)/VLOOKUP($D529,$C$6:$AJ$991,4,))*$F529</f>
        <v>0</v>
      </c>
      <c r="S529" s="25">
        <f>(VLOOKUP($D529,$C$6:$AJ$991,17,)/VLOOKUP($D529,$C$6:$AJ$991,4,))*$F529</f>
        <v>0</v>
      </c>
      <c r="T529" s="25">
        <f>(VLOOKUP($D529,$C$6:$AJ$991,18,)/VLOOKUP($D529,$C$6:$AJ$991,4,))*$F529</f>
        <v>0</v>
      </c>
      <c r="U529" s="25">
        <f>(VLOOKUP($D529,$C$6:$AJ$991,19,)/VLOOKUP($D529,$C$6:$AJ$991,4,))*$F529</f>
        <v>0</v>
      </c>
      <c r="V529" s="25">
        <f>(VLOOKUP($D529,$C$6:$AJ$991,20,)/VLOOKUP($D529,$C$6:$AJ$991,4,))*$F529</f>
        <v>0</v>
      </c>
      <c r="W529" s="25">
        <f>SUM(G529:V529)</f>
        <v>0</v>
      </c>
      <c r="X529" s="120" t="str">
        <f>IF(ABS(W529-F529)&lt;1,"ok","err")</f>
        <v>ok</v>
      </c>
    </row>
    <row r="531" spans="1:24" x14ac:dyDescent="0.2">
      <c r="A531" s="13" t="s">
        <v>868</v>
      </c>
      <c r="C531" s="114" t="s">
        <v>732</v>
      </c>
      <c r="D531" s="114" t="s">
        <v>56</v>
      </c>
      <c r="F531" s="31">
        <v>-35870</v>
      </c>
      <c r="G531" s="25">
        <f>(VLOOKUP($D531,$C$6:$AJ$991,5,)/VLOOKUP($D531,$C$6:$AJ$991,4,))*$F531</f>
        <v>0</v>
      </c>
      <c r="H531" s="25">
        <f>(VLOOKUP($D531,$C$6:$AJ$991,6,)/VLOOKUP($D531,$C$6:$AJ$991,4,))*$F531</f>
        <v>0</v>
      </c>
      <c r="I531" s="25">
        <f>(VLOOKUP($D531,$C$6:$AJ$991,7,)/VLOOKUP($D531,$C$6:$AJ$991,4,))*$F531</f>
        <v>-4857.2255695709746</v>
      </c>
      <c r="J531" s="25">
        <f>(VLOOKUP($D531,$C$6:$AJ$991,8,)/VLOOKUP($D531,$C$6:$AJ$991,4,))*$F531</f>
        <v>0</v>
      </c>
      <c r="K531" s="25">
        <f>(VLOOKUP($D531,$C$6:$AJ$991,9,)/VLOOKUP($D531,$C$6:$AJ$991,4,))*$F531</f>
        <v>-293.28531676168086</v>
      </c>
      <c r="L531" s="25">
        <f>(VLOOKUP($D531,$C$6:$AJ$991,10,)/VLOOKUP($D531,$C$6:$AJ$991,4,))*$F531</f>
        <v>-1389.4568335684316</v>
      </c>
      <c r="M531" s="25">
        <f>(VLOOKUP($D531,$C$6:$AJ$991,11,)/VLOOKUP($D531,$C$6:$AJ$991,4,))*$F531</f>
        <v>0</v>
      </c>
      <c r="N531" s="25">
        <f>(VLOOKUP($D531,$C$6:$AJ$991,12,)/VLOOKUP($D531,$C$6:$AJ$991,4,))*$F531</f>
        <v>-1189.7639019475409</v>
      </c>
      <c r="O531" s="25">
        <f>(VLOOKUP($D531,$C$6:$AJ$991,13,)/VLOOKUP($D531,$C$6:$AJ$991,4,))*$F531</f>
        <v>-12183.233994600087</v>
      </c>
      <c r="P531" s="25">
        <f>(VLOOKUP($D531,$C$6:$AJ$991,14,)/VLOOKUP($D531,$C$6:$AJ$991,4,))*$F531</f>
        <v>0</v>
      </c>
      <c r="Q531" s="25">
        <f>(VLOOKUP($D531,$C$6:$AJ$991,15,)/VLOOKUP($D531,$C$6:$AJ$991,4,))*$F531</f>
        <v>-1337.2389463537934</v>
      </c>
      <c r="R531" s="25">
        <f>(VLOOKUP($D531,$C$6:$AJ$991,16,)/VLOOKUP($D531,$C$6:$AJ$991,4,))*$F531</f>
        <v>0</v>
      </c>
      <c r="S531" s="25">
        <f>(VLOOKUP($D531,$C$6:$AJ$991,17,)/VLOOKUP($D531,$C$6:$AJ$991,4,))*$F531</f>
        <v>-11868.050554214431</v>
      </c>
      <c r="T531" s="25">
        <f>(VLOOKUP($D531,$C$6:$AJ$991,18,)/VLOOKUP($D531,$C$6:$AJ$991,4,))*$F531</f>
        <v>-2751.7448829830628</v>
      </c>
      <c r="U531" s="25">
        <f>(VLOOKUP($D531,$C$6:$AJ$991,19,)/VLOOKUP($D531,$C$6:$AJ$991,4,))*$F531</f>
        <v>0</v>
      </c>
      <c r="V531" s="25">
        <f>(VLOOKUP($D531,$C$6:$AJ$991,20,)/VLOOKUP($D531,$C$6:$AJ$991,4,))*$F531</f>
        <v>0</v>
      </c>
      <c r="W531" s="25">
        <f>SUM(G531:V531)</f>
        <v>-35870</v>
      </c>
      <c r="X531" s="120" t="str">
        <f>IF(ABS(W531-F531)&lt;1,"ok","err")</f>
        <v>ok</v>
      </c>
    </row>
    <row r="533" spans="1:24" x14ac:dyDescent="0.2">
      <c r="A533" s="184"/>
      <c r="F533" s="30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120"/>
    </row>
    <row r="535" spans="1:24" x14ac:dyDescent="0.2">
      <c r="A535" s="116" t="s">
        <v>178</v>
      </c>
    </row>
    <row r="536" spans="1:24" x14ac:dyDescent="0.2">
      <c r="A536" s="116"/>
    </row>
    <row r="537" spans="1:24" x14ac:dyDescent="0.2">
      <c r="C537" s="114" t="s">
        <v>174</v>
      </c>
      <c r="D537" s="114" t="s">
        <v>72</v>
      </c>
      <c r="F537" s="30"/>
      <c r="G537" s="25">
        <f t="shared" ref="G537:G542" si="287">(VLOOKUP($D537,$C$6:$AJ$991,5,)/VLOOKUP($D537,$C$6:$AJ$991,4,))*$F537</f>
        <v>0</v>
      </c>
      <c r="H537" s="25">
        <f t="shared" ref="H537:H542" si="288">(VLOOKUP($D537,$C$6:$AJ$991,6,)/VLOOKUP($D537,$C$6:$AJ$991,4,))*$F537</f>
        <v>0</v>
      </c>
      <c r="I537" s="25">
        <f t="shared" ref="I537:I542" si="289">(VLOOKUP($D537,$C$6:$AJ$991,7,)/VLOOKUP($D537,$C$6:$AJ$991,4,))*$F537</f>
        <v>0</v>
      </c>
      <c r="J537" s="25">
        <f t="shared" ref="J537:J542" si="290">(VLOOKUP($D537,$C$6:$AJ$991,8,)/VLOOKUP($D537,$C$6:$AJ$991,4,))*$F537</f>
        <v>0</v>
      </c>
      <c r="K537" s="25">
        <f t="shared" ref="K537:K542" si="291">(VLOOKUP($D537,$C$6:$AJ$991,9,)/VLOOKUP($D537,$C$6:$AJ$991,4,))*$F537</f>
        <v>0</v>
      </c>
      <c r="L537" s="25">
        <f t="shared" ref="L537:L542" si="292">(VLOOKUP($D537,$C$6:$AJ$991,10,)/VLOOKUP($D537,$C$6:$AJ$991,4,))*$F537</f>
        <v>0</v>
      </c>
      <c r="M537" s="25">
        <f t="shared" ref="M537:M542" si="293">(VLOOKUP($D537,$C$6:$AJ$991,11,)/VLOOKUP($D537,$C$6:$AJ$991,4,))*$F537</f>
        <v>0</v>
      </c>
      <c r="N537" s="25">
        <f t="shared" ref="N537:N542" si="294">(VLOOKUP($D537,$C$6:$AJ$991,12,)/VLOOKUP($D537,$C$6:$AJ$991,4,))*$F537</f>
        <v>0</v>
      </c>
      <c r="O537" s="25">
        <f t="shared" ref="O537:O542" si="295">(VLOOKUP($D537,$C$6:$AJ$991,13,)/VLOOKUP($D537,$C$6:$AJ$991,4,))*$F537</f>
        <v>0</v>
      </c>
      <c r="P537" s="25">
        <f t="shared" ref="P537:P542" si="296">(VLOOKUP($D537,$C$6:$AJ$991,14,)/VLOOKUP($D537,$C$6:$AJ$991,4,))*$F537</f>
        <v>0</v>
      </c>
      <c r="Q537" s="25"/>
      <c r="R537" s="25"/>
      <c r="S537" s="25">
        <f>(VLOOKUP($D537,$C$6:$AJ$991,15,)/VLOOKUP($D537,$C$6:$AJ$991,4,))*$F537</f>
        <v>0</v>
      </c>
      <c r="T537" s="25">
        <f>(VLOOKUP($D537,$C$6:$AJ$991,16,)/VLOOKUP($D537,$C$6:$AJ$991,4,))*$F537</f>
        <v>0</v>
      </c>
      <c r="U537" s="25">
        <f>(VLOOKUP($D537,$C$6:$AJ$991,17,)/VLOOKUP($D537,$C$6:$AJ$991,4,))*$F537</f>
        <v>0</v>
      </c>
      <c r="V537" s="25">
        <f>(VLOOKUP($D537,$C$6:$AJ$991,18,)/VLOOKUP($D537,$C$6:$AJ$991,4,))*$F537</f>
        <v>0</v>
      </c>
      <c r="W537" s="25">
        <f t="shared" ref="W537:W542" si="297">SUM(G537:V537)</f>
        <v>0</v>
      </c>
      <c r="X537" s="120" t="str">
        <f t="shared" ref="X537:X542" si="298">IF(ABS(W537-F537)&lt;1,"ok","err")</f>
        <v>ok</v>
      </c>
    </row>
    <row r="538" spans="1:24" x14ac:dyDescent="0.2">
      <c r="A538" s="23" t="s">
        <v>178</v>
      </c>
      <c r="C538" s="114" t="s">
        <v>175</v>
      </c>
      <c r="D538" s="114" t="s">
        <v>72</v>
      </c>
      <c r="F538" s="25">
        <v>11113565.829966739</v>
      </c>
      <c r="G538" s="25">
        <f t="shared" si="287"/>
        <v>0</v>
      </c>
      <c r="H538" s="25">
        <f t="shared" si="288"/>
        <v>0</v>
      </c>
      <c r="I538" s="25">
        <f t="shared" si="289"/>
        <v>1612964.7433649923</v>
      </c>
      <c r="J538" s="25">
        <f t="shared" si="290"/>
        <v>0</v>
      </c>
      <c r="K538" s="25">
        <f t="shared" si="291"/>
        <v>99301.262883194722</v>
      </c>
      <c r="L538" s="25">
        <f t="shared" si="292"/>
        <v>470445.7073353809</v>
      </c>
      <c r="M538" s="25">
        <f t="shared" si="293"/>
        <v>0</v>
      </c>
      <c r="N538" s="25">
        <f t="shared" si="294"/>
        <v>360269.65758810419</v>
      </c>
      <c r="O538" s="25">
        <f t="shared" si="295"/>
        <v>3733776.4810490273</v>
      </c>
      <c r="P538" s="25">
        <f t="shared" si="296"/>
        <v>0</v>
      </c>
      <c r="Q538" s="25">
        <f>(VLOOKUP($D538,$C$6:$AJ$991,15,)/VLOOKUP($D538,$C$6:$AJ$991,4,))*$F538</f>
        <v>409821.50795524218</v>
      </c>
      <c r="R538" s="25">
        <f>(VLOOKUP($D538,$C$6:$AJ$991,16,)/VLOOKUP($D538,$C$6:$AJ$991,4,))*$F538</f>
        <v>0</v>
      </c>
      <c r="S538" s="25">
        <f>(VLOOKUP($D538,$C$6:$AJ$991,17,)/VLOOKUP($D538,$C$6:$AJ$991,4,))*$F538</f>
        <v>3593736.9610947128</v>
      </c>
      <c r="T538" s="25">
        <f>(VLOOKUP($D538,$C$6:$AJ$991,18,)/VLOOKUP($D538,$C$6:$AJ$991,4,))*$F538</f>
        <v>833249.50869608519</v>
      </c>
      <c r="U538" s="25">
        <f>(VLOOKUP($D538,$C$6:$AJ$991,19,)/VLOOKUP($D538,$C$6:$AJ$991,4,))*$F538</f>
        <v>0</v>
      </c>
      <c r="V538" s="25">
        <f>(VLOOKUP($D538,$C$6:$AJ$991,20,)/VLOOKUP($D538,$C$6:$AJ$991,4,))*$F538</f>
        <v>0</v>
      </c>
      <c r="W538" s="25">
        <f t="shared" si="297"/>
        <v>11113565.829966739</v>
      </c>
      <c r="X538" s="120" t="str">
        <f t="shared" si="298"/>
        <v>ok</v>
      </c>
    </row>
    <row r="539" spans="1:24" x14ac:dyDescent="0.2">
      <c r="A539" s="23" t="s">
        <v>619</v>
      </c>
      <c r="C539" s="114" t="s">
        <v>176</v>
      </c>
      <c r="D539" s="114" t="s">
        <v>344</v>
      </c>
      <c r="F539" s="25">
        <v>0</v>
      </c>
      <c r="G539" s="25">
        <f t="shared" si="287"/>
        <v>0</v>
      </c>
      <c r="H539" s="25">
        <f t="shared" si="288"/>
        <v>0</v>
      </c>
      <c r="I539" s="25">
        <f t="shared" si="289"/>
        <v>0</v>
      </c>
      <c r="J539" s="25">
        <f t="shared" si="290"/>
        <v>0</v>
      </c>
      <c r="K539" s="25">
        <f t="shared" si="291"/>
        <v>0</v>
      </c>
      <c r="L539" s="25">
        <f t="shared" si="292"/>
        <v>0</v>
      </c>
      <c r="M539" s="25">
        <f t="shared" si="293"/>
        <v>0</v>
      </c>
      <c r="N539" s="25">
        <f t="shared" si="294"/>
        <v>0</v>
      </c>
      <c r="O539" s="25">
        <f t="shared" si="295"/>
        <v>0</v>
      </c>
      <c r="P539" s="25">
        <f t="shared" si="296"/>
        <v>0</v>
      </c>
      <c r="Q539" s="25">
        <f>(VLOOKUP($D539,$C$6:$AJ$991,15,)/VLOOKUP($D539,$C$6:$AJ$991,4,))*$F539</f>
        <v>0</v>
      </c>
      <c r="R539" s="25">
        <f>(VLOOKUP($D539,$C$6:$AJ$991,16,)/VLOOKUP($D539,$C$6:$AJ$991,4,))*$F539</f>
        <v>0</v>
      </c>
      <c r="S539" s="25">
        <f>(VLOOKUP($D539,$C$6:$AJ$991,17,)/VLOOKUP($D539,$C$6:$AJ$991,4,))*$F539</f>
        <v>0</v>
      </c>
      <c r="T539" s="25">
        <f>(VLOOKUP($D539,$C$6:$AJ$991,18,)/VLOOKUP($D539,$C$6:$AJ$991,4,))*$F539</f>
        <v>0</v>
      </c>
      <c r="U539" s="25">
        <f>(VLOOKUP($D539,$C$6:$AJ$991,19,)/VLOOKUP($D539,$C$6:$AJ$991,4,))*$F539</f>
        <v>0</v>
      </c>
      <c r="V539" s="25">
        <f>(VLOOKUP($D539,$C$6:$AJ$991,20,)/VLOOKUP($D539,$C$6:$AJ$991,4,))*$F539</f>
        <v>0</v>
      </c>
      <c r="W539" s="25">
        <f t="shared" si="297"/>
        <v>0</v>
      </c>
      <c r="X539" s="120" t="str">
        <f t="shared" si="298"/>
        <v>ok</v>
      </c>
    </row>
    <row r="540" spans="1:24" x14ac:dyDescent="0.2">
      <c r="A540" s="23" t="s">
        <v>620</v>
      </c>
      <c r="C540" s="114" t="s">
        <v>622</v>
      </c>
      <c r="D540" s="114" t="s">
        <v>344</v>
      </c>
      <c r="F540" s="25">
        <v>0</v>
      </c>
      <c r="G540" s="25">
        <f t="shared" si="287"/>
        <v>0</v>
      </c>
      <c r="H540" s="25">
        <f t="shared" si="288"/>
        <v>0</v>
      </c>
      <c r="I540" s="25">
        <f t="shared" si="289"/>
        <v>0</v>
      </c>
      <c r="J540" s="25">
        <f t="shared" si="290"/>
        <v>0</v>
      </c>
      <c r="K540" s="25">
        <f t="shared" si="291"/>
        <v>0</v>
      </c>
      <c r="L540" s="25">
        <f t="shared" si="292"/>
        <v>0</v>
      </c>
      <c r="M540" s="25">
        <f t="shared" si="293"/>
        <v>0</v>
      </c>
      <c r="N540" s="25">
        <f t="shared" si="294"/>
        <v>0</v>
      </c>
      <c r="O540" s="25">
        <f t="shared" si="295"/>
        <v>0</v>
      </c>
      <c r="P540" s="25">
        <f t="shared" si="296"/>
        <v>0</v>
      </c>
      <c r="Q540" s="25">
        <f>(VLOOKUP($D540,$C$6:$AJ$991,15,)/VLOOKUP($D540,$C$6:$AJ$991,4,))*$F540</f>
        <v>0</v>
      </c>
      <c r="R540" s="25">
        <f>(VLOOKUP($D540,$C$6:$AJ$991,16,)/VLOOKUP($D540,$C$6:$AJ$991,4,))*$F540</f>
        <v>0</v>
      </c>
      <c r="S540" s="25">
        <f>(VLOOKUP($D540,$C$6:$AJ$991,17,)/VLOOKUP($D540,$C$6:$AJ$991,4,))*$F540</f>
        <v>0</v>
      </c>
      <c r="T540" s="25">
        <f>(VLOOKUP($D540,$C$6:$AJ$991,18,)/VLOOKUP($D540,$C$6:$AJ$991,4,))*$F540</f>
        <v>0</v>
      </c>
      <c r="U540" s="25">
        <f>(VLOOKUP($D540,$C$6:$AJ$991,19,)/VLOOKUP($D540,$C$6:$AJ$991,4,))*$F540</f>
        <v>0</v>
      </c>
      <c r="V540" s="25">
        <f>(VLOOKUP($D540,$C$6:$AJ$991,20,)/VLOOKUP($D540,$C$6:$AJ$991,4,))*$F540</f>
        <v>0</v>
      </c>
      <c r="W540" s="25">
        <f t="shared" si="297"/>
        <v>0</v>
      </c>
      <c r="X540" s="120" t="str">
        <f t="shared" si="298"/>
        <v>ok</v>
      </c>
    </row>
    <row r="541" spans="1:24" x14ac:dyDescent="0.2">
      <c r="A541" s="23" t="s">
        <v>621</v>
      </c>
      <c r="C541" s="114" t="s">
        <v>623</v>
      </c>
      <c r="D541" s="114" t="s">
        <v>72</v>
      </c>
      <c r="F541" s="25">
        <v>0</v>
      </c>
      <c r="G541" s="25">
        <f t="shared" si="287"/>
        <v>0</v>
      </c>
      <c r="H541" s="25">
        <f t="shared" si="288"/>
        <v>0</v>
      </c>
      <c r="I541" s="25">
        <f t="shared" si="289"/>
        <v>0</v>
      </c>
      <c r="J541" s="25">
        <f t="shared" si="290"/>
        <v>0</v>
      </c>
      <c r="K541" s="25">
        <f t="shared" si="291"/>
        <v>0</v>
      </c>
      <c r="L541" s="25">
        <f t="shared" si="292"/>
        <v>0</v>
      </c>
      <c r="M541" s="25">
        <f t="shared" si="293"/>
        <v>0</v>
      </c>
      <c r="N541" s="25">
        <f t="shared" si="294"/>
        <v>0</v>
      </c>
      <c r="O541" s="25">
        <f t="shared" si="295"/>
        <v>0</v>
      </c>
      <c r="P541" s="25">
        <f t="shared" si="296"/>
        <v>0</v>
      </c>
      <c r="Q541" s="25">
        <f>(VLOOKUP($D541,$C$6:$AJ$991,15,)/VLOOKUP($D541,$C$6:$AJ$991,4,))*$F541</f>
        <v>0</v>
      </c>
      <c r="R541" s="25">
        <f>(VLOOKUP($D541,$C$6:$AJ$991,16,)/VLOOKUP($D541,$C$6:$AJ$991,4,))*$F541</f>
        <v>0</v>
      </c>
      <c r="S541" s="25">
        <f>(VLOOKUP($D541,$C$6:$AJ$991,17,)/VLOOKUP($D541,$C$6:$AJ$991,4,))*$F541</f>
        <v>0</v>
      </c>
      <c r="T541" s="25">
        <f>(VLOOKUP($D541,$C$6:$AJ$991,18,)/VLOOKUP($D541,$C$6:$AJ$991,4,))*$F541</f>
        <v>0</v>
      </c>
      <c r="U541" s="25">
        <f>(VLOOKUP($D541,$C$6:$AJ$991,19,)/VLOOKUP($D541,$C$6:$AJ$991,4,))*$F541</f>
        <v>0</v>
      </c>
      <c r="V541" s="25">
        <f>(VLOOKUP($D541,$C$6:$AJ$991,20,)/VLOOKUP($D541,$C$6:$AJ$991,4,))*$F541</f>
        <v>0</v>
      </c>
      <c r="W541" s="25">
        <f t="shared" si="297"/>
        <v>0</v>
      </c>
      <c r="X541" s="120" t="str">
        <f t="shared" si="298"/>
        <v>ok</v>
      </c>
    </row>
    <row r="542" spans="1:24" x14ac:dyDescent="0.2">
      <c r="A542" s="23" t="s">
        <v>144</v>
      </c>
      <c r="C542" s="114" t="s">
        <v>624</v>
      </c>
      <c r="D542" s="114" t="s">
        <v>72</v>
      </c>
      <c r="F542" s="25">
        <v>0</v>
      </c>
      <c r="G542" s="25">
        <f t="shared" si="287"/>
        <v>0</v>
      </c>
      <c r="H542" s="25">
        <f t="shared" si="288"/>
        <v>0</v>
      </c>
      <c r="I542" s="25">
        <f t="shared" si="289"/>
        <v>0</v>
      </c>
      <c r="J542" s="25">
        <f t="shared" si="290"/>
        <v>0</v>
      </c>
      <c r="K542" s="25">
        <f t="shared" si="291"/>
        <v>0</v>
      </c>
      <c r="L542" s="25">
        <f t="shared" si="292"/>
        <v>0</v>
      </c>
      <c r="M542" s="25">
        <f t="shared" si="293"/>
        <v>0</v>
      </c>
      <c r="N542" s="25">
        <f t="shared" si="294"/>
        <v>0</v>
      </c>
      <c r="O542" s="25">
        <f t="shared" si="295"/>
        <v>0</v>
      </c>
      <c r="P542" s="25">
        <f t="shared" si="296"/>
        <v>0</v>
      </c>
      <c r="Q542" s="25">
        <f>(VLOOKUP($D542,$C$6:$AJ$991,15,)/VLOOKUP($D542,$C$6:$AJ$991,4,))*$F542</f>
        <v>0</v>
      </c>
      <c r="R542" s="25">
        <f>(VLOOKUP($D542,$C$6:$AJ$991,16,)/VLOOKUP($D542,$C$6:$AJ$991,4,))*$F542</f>
        <v>0</v>
      </c>
      <c r="S542" s="25">
        <f>(VLOOKUP($D542,$C$6:$AJ$991,17,)/VLOOKUP($D542,$C$6:$AJ$991,4,))*$F542</f>
        <v>0</v>
      </c>
      <c r="T542" s="25">
        <f>(VLOOKUP($D542,$C$6:$AJ$991,18,)/VLOOKUP($D542,$C$6:$AJ$991,4,))*$F542</f>
        <v>0</v>
      </c>
      <c r="U542" s="25">
        <f>(VLOOKUP($D542,$C$6:$AJ$991,19,)/VLOOKUP($D542,$C$6:$AJ$991,4,))*$F542</f>
        <v>0</v>
      </c>
      <c r="V542" s="25">
        <f>(VLOOKUP($D542,$C$6:$AJ$991,20,)/VLOOKUP($D542,$C$6:$AJ$991,4,))*$F542</f>
        <v>0</v>
      </c>
      <c r="W542" s="25">
        <f t="shared" si="297"/>
        <v>0</v>
      </c>
      <c r="X542" s="120" t="str">
        <f t="shared" si="298"/>
        <v>ok</v>
      </c>
    </row>
    <row r="543" spans="1:24" x14ac:dyDescent="0.2">
      <c r="A543" s="114"/>
    </row>
    <row r="544" spans="1:24" x14ac:dyDescent="0.2">
      <c r="A544" s="26" t="s">
        <v>179</v>
      </c>
      <c r="B544" s="117"/>
      <c r="C544" s="114" t="s">
        <v>177</v>
      </c>
      <c r="F544" s="30">
        <f>SUM(F537:F543)</f>
        <v>11113565.829966739</v>
      </c>
      <c r="G544" s="30">
        <f>SUM(G537:G543)</f>
        <v>0</v>
      </c>
      <c r="H544" s="30">
        <f t="shared" ref="H544:V544" si="299">SUM(H537:H543)</f>
        <v>0</v>
      </c>
      <c r="I544" s="30">
        <f t="shared" si="299"/>
        <v>1612964.7433649923</v>
      </c>
      <c r="J544" s="30">
        <f t="shared" si="299"/>
        <v>0</v>
      </c>
      <c r="K544" s="30">
        <f t="shared" si="299"/>
        <v>99301.262883194722</v>
      </c>
      <c r="L544" s="30">
        <f t="shared" si="299"/>
        <v>470445.7073353809</v>
      </c>
      <c r="M544" s="30">
        <f t="shared" si="299"/>
        <v>0</v>
      </c>
      <c r="N544" s="30">
        <f t="shared" si="299"/>
        <v>360269.65758810419</v>
      </c>
      <c r="O544" s="30">
        <f t="shared" si="299"/>
        <v>3733776.4810490273</v>
      </c>
      <c r="P544" s="30">
        <f t="shared" si="299"/>
        <v>0</v>
      </c>
      <c r="Q544" s="30">
        <f>SUM(Q537:Q543)</f>
        <v>409821.50795524218</v>
      </c>
      <c r="R544" s="30">
        <f>SUM(R537:R543)</f>
        <v>0</v>
      </c>
      <c r="S544" s="30">
        <f t="shared" si="299"/>
        <v>3593736.9610947128</v>
      </c>
      <c r="T544" s="30">
        <f t="shared" si="299"/>
        <v>833249.50869608519</v>
      </c>
      <c r="U544" s="30">
        <f t="shared" si="299"/>
        <v>0</v>
      </c>
      <c r="V544" s="30">
        <f t="shared" si="299"/>
        <v>0</v>
      </c>
      <c r="W544" s="25">
        <f>SUM(G544:V544)</f>
        <v>11113565.829966739</v>
      </c>
      <c r="X544" s="120" t="str">
        <f>IF(ABS(W544-F544)&lt;1,"ok","err")</f>
        <v>ok</v>
      </c>
    </row>
    <row r="545" spans="1:24" x14ac:dyDescent="0.2">
      <c r="A545" s="206" t="s">
        <v>180</v>
      </c>
    </row>
    <row r="546" spans="1:24" x14ac:dyDescent="0.2">
      <c r="F546" s="31"/>
    </row>
    <row r="547" spans="1:24" x14ac:dyDescent="0.2">
      <c r="A547" s="13" t="s">
        <v>367</v>
      </c>
      <c r="C547" s="114" t="s">
        <v>307</v>
      </c>
      <c r="D547" s="114" t="s">
        <v>72</v>
      </c>
      <c r="F547" s="30">
        <v>12736800.254514527</v>
      </c>
      <c r="G547" s="25">
        <f>(VLOOKUP($D547,$C$6:$AJ$991,5,)/VLOOKUP($D547,$C$6:$AJ$991,4,))*$F547</f>
        <v>0</v>
      </c>
      <c r="H547" s="25">
        <f>(VLOOKUP($D547,$C$6:$AJ$991,6,)/VLOOKUP($D547,$C$6:$AJ$991,4,))*$F547</f>
        <v>0</v>
      </c>
      <c r="I547" s="25">
        <f>(VLOOKUP($D547,$C$6:$AJ$991,7,)/VLOOKUP($D547,$C$6:$AJ$991,4,))*$F547</f>
        <v>1848552.4869451984</v>
      </c>
      <c r="J547" s="25">
        <f>(VLOOKUP($D547,$C$6:$AJ$991,8,)/VLOOKUP($D547,$C$6:$AJ$991,4,))*$F547</f>
        <v>0</v>
      </c>
      <c r="K547" s="25">
        <f>(VLOOKUP($D547,$C$6:$AJ$991,9,)/VLOOKUP($D547,$C$6:$AJ$991,4,))*$F547</f>
        <v>113805.08917794153</v>
      </c>
      <c r="L547" s="25">
        <f>(VLOOKUP($D547,$C$6:$AJ$991,10,)/VLOOKUP($D547,$C$6:$AJ$991,4,))*$F547</f>
        <v>539158.45702445251</v>
      </c>
      <c r="M547" s="25">
        <f>(VLOOKUP($D547,$C$6:$AJ$991,11,)/VLOOKUP($D547,$C$6:$AJ$991,4,))*$F547</f>
        <v>0</v>
      </c>
      <c r="N547" s="25">
        <f>(VLOOKUP($D547,$C$6:$AJ$991,12,)/VLOOKUP($D547,$C$6:$AJ$991,4,))*$F547</f>
        <v>412890.22233431623</v>
      </c>
      <c r="O547" s="25">
        <f>(VLOOKUP($D547,$C$6:$AJ$991,13,)/VLOOKUP($D547,$C$6:$AJ$991,4,))*$F547</f>
        <v>4279127.5061235614</v>
      </c>
      <c r="P547" s="25">
        <f>(VLOOKUP($D547,$C$6:$AJ$991,14,)/VLOOKUP($D547,$C$6:$AJ$991,4,))*$F547</f>
        <v>0</v>
      </c>
      <c r="Q547" s="25">
        <f>(VLOOKUP($D547,$C$6:$AJ$991,15,)/VLOOKUP($D547,$C$6:$AJ$991,4,))*$F547</f>
        <v>469679.5580006456</v>
      </c>
      <c r="R547" s="25">
        <f>(VLOOKUP($D547,$C$6:$AJ$991,16,)/VLOOKUP($D547,$C$6:$AJ$991,4,))*$F547</f>
        <v>0</v>
      </c>
      <c r="S547" s="25">
        <f>(VLOOKUP($D547,$C$6:$AJ$991,17,)/VLOOKUP($D547,$C$6:$AJ$991,4,))*$F547</f>
        <v>4118633.9777020416</v>
      </c>
      <c r="T547" s="25">
        <f>(VLOOKUP($D547,$C$6:$AJ$991,18,)/VLOOKUP($D547,$C$6:$AJ$991,4,))*$F547</f>
        <v>954952.95720636996</v>
      </c>
      <c r="U547" s="25">
        <f>(VLOOKUP($D547,$C$6:$AJ$991,19,)/VLOOKUP($D547,$C$6:$AJ$991,4,))*$F547</f>
        <v>0</v>
      </c>
      <c r="V547" s="25">
        <f>(VLOOKUP($D547,$C$6:$AJ$991,20,)/VLOOKUP($D547,$C$6:$AJ$991,4,))*$F547</f>
        <v>0</v>
      </c>
      <c r="W547" s="25">
        <f>SUM(G547:V547)</f>
        <v>12736800.254514527</v>
      </c>
      <c r="X547" s="120" t="str">
        <f>IF(ABS(W547-F547)&lt;1,"ok","err")</f>
        <v>ok</v>
      </c>
    </row>
    <row r="576" spans="1:24" x14ac:dyDescent="0.2">
      <c r="A576" s="184"/>
      <c r="F576" s="30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120"/>
    </row>
    <row r="578" spans="1:24" x14ac:dyDescent="0.2">
      <c r="A578" s="116" t="s">
        <v>191</v>
      </c>
    </row>
    <row r="580" spans="1:24" x14ac:dyDescent="0.2">
      <c r="A580" s="23" t="s">
        <v>192</v>
      </c>
      <c r="C580" s="114" t="s">
        <v>23</v>
      </c>
      <c r="F580" s="128">
        <v>1</v>
      </c>
      <c r="G580" s="129">
        <v>1</v>
      </c>
      <c r="H580" s="129">
        <v>0</v>
      </c>
      <c r="I580" s="129">
        <v>0</v>
      </c>
      <c r="J580" s="129">
        <v>0</v>
      </c>
      <c r="K580" s="129">
        <v>0</v>
      </c>
      <c r="L580" s="129">
        <v>0</v>
      </c>
      <c r="M580" s="129">
        <v>0</v>
      </c>
      <c r="N580" s="129">
        <v>0</v>
      </c>
      <c r="O580" s="129">
        <v>0</v>
      </c>
      <c r="P580" s="129">
        <v>0</v>
      </c>
      <c r="Q580" s="129">
        <v>0</v>
      </c>
      <c r="R580" s="129">
        <v>0</v>
      </c>
      <c r="S580" s="129">
        <v>0</v>
      </c>
      <c r="T580" s="129">
        <v>0</v>
      </c>
      <c r="U580" s="129">
        <v>0</v>
      </c>
      <c r="V580" s="129">
        <v>0</v>
      </c>
      <c r="W580" s="130">
        <f>SUM(G559:V559)</f>
        <v>0</v>
      </c>
      <c r="X580" s="120" t="str">
        <f>IF(ABS(W559-F559)&lt;0.000001,"ok","err")</f>
        <v>ok</v>
      </c>
    </row>
    <row r="581" spans="1:24" x14ac:dyDescent="0.2">
      <c r="A581" s="23" t="s">
        <v>193</v>
      </c>
      <c r="C581" s="114" t="s">
        <v>100</v>
      </c>
      <c r="F581" s="128">
        <v>1</v>
      </c>
      <c r="G581" s="129">
        <v>0</v>
      </c>
      <c r="H581" s="129">
        <v>1</v>
      </c>
      <c r="I581" s="129">
        <v>0</v>
      </c>
      <c r="J581" s="129">
        <v>0</v>
      </c>
      <c r="K581" s="129">
        <v>0</v>
      </c>
      <c r="L581" s="129">
        <v>0</v>
      </c>
      <c r="M581" s="129">
        <v>0</v>
      </c>
      <c r="N581" s="129">
        <v>0</v>
      </c>
      <c r="O581" s="129">
        <v>0</v>
      </c>
      <c r="P581" s="129">
        <v>0</v>
      </c>
      <c r="Q581" s="129">
        <v>0</v>
      </c>
      <c r="R581" s="129">
        <v>0</v>
      </c>
      <c r="S581" s="129">
        <v>0</v>
      </c>
      <c r="T581" s="129">
        <v>0</v>
      </c>
      <c r="U581" s="129">
        <v>0</v>
      </c>
      <c r="V581" s="129">
        <v>0</v>
      </c>
      <c r="W581" s="130">
        <f t="shared" ref="W581:W591" si="300">SUM(G581:V581)</f>
        <v>1</v>
      </c>
      <c r="X581" s="120" t="str">
        <f t="shared" ref="X581:X591" si="301">IF(ABS(W581-F581)&lt;0.000001,"ok","err")</f>
        <v>ok</v>
      </c>
    </row>
    <row r="582" spans="1:24" x14ac:dyDescent="0.2">
      <c r="A582" s="23" t="s">
        <v>194</v>
      </c>
      <c r="C582" s="114" t="s">
        <v>25</v>
      </c>
      <c r="F582" s="128">
        <v>1</v>
      </c>
      <c r="G582" s="129">
        <v>0</v>
      </c>
      <c r="H582" s="129">
        <v>0</v>
      </c>
      <c r="I582" s="129">
        <v>1</v>
      </c>
      <c r="J582" s="129">
        <v>0</v>
      </c>
      <c r="K582" s="129">
        <v>0</v>
      </c>
      <c r="L582" s="129">
        <v>0</v>
      </c>
      <c r="M582" s="129">
        <v>0</v>
      </c>
      <c r="N582" s="129">
        <v>0</v>
      </c>
      <c r="O582" s="129">
        <v>0</v>
      </c>
      <c r="P582" s="129">
        <v>0</v>
      </c>
      <c r="Q582" s="129">
        <v>0</v>
      </c>
      <c r="R582" s="129">
        <v>0</v>
      </c>
      <c r="S582" s="129">
        <v>0</v>
      </c>
      <c r="T582" s="129">
        <v>0</v>
      </c>
      <c r="U582" s="129">
        <v>0</v>
      </c>
      <c r="V582" s="129">
        <v>0</v>
      </c>
      <c r="W582" s="130">
        <f t="shared" si="300"/>
        <v>1</v>
      </c>
      <c r="X582" s="120" t="str">
        <f t="shared" si="301"/>
        <v>ok</v>
      </c>
    </row>
    <row r="583" spans="1:24" x14ac:dyDescent="0.2">
      <c r="A583" s="23" t="s">
        <v>195</v>
      </c>
      <c r="C583" s="114" t="s">
        <v>124</v>
      </c>
      <c r="F583" s="128">
        <v>1</v>
      </c>
      <c r="G583" s="129">
        <v>0</v>
      </c>
      <c r="H583" s="129">
        <v>0</v>
      </c>
      <c r="I583" s="129">
        <v>0</v>
      </c>
      <c r="J583" s="129">
        <v>1</v>
      </c>
      <c r="K583" s="129">
        <v>0</v>
      </c>
      <c r="L583" s="129">
        <v>0</v>
      </c>
      <c r="M583" s="129">
        <v>0</v>
      </c>
      <c r="N583" s="129">
        <v>0</v>
      </c>
      <c r="O583" s="129">
        <v>0</v>
      </c>
      <c r="P583" s="129">
        <v>0</v>
      </c>
      <c r="Q583" s="129">
        <v>0</v>
      </c>
      <c r="R583" s="129">
        <v>0</v>
      </c>
      <c r="S583" s="129">
        <v>0</v>
      </c>
      <c r="T583" s="129">
        <v>0</v>
      </c>
      <c r="U583" s="129">
        <v>0</v>
      </c>
      <c r="V583" s="129">
        <v>0</v>
      </c>
      <c r="W583" s="130">
        <f t="shared" si="300"/>
        <v>1</v>
      </c>
      <c r="X583" s="120" t="str">
        <f t="shared" si="301"/>
        <v>ok</v>
      </c>
    </row>
    <row r="584" spans="1:24" x14ac:dyDescent="0.2">
      <c r="A584" s="23" t="s">
        <v>196</v>
      </c>
      <c r="C584" s="114" t="s">
        <v>28</v>
      </c>
      <c r="F584" s="128">
        <v>1</v>
      </c>
      <c r="G584" s="129">
        <v>0</v>
      </c>
      <c r="H584" s="129">
        <v>0</v>
      </c>
      <c r="I584" s="129">
        <v>0</v>
      </c>
      <c r="J584" s="129">
        <v>0</v>
      </c>
      <c r="K584" s="129">
        <v>0.17429011135434239</v>
      </c>
      <c r="L584" s="129">
        <v>0.82570988864565775</v>
      </c>
      <c r="M584" s="129">
        <v>0</v>
      </c>
      <c r="N584" s="129">
        <v>0</v>
      </c>
      <c r="O584" s="129">
        <v>0</v>
      </c>
      <c r="P584" s="129">
        <v>0</v>
      </c>
      <c r="Q584" s="129">
        <v>0</v>
      </c>
      <c r="R584" s="129">
        <v>0</v>
      </c>
      <c r="S584" s="129">
        <v>0</v>
      </c>
      <c r="T584" s="129">
        <v>0</v>
      </c>
      <c r="U584" s="129">
        <v>0</v>
      </c>
      <c r="V584" s="129">
        <v>0</v>
      </c>
      <c r="W584" s="130">
        <f t="shared" si="300"/>
        <v>1.0000000000000002</v>
      </c>
      <c r="X584" s="120" t="str">
        <f t="shared" si="301"/>
        <v>ok</v>
      </c>
    </row>
    <row r="585" spans="1:24" x14ac:dyDescent="0.2">
      <c r="A585" s="23" t="s">
        <v>197</v>
      </c>
      <c r="C585" s="114" t="s">
        <v>35</v>
      </c>
      <c r="F585" s="128">
        <v>1</v>
      </c>
      <c r="G585" s="129">
        <v>0</v>
      </c>
      <c r="H585" s="129">
        <v>0</v>
      </c>
      <c r="I585" s="129">
        <v>0</v>
      </c>
      <c r="J585" s="129">
        <v>0</v>
      </c>
      <c r="K585" s="129">
        <v>0</v>
      </c>
      <c r="L585" s="129">
        <v>0</v>
      </c>
      <c r="M585" s="129">
        <v>1</v>
      </c>
      <c r="N585" s="129">
        <v>0</v>
      </c>
      <c r="O585" s="129">
        <v>0</v>
      </c>
      <c r="P585" s="129">
        <v>0</v>
      </c>
      <c r="Q585" s="129">
        <v>0</v>
      </c>
      <c r="R585" s="129">
        <v>0</v>
      </c>
      <c r="S585" s="129">
        <v>0</v>
      </c>
      <c r="T585" s="129">
        <v>0</v>
      </c>
      <c r="U585" s="129">
        <v>0</v>
      </c>
      <c r="V585" s="129">
        <v>0</v>
      </c>
      <c r="W585" s="130">
        <f t="shared" si="300"/>
        <v>1</v>
      </c>
      <c r="X585" s="120" t="str">
        <f t="shared" si="301"/>
        <v>ok</v>
      </c>
    </row>
    <row r="586" spans="1:24" x14ac:dyDescent="0.2">
      <c r="A586" s="23" t="s">
        <v>7</v>
      </c>
      <c r="C586" s="114" t="s">
        <v>38</v>
      </c>
      <c r="F586" s="128">
        <v>1</v>
      </c>
      <c r="G586" s="129">
        <v>0</v>
      </c>
      <c r="H586" s="129">
        <v>0</v>
      </c>
      <c r="I586" s="129">
        <v>0</v>
      </c>
      <c r="J586" s="129">
        <v>0</v>
      </c>
      <c r="K586" s="129">
        <v>0</v>
      </c>
      <c r="L586" s="129">
        <v>0</v>
      </c>
      <c r="M586" s="129">
        <v>0</v>
      </c>
      <c r="N586" s="129">
        <v>1</v>
      </c>
      <c r="O586" s="129">
        <v>0</v>
      </c>
      <c r="P586" s="129">
        <v>0</v>
      </c>
      <c r="Q586" s="129">
        <v>0</v>
      </c>
      <c r="R586" s="129">
        <v>0</v>
      </c>
      <c r="S586" s="129">
        <v>0</v>
      </c>
      <c r="T586" s="129">
        <v>0</v>
      </c>
      <c r="U586" s="129">
        <v>0</v>
      </c>
      <c r="V586" s="129">
        <v>0</v>
      </c>
      <c r="W586" s="130">
        <f t="shared" si="300"/>
        <v>1</v>
      </c>
      <c r="X586" s="120" t="str">
        <f t="shared" si="301"/>
        <v>ok</v>
      </c>
    </row>
    <row r="587" spans="1:24" x14ac:dyDescent="0.2">
      <c r="A587" s="23" t="s">
        <v>8</v>
      </c>
      <c r="C587" s="114" t="s">
        <v>40</v>
      </c>
      <c r="F587" s="128">
        <v>1</v>
      </c>
      <c r="G587" s="129">
        <v>0</v>
      </c>
      <c r="H587" s="129">
        <v>0</v>
      </c>
      <c r="I587" s="129">
        <v>0</v>
      </c>
      <c r="J587" s="129">
        <v>0</v>
      </c>
      <c r="K587" s="129">
        <v>0</v>
      </c>
      <c r="L587" s="129">
        <v>0</v>
      </c>
      <c r="M587" s="129">
        <v>0</v>
      </c>
      <c r="N587" s="129">
        <v>0</v>
      </c>
      <c r="O587" s="129">
        <f>+(146471966+238345218)/427054945</f>
        <v>0.90109525367982801</v>
      </c>
      <c r="P587" s="129">
        <v>0</v>
      </c>
      <c r="Q587" s="129">
        <f>+(24676321+17561440)/427054945</f>
        <v>9.8904746320171988E-2</v>
      </c>
      <c r="R587" s="129">
        <v>0</v>
      </c>
      <c r="S587" s="129">
        <v>0</v>
      </c>
      <c r="T587" s="129">
        <v>0</v>
      </c>
      <c r="U587" s="129">
        <v>0</v>
      </c>
      <c r="V587" s="129">
        <v>0</v>
      </c>
      <c r="W587" s="130">
        <f t="shared" si="300"/>
        <v>1</v>
      </c>
      <c r="X587" s="120" t="str">
        <f t="shared" si="301"/>
        <v>ok</v>
      </c>
    </row>
    <row r="588" spans="1:24" x14ac:dyDescent="0.2">
      <c r="A588" s="23" t="s">
        <v>10</v>
      </c>
      <c r="C588" s="114" t="s">
        <v>42</v>
      </c>
      <c r="F588" s="128">
        <v>1</v>
      </c>
      <c r="G588" s="129">
        <v>0</v>
      </c>
      <c r="H588" s="129">
        <v>0</v>
      </c>
      <c r="I588" s="129">
        <v>0</v>
      </c>
      <c r="J588" s="129">
        <v>0</v>
      </c>
      <c r="K588" s="129">
        <v>0</v>
      </c>
      <c r="L588" s="129">
        <v>0</v>
      </c>
      <c r="M588" s="129">
        <v>0</v>
      </c>
      <c r="N588" s="129">
        <v>0</v>
      </c>
      <c r="O588" s="129">
        <v>0</v>
      </c>
      <c r="P588" s="129">
        <v>0</v>
      </c>
      <c r="Q588" s="129">
        <v>0</v>
      </c>
      <c r="R588" s="129">
        <v>0</v>
      </c>
      <c r="S588" s="129">
        <v>1</v>
      </c>
      <c r="T588" s="129">
        <v>0</v>
      </c>
      <c r="U588" s="129">
        <v>0</v>
      </c>
      <c r="V588" s="129">
        <v>0</v>
      </c>
      <c r="W588" s="130">
        <f t="shared" si="300"/>
        <v>1</v>
      </c>
      <c r="X588" s="120" t="str">
        <f t="shared" si="301"/>
        <v>ok</v>
      </c>
    </row>
    <row r="589" spans="1:24" x14ac:dyDescent="0.2">
      <c r="A589" s="23" t="s">
        <v>11</v>
      </c>
      <c r="C589" s="114" t="s">
        <v>45</v>
      </c>
      <c r="F589" s="128">
        <v>1</v>
      </c>
      <c r="G589" s="129">
        <v>0</v>
      </c>
      <c r="H589" s="129">
        <v>0</v>
      </c>
      <c r="I589" s="129">
        <v>0</v>
      </c>
      <c r="J589" s="129">
        <v>0</v>
      </c>
      <c r="K589" s="129">
        <v>0</v>
      </c>
      <c r="L589" s="129">
        <v>0</v>
      </c>
      <c r="M589" s="129">
        <v>0</v>
      </c>
      <c r="N589" s="129">
        <v>0</v>
      </c>
      <c r="O589" s="129">
        <v>0</v>
      </c>
      <c r="P589" s="129">
        <v>0</v>
      </c>
      <c r="Q589" s="129">
        <v>0</v>
      </c>
      <c r="R589" s="129">
        <v>0</v>
      </c>
      <c r="S589" s="129">
        <v>0</v>
      </c>
      <c r="T589" s="129">
        <v>1</v>
      </c>
      <c r="U589" s="129">
        <v>0</v>
      </c>
      <c r="V589" s="129">
        <v>0</v>
      </c>
      <c r="W589" s="130">
        <f t="shared" si="300"/>
        <v>1</v>
      </c>
      <c r="X589" s="120" t="str">
        <f t="shared" si="301"/>
        <v>ok</v>
      </c>
    </row>
    <row r="590" spans="1:24" x14ac:dyDescent="0.2">
      <c r="A590" s="23" t="s">
        <v>12</v>
      </c>
      <c r="C590" s="114" t="s">
        <v>48</v>
      </c>
      <c r="F590" s="128">
        <v>1</v>
      </c>
      <c r="G590" s="129">
        <v>0</v>
      </c>
      <c r="H590" s="129">
        <v>0</v>
      </c>
      <c r="I590" s="129">
        <v>0</v>
      </c>
      <c r="J590" s="129">
        <v>0</v>
      </c>
      <c r="K590" s="129">
        <v>0</v>
      </c>
      <c r="L590" s="129">
        <v>0</v>
      </c>
      <c r="M590" s="129">
        <v>0</v>
      </c>
      <c r="N590" s="129">
        <v>0</v>
      </c>
      <c r="O590" s="129">
        <v>0</v>
      </c>
      <c r="P590" s="129">
        <v>0</v>
      </c>
      <c r="Q590" s="129">
        <v>0</v>
      </c>
      <c r="R590" s="129">
        <v>0</v>
      </c>
      <c r="S590" s="129">
        <v>0</v>
      </c>
      <c r="T590" s="129">
        <v>0</v>
      </c>
      <c r="U590" s="129">
        <v>1</v>
      </c>
      <c r="V590" s="129">
        <v>0</v>
      </c>
      <c r="W590" s="130">
        <f t="shared" si="300"/>
        <v>1</v>
      </c>
      <c r="X590" s="120" t="str">
        <f t="shared" si="301"/>
        <v>ok</v>
      </c>
    </row>
    <row r="591" spans="1:24" x14ac:dyDescent="0.2">
      <c r="A591" s="23" t="s">
        <v>645</v>
      </c>
      <c r="C591" s="114" t="s">
        <v>51</v>
      </c>
      <c r="F591" s="128">
        <v>1</v>
      </c>
      <c r="G591" s="129">
        <v>0</v>
      </c>
      <c r="H591" s="129">
        <v>0</v>
      </c>
      <c r="I591" s="129">
        <v>0</v>
      </c>
      <c r="J591" s="129">
        <v>0</v>
      </c>
      <c r="K591" s="129">
        <v>0</v>
      </c>
      <c r="L591" s="129">
        <v>0</v>
      </c>
      <c r="M591" s="129">
        <v>0</v>
      </c>
      <c r="N591" s="129">
        <v>0</v>
      </c>
      <c r="O591" s="129">
        <v>0</v>
      </c>
      <c r="P591" s="129">
        <v>0</v>
      </c>
      <c r="Q591" s="129">
        <v>0</v>
      </c>
      <c r="R591" s="129">
        <v>0</v>
      </c>
      <c r="S591" s="129">
        <v>0</v>
      </c>
      <c r="T591" s="129">
        <v>0</v>
      </c>
      <c r="U591" s="129">
        <v>0</v>
      </c>
      <c r="V591" s="129">
        <v>1</v>
      </c>
      <c r="W591" s="130">
        <f t="shared" si="300"/>
        <v>1</v>
      </c>
      <c r="X591" s="120" t="str">
        <f t="shared" si="301"/>
        <v>ok</v>
      </c>
    </row>
    <row r="593" spans="1:25" x14ac:dyDescent="0.2">
      <c r="A593" s="23" t="s">
        <v>298</v>
      </c>
      <c r="C593" s="114" t="s">
        <v>299</v>
      </c>
      <c r="F593" s="31">
        <f t="shared" ref="F593:V593" si="302">F13+F18</f>
        <v>480205701.40692252</v>
      </c>
      <c r="G593" s="31">
        <f t="shared" si="302"/>
        <v>0</v>
      </c>
      <c r="H593" s="31">
        <f t="shared" si="302"/>
        <v>0</v>
      </c>
      <c r="I593" s="31">
        <f t="shared" si="302"/>
        <v>0</v>
      </c>
      <c r="J593" s="31">
        <f t="shared" si="302"/>
        <v>0</v>
      </c>
      <c r="K593" s="31">
        <f t="shared" si="302"/>
        <v>9263651.1686686873</v>
      </c>
      <c r="L593" s="31">
        <f t="shared" si="302"/>
        <v>43887104.755946696</v>
      </c>
      <c r="M593" s="31">
        <f t="shared" si="302"/>
        <v>0</v>
      </c>
      <c r="N593" s="31">
        <f t="shared" si="302"/>
        <v>0</v>
      </c>
      <c r="O593" s="31">
        <f t="shared" si="302"/>
        <v>384817184.43460464</v>
      </c>
      <c r="P593" s="31">
        <f t="shared" si="302"/>
        <v>0</v>
      </c>
      <c r="Q593" s="31">
        <f t="shared" si="302"/>
        <v>42237761.047702469</v>
      </c>
      <c r="R593" s="31">
        <f t="shared" si="302"/>
        <v>0</v>
      </c>
      <c r="S593" s="31">
        <f t="shared" si="302"/>
        <v>0</v>
      </c>
      <c r="T593" s="31">
        <f t="shared" si="302"/>
        <v>0</v>
      </c>
      <c r="U593" s="31">
        <f t="shared" si="302"/>
        <v>0</v>
      </c>
      <c r="V593" s="31">
        <f t="shared" si="302"/>
        <v>0</v>
      </c>
      <c r="W593" s="25">
        <f>SUM(G593:V593)</f>
        <v>480205701.40692252</v>
      </c>
      <c r="X593" s="120" t="str">
        <f>IF(ABS(W593-F593)&lt;1,"ok","err")</f>
        <v>ok</v>
      </c>
      <c r="Y593" s="124">
        <f>+W593-F593</f>
        <v>0</v>
      </c>
    </row>
    <row r="620" spans="1:24" x14ac:dyDescent="0.2">
      <c r="A620" s="116" t="s">
        <v>390</v>
      </c>
    </row>
    <row r="622" spans="1:24" x14ac:dyDescent="0.2">
      <c r="A622" s="23" t="s">
        <v>199</v>
      </c>
      <c r="D622" s="114" t="s">
        <v>200</v>
      </c>
      <c r="F622" s="130">
        <v>1</v>
      </c>
      <c r="G622" s="130">
        <f t="shared" ref="G622:G634" si="303">(VLOOKUP($D622,$C$6:$AJ$991,5,)/VLOOKUP($D622,$C$6:$AJ$991,4,))*$F622</f>
        <v>0</v>
      </c>
      <c r="H622" s="130">
        <f t="shared" ref="H622:H634" si="304">(VLOOKUP($D622,$C$6:$AJ$991,6,)/VLOOKUP($D622,$C$6:$AJ$991,4,))*$F622</f>
        <v>0</v>
      </c>
      <c r="I622" s="130">
        <f t="shared" ref="I622:I634" si="305">(VLOOKUP($D622,$C$6:$AJ$991,7,)/VLOOKUP($D622,$C$6:$AJ$991,4,))*$F622</f>
        <v>0</v>
      </c>
      <c r="J622" s="130">
        <f t="shared" ref="J622:J634" si="306">(VLOOKUP($D622,$C$6:$AJ$991,8,)/VLOOKUP($D622,$C$6:$AJ$991,4,))*$F622</f>
        <v>0</v>
      </c>
      <c r="K622" s="130">
        <f t="shared" ref="K622:K634" si="307">(VLOOKUP($D622,$C$6:$AJ$991,9,)/VLOOKUP($D622,$C$6:$AJ$991,4,))*$F622</f>
        <v>0</v>
      </c>
      <c r="L622" s="130">
        <f t="shared" ref="L622:L634" si="308">(VLOOKUP($D622,$C$6:$AJ$991,10,)/VLOOKUP($D622,$C$6:$AJ$991,4,))*$F622</f>
        <v>0</v>
      </c>
      <c r="M622" s="130">
        <f t="shared" ref="M622:M634" si="309">(VLOOKUP($D622,$C$6:$AJ$991,11,)/VLOOKUP($D622,$C$6:$AJ$991,4,))*$F622</f>
        <v>0</v>
      </c>
      <c r="N622" s="130">
        <f t="shared" ref="N622:N634" si="310">(VLOOKUP($D622,$C$6:$AJ$991,12,)/VLOOKUP($D622,$C$6:$AJ$991,4,))*$F622</f>
        <v>4.0564698005969207E-2</v>
      </c>
      <c r="O622" s="130">
        <f t="shared" ref="O622:O634" si="311">(VLOOKUP($D622,$C$6:$AJ$991,13,)/VLOOKUP($D622,$C$6:$AJ$991,4,))*$F622</f>
        <v>0.41538426818802671</v>
      </c>
      <c r="P622" s="130">
        <f t="shared" ref="P622:P634" si="312">(VLOOKUP($D622,$C$6:$AJ$991,14,)/VLOOKUP($D622,$C$6:$AJ$991,4,))*$F622</f>
        <v>0</v>
      </c>
      <c r="Q622" s="130">
        <f t="shared" ref="Q622:Q634" si="313">(VLOOKUP($D622,$C$6:$AJ$991,15,)/VLOOKUP($D622,$C$6:$AJ$991,4,))*$F622</f>
        <v>4.5592822182508819E-2</v>
      </c>
      <c r="R622" s="130">
        <f t="shared" ref="R622:R634" si="314">(VLOOKUP($D622,$C$6:$AJ$991,16,)/VLOOKUP($D622,$C$6:$AJ$991,4,))*$F622</f>
        <v>0</v>
      </c>
      <c r="S622" s="130">
        <f t="shared" ref="S622:S634" si="315">(VLOOKUP($D622,$C$6:$AJ$991,17,)/VLOOKUP($D622,$C$6:$AJ$991,4,))*$F622</f>
        <v>0.40463816885285764</v>
      </c>
      <c r="T622" s="130">
        <f t="shared" ref="T622:T634" si="316">(VLOOKUP($D622,$C$6:$AJ$991,18,)/VLOOKUP($D622,$C$6:$AJ$991,4,))*$F622</f>
        <v>9.3820042770637629E-2</v>
      </c>
      <c r="U622" s="130">
        <f t="shared" ref="U622:U634" si="317">(VLOOKUP($D622,$C$6:$AJ$991,19,)/VLOOKUP($D622,$C$6:$AJ$991,4,))*$F622</f>
        <v>0</v>
      </c>
      <c r="V622" s="130">
        <f t="shared" ref="V622:V634" si="318">(VLOOKUP($D622,$C$6:$AJ$991,20,)/VLOOKUP($D622,$C$6:$AJ$991,4,))*$F622</f>
        <v>0</v>
      </c>
      <c r="W622" s="130">
        <f>SUM(G622:V622)</f>
        <v>1</v>
      </c>
      <c r="X622" s="120" t="str">
        <f>IF(ABS(W622-F622)&lt;0.00001,"ok","err")</f>
        <v>ok</v>
      </c>
    </row>
    <row r="623" spans="1:24" x14ac:dyDescent="0.2">
      <c r="A623" s="23" t="s">
        <v>66</v>
      </c>
      <c r="D623" s="114" t="s">
        <v>56</v>
      </c>
      <c r="F623" s="130">
        <v>1</v>
      </c>
      <c r="G623" s="130">
        <f t="shared" si="303"/>
        <v>0</v>
      </c>
      <c r="H623" s="130">
        <f t="shared" si="304"/>
        <v>0</v>
      </c>
      <c r="I623" s="130">
        <f t="shared" si="305"/>
        <v>0.13541191997688806</v>
      </c>
      <c r="J623" s="130">
        <f t="shared" si="306"/>
        <v>0</v>
      </c>
      <c r="K623" s="130">
        <f t="shared" si="307"/>
        <v>8.1763400268101711E-3</v>
      </c>
      <c r="L623" s="130">
        <f t="shared" si="308"/>
        <v>3.8735902803691991E-2</v>
      </c>
      <c r="M623" s="130">
        <f t="shared" si="309"/>
        <v>0</v>
      </c>
      <c r="N623" s="130">
        <f t="shared" si="310"/>
        <v>3.3168773402496264E-2</v>
      </c>
      <c r="O623" s="130">
        <f t="shared" si="311"/>
        <v>0.33964967924728429</v>
      </c>
      <c r="P623" s="130">
        <f t="shared" si="312"/>
        <v>0</v>
      </c>
      <c r="Q623" s="25">
        <f t="shared" si="313"/>
        <v>3.7280149048056689E-2</v>
      </c>
      <c r="R623" s="25">
        <f t="shared" si="314"/>
        <v>0</v>
      </c>
      <c r="S623" s="25">
        <f t="shared" si="315"/>
        <v>0.33086285347684502</v>
      </c>
      <c r="T623" s="25">
        <f t="shared" si="316"/>
        <v>7.6714382017927588E-2</v>
      </c>
      <c r="U623" s="25">
        <f t="shared" si="317"/>
        <v>0</v>
      </c>
      <c r="V623" s="25">
        <f t="shared" si="318"/>
        <v>0</v>
      </c>
      <c r="W623" s="130">
        <f t="shared" ref="W623:W628" si="319">SUM(G623:V623)</f>
        <v>1.0000000000000002</v>
      </c>
      <c r="X623" s="120" t="str">
        <f t="shared" ref="X623:X643" si="320">IF(ABS(W623-F623)&lt;0.00001,"ok","err")</f>
        <v>ok</v>
      </c>
    </row>
    <row r="624" spans="1:24" x14ac:dyDescent="0.2">
      <c r="A624" s="23" t="s">
        <v>182</v>
      </c>
      <c r="D624" s="114" t="s">
        <v>198</v>
      </c>
      <c r="F624" s="130">
        <v>1</v>
      </c>
      <c r="G624" s="130">
        <f t="shared" si="303"/>
        <v>0</v>
      </c>
      <c r="H624" s="130">
        <f t="shared" si="304"/>
        <v>0</v>
      </c>
      <c r="I624" s="130">
        <f t="shared" si="305"/>
        <v>1</v>
      </c>
      <c r="J624" s="130">
        <f t="shared" si="306"/>
        <v>0</v>
      </c>
      <c r="K624" s="130">
        <f t="shared" si="307"/>
        <v>0</v>
      </c>
      <c r="L624" s="130">
        <f t="shared" si="308"/>
        <v>0</v>
      </c>
      <c r="M624" s="130">
        <f t="shared" si="309"/>
        <v>0</v>
      </c>
      <c r="N624" s="130">
        <f t="shared" si="310"/>
        <v>0</v>
      </c>
      <c r="O624" s="130">
        <f t="shared" si="311"/>
        <v>0</v>
      </c>
      <c r="P624" s="130">
        <f t="shared" si="312"/>
        <v>0</v>
      </c>
      <c r="Q624" s="25">
        <f t="shared" si="313"/>
        <v>0</v>
      </c>
      <c r="R624" s="25">
        <f t="shared" si="314"/>
        <v>0</v>
      </c>
      <c r="S624" s="25">
        <f t="shared" si="315"/>
        <v>0</v>
      </c>
      <c r="T624" s="25">
        <f t="shared" si="316"/>
        <v>0</v>
      </c>
      <c r="U624" s="25">
        <f t="shared" si="317"/>
        <v>0</v>
      </c>
      <c r="V624" s="25">
        <f t="shared" si="318"/>
        <v>0</v>
      </c>
      <c r="W624" s="130">
        <f t="shared" si="319"/>
        <v>1</v>
      </c>
      <c r="X624" s="120" t="str">
        <f t="shared" si="320"/>
        <v>ok</v>
      </c>
    </row>
    <row r="625" spans="1:25" x14ac:dyDescent="0.2">
      <c r="A625" s="23" t="s">
        <v>386</v>
      </c>
      <c r="D625" s="114" t="s">
        <v>181</v>
      </c>
      <c r="F625" s="130">
        <v>1</v>
      </c>
      <c r="G625" s="130">
        <f t="shared" si="303"/>
        <v>0</v>
      </c>
      <c r="H625" s="130">
        <f t="shared" si="304"/>
        <v>0</v>
      </c>
      <c r="I625" s="130">
        <f t="shared" si="305"/>
        <v>0</v>
      </c>
      <c r="J625" s="130">
        <f t="shared" si="306"/>
        <v>0</v>
      </c>
      <c r="K625" s="130">
        <f t="shared" si="307"/>
        <v>0.17429011135434239</v>
      </c>
      <c r="L625" s="130">
        <f t="shared" si="308"/>
        <v>0.82570988864565775</v>
      </c>
      <c r="M625" s="130">
        <f t="shared" si="309"/>
        <v>0</v>
      </c>
      <c r="N625" s="130">
        <f t="shared" si="310"/>
        <v>0</v>
      </c>
      <c r="O625" s="130">
        <f t="shared" si="311"/>
        <v>0</v>
      </c>
      <c r="P625" s="130">
        <f t="shared" si="312"/>
        <v>0</v>
      </c>
      <c r="Q625" s="25">
        <f t="shared" si="313"/>
        <v>0</v>
      </c>
      <c r="R625" s="25">
        <f t="shared" si="314"/>
        <v>0</v>
      </c>
      <c r="S625" s="25">
        <f t="shared" si="315"/>
        <v>0</v>
      </c>
      <c r="T625" s="25">
        <f t="shared" si="316"/>
        <v>0</v>
      </c>
      <c r="U625" s="25">
        <f t="shared" si="317"/>
        <v>0</v>
      </c>
      <c r="V625" s="25">
        <f t="shared" si="318"/>
        <v>0</v>
      </c>
      <c r="W625" s="130">
        <f t="shared" si="319"/>
        <v>1.0000000000000002</v>
      </c>
      <c r="X625" s="120" t="str">
        <f t="shared" si="320"/>
        <v>ok</v>
      </c>
    </row>
    <row r="626" spans="1:25" x14ac:dyDescent="0.2">
      <c r="A626" s="23" t="s">
        <v>61</v>
      </c>
      <c r="D626" s="114" t="s">
        <v>62</v>
      </c>
      <c r="F626" s="130">
        <v>1</v>
      </c>
      <c r="G626" s="130">
        <f t="shared" si="303"/>
        <v>0</v>
      </c>
      <c r="H626" s="130">
        <f t="shared" si="304"/>
        <v>0</v>
      </c>
      <c r="I626" s="130">
        <f t="shared" si="305"/>
        <v>0.13541191997688806</v>
      </c>
      <c r="J626" s="130">
        <f t="shared" si="306"/>
        <v>0</v>
      </c>
      <c r="K626" s="130">
        <f t="shared" si="307"/>
        <v>8.1763400268101711E-3</v>
      </c>
      <c r="L626" s="130">
        <f t="shared" si="308"/>
        <v>3.8735902803691991E-2</v>
      </c>
      <c r="M626" s="130">
        <f t="shared" si="309"/>
        <v>0</v>
      </c>
      <c r="N626" s="130">
        <f t="shared" si="310"/>
        <v>3.3168773402496264E-2</v>
      </c>
      <c r="O626" s="130">
        <f t="shared" si="311"/>
        <v>0.33964967924728429</v>
      </c>
      <c r="P626" s="130">
        <f t="shared" si="312"/>
        <v>0</v>
      </c>
      <c r="Q626" s="25">
        <f t="shared" si="313"/>
        <v>3.7280149048056689E-2</v>
      </c>
      <c r="R626" s="25">
        <f t="shared" si="314"/>
        <v>0</v>
      </c>
      <c r="S626" s="25">
        <f t="shared" si="315"/>
        <v>0.33086285347684502</v>
      </c>
      <c r="T626" s="25">
        <f t="shared" si="316"/>
        <v>7.6714382017927588E-2</v>
      </c>
      <c r="U626" s="25">
        <f t="shared" si="317"/>
        <v>0</v>
      </c>
      <c r="V626" s="25">
        <f t="shared" si="318"/>
        <v>0</v>
      </c>
      <c r="W626" s="130">
        <f t="shared" si="319"/>
        <v>1.0000000000000002</v>
      </c>
      <c r="X626" s="120" t="str">
        <f t="shared" si="320"/>
        <v>ok</v>
      </c>
    </row>
    <row r="627" spans="1:25" x14ac:dyDescent="0.2">
      <c r="A627" s="23" t="s">
        <v>65</v>
      </c>
      <c r="D627" s="114" t="s">
        <v>200</v>
      </c>
      <c r="F627" s="130">
        <v>1</v>
      </c>
      <c r="G627" s="130">
        <f t="shared" si="303"/>
        <v>0</v>
      </c>
      <c r="H627" s="130">
        <f t="shared" si="304"/>
        <v>0</v>
      </c>
      <c r="I627" s="130">
        <f t="shared" si="305"/>
        <v>0</v>
      </c>
      <c r="J627" s="130">
        <f t="shared" si="306"/>
        <v>0</v>
      </c>
      <c r="K627" s="130">
        <f t="shared" si="307"/>
        <v>0</v>
      </c>
      <c r="L627" s="130">
        <f t="shared" si="308"/>
        <v>0</v>
      </c>
      <c r="M627" s="130">
        <f t="shared" si="309"/>
        <v>0</v>
      </c>
      <c r="N627" s="130">
        <f t="shared" si="310"/>
        <v>4.0564698005969207E-2</v>
      </c>
      <c r="O627" s="130">
        <f t="shared" si="311"/>
        <v>0.41538426818802671</v>
      </c>
      <c r="P627" s="130">
        <f t="shared" si="312"/>
        <v>0</v>
      </c>
      <c r="Q627" s="25">
        <f t="shared" si="313"/>
        <v>4.5592822182508819E-2</v>
      </c>
      <c r="R627" s="25">
        <f t="shared" si="314"/>
        <v>0</v>
      </c>
      <c r="S627" s="25">
        <f t="shared" si="315"/>
        <v>0.40463816885285764</v>
      </c>
      <c r="T627" s="25">
        <f t="shared" si="316"/>
        <v>9.3820042770637629E-2</v>
      </c>
      <c r="U627" s="25">
        <f t="shared" si="317"/>
        <v>0</v>
      </c>
      <c r="V627" s="25">
        <f t="shared" si="318"/>
        <v>0</v>
      </c>
      <c r="W627" s="130">
        <f t="shared" si="319"/>
        <v>1</v>
      </c>
      <c r="X627" s="120" t="str">
        <f t="shared" si="320"/>
        <v>ok</v>
      </c>
    </row>
    <row r="628" spans="1:25" x14ac:dyDescent="0.2">
      <c r="A628" s="23" t="s">
        <v>201</v>
      </c>
      <c r="D628" s="114" t="s">
        <v>71</v>
      </c>
      <c r="F628" s="130">
        <v>1</v>
      </c>
      <c r="G628" s="130">
        <f t="shared" si="303"/>
        <v>0</v>
      </c>
      <c r="H628" s="130">
        <f t="shared" si="304"/>
        <v>0</v>
      </c>
      <c r="I628" s="130">
        <f t="shared" si="305"/>
        <v>0.22177082612138779</v>
      </c>
      <c r="J628" s="130">
        <f t="shared" si="306"/>
        <v>0</v>
      </c>
      <c r="K628" s="130">
        <f t="shared" si="307"/>
        <v>5.072455902899458E-2</v>
      </c>
      <c r="L628" s="130">
        <f t="shared" si="308"/>
        <v>0.24031065022546771</v>
      </c>
      <c r="M628" s="130">
        <f t="shared" si="309"/>
        <v>0</v>
      </c>
      <c r="N628" s="130">
        <f t="shared" si="310"/>
        <v>1.0554305759375058E-2</v>
      </c>
      <c r="O628" s="130">
        <f t="shared" si="311"/>
        <v>0.31263369814948755</v>
      </c>
      <c r="P628" s="130">
        <f t="shared" si="312"/>
        <v>0</v>
      </c>
      <c r="Q628" s="25">
        <f t="shared" si="313"/>
        <v>3.4314859034424515E-2</v>
      </c>
      <c r="R628" s="25">
        <f t="shared" si="314"/>
        <v>0</v>
      </c>
      <c r="S628" s="25">
        <f t="shared" si="315"/>
        <v>0.10528058055204187</v>
      </c>
      <c r="T628" s="25">
        <f t="shared" si="316"/>
        <v>2.4410521128821014E-2</v>
      </c>
      <c r="U628" s="25">
        <f t="shared" si="317"/>
        <v>0</v>
      </c>
      <c r="V628" s="25">
        <f t="shared" si="318"/>
        <v>0</v>
      </c>
      <c r="W628" s="130">
        <f t="shared" si="319"/>
        <v>1.0000000000000002</v>
      </c>
      <c r="X628" s="120" t="str">
        <f t="shared" si="320"/>
        <v>ok</v>
      </c>
    </row>
    <row r="629" spans="1:25" x14ac:dyDescent="0.2">
      <c r="A629" s="23" t="s">
        <v>190</v>
      </c>
      <c r="D629" s="114" t="s">
        <v>90</v>
      </c>
      <c r="F629" s="130">
        <v>1</v>
      </c>
      <c r="G629" s="130">
        <f t="shared" si="303"/>
        <v>1.7208800576445948E-3</v>
      </c>
      <c r="H629" s="130">
        <f t="shared" si="304"/>
        <v>1.2937382784302551E-2</v>
      </c>
      <c r="I629" s="130">
        <f t="shared" si="305"/>
        <v>5.7854503505992388E-2</v>
      </c>
      <c r="J629" s="130">
        <f t="shared" si="306"/>
        <v>0.14083350758066285</v>
      </c>
      <c r="K629" s="130">
        <f t="shared" si="307"/>
        <v>1.5148802538686973E-2</v>
      </c>
      <c r="L629" s="130">
        <f t="shared" si="308"/>
        <v>7.1768363449511513E-2</v>
      </c>
      <c r="M629" s="130">
        <f t="shared" si="309"/>
        <v>2.3325268253678554E-2</v>
      </c>
      <c r="N629" s="130">
        <f t="shared" si="310"/>
        <v>4.7158471600180399E-2</v>
      </c>
      <c r="O629" s="130">
        <f t="shared" si="311"/>
        <v>0.25297559554188609</v>
      </c>
      <c r="P629" s="130">
        <f t="shared" si="312"/>
        <v>0</v>
      </c>
      <c r="Q629" s="25">
        <f t="shared" si="313"/>
        <v>2.7766750518425008E-2</v>
      </c>
      <c r="R629" s="25">
        <f t="shared" si="314"/>
        <v>0</v>
      </c>
      <c r="S629" s="25">
        <f t="shared" si="315"/>
        <v>9.506526944817778E-2</v>
      </c>
      <c r="T629" s="25">
        <f t="shared" si="316"/>
        <v>6.094504083263131E-2</v>
      </c>
      <c r="U629" s="25">
        <f t="shared" si="317"/>
        <v>0.18206559130249805</v>
      </c>
      <c r="V629" s="25">
        <f t="shared" si="318"/>
        <v>1.0434572585721962E-2</v>
      </c>
      <c r="W629" s="130">
        <f t="shared" ref="W629:W635" si="321">SUM(G629:V629)</f>
        <v>1</v>
      </c>
      <c r="X629" s="120" t="str">
        <f t="shared" si="320"/>
        <v>ok</v>
      </c>
    </row>
    <row r="630" spans="1:25" x14ac:dyDescent="0.2">
      <c r="A630" s="23" t="s">
        <v>77</v>
      </c>
      <c r="D630" s="114" t="s">
        <v>78</v>
      </c>
      <c r="F630" s="130">
        <v>1</v>
      </c>
      <c r="G630" s="130">
        <f t="shared" si="303"/>
        <v>0</v>
      </c>
      <c r="H630" s="130">
        <f t="shared" si="304"/>
        <v>0</v>
      </c>
      <c r="I630" s="130">
        <f t="shared" si="305"/>
        <v>0.12299651887888413</v>
      </c>
      <c r="J630" s="130">
        <f t="shared" si="306"/>
        <v>0</v>
      </c>
      <c r="K630" s="130">
        <f t="shared" si="307"/>
        <v>6.6912965529907524E-3</v>
      </c>
      <c r="L630" s="130">
        <f t="shared" si="308"/>
        <v>3.1700419999343886E-2</v>
      </c>
      <c r="M630" s="130">
        <f t="shared" si="309"/>
        <v>0</v>
      </c>
      <c r="N630" s="130">
        <f t="shared" si="310"/>
        <v>1.7963158716796834E-2</v>
      </c>
      <c r="O630" s="130">
        <f t="shared" si="311"/>
        <v>0.3671814367952333</v>
      </c>
      <c r="P630" s="130">
        <f t="shared" si="312"/>
        <v>0</v>
      </c>
      <c r="Q630" s="25">
        <f t="shared" si="313"/>
        <v>4.0302050988953939E-2</v>
      </c>
      <c r="R630" s="25">
        <f t="shared" si="314"/>
        <v>0</v>
      </c>
      <c r="S630" s="25">
        <f t="shared" si="315"/>
        <v>0.34484646272115066</v>
      </c>
      <c r="T630" s="25">
        <f t="shared" si="316"/>
        <v>6.8318655346646454E-2</v>
      </c>
      <c r="U630" s="25">
        <f t="shared" si="317"/>
        <v>0</v>
      </c>
      <c r="V630" s="25">
        <f t="shared" si="318"/>
        <v>0</v>
      </c>
      <c r="W630" s="130">
        <f t="shared" si="321"/>
        <v>0.99999999999999989</v>
      </c>
      <c r="X630" s="120" t="str">
        <f t="shared" si="320"/>
        <v>ok</v>
      </c>
    </row>
    <row r="631" spans="1:25" x14ac:dyDescent="0.2">
      <c r="A631" s="23" t="s">
        <v>644</v>
      </c>
      <c r="D631" s="114" t="s">
        <v>56</v>
      </c>
      <c r="F631" s="130">
        <v>1</v>
      </c>
      <c r="G631" s="130">
        <f t="shared" si="303"/>
        <v>0</v>
      </c>
      <c r="H631" s="130">
        <f t="shared" si="304"/>
        <v>0</v>
      </c>
      <c r="I631" s="130">
        <f t="shared" si="305"/>
        <v>0.13541191997688806</v>
      </c>
      <c r="J631" s="130">
        <f t="shared" si="306"/>
        <v>0</v>
      </c>
      <c r="K631" s="130">
        <f t="shared" si="307"/>
        <v>8.1763400268101711E-3</v>
      </c>
      <c r="L631" s="130">
        <f t="shared" si="308"/>
        <v>3.8735902803691991E-2</v>
      </c>
      <c r="M631" s="130">
        <f t="shared" si="309"/>
        <v>0</v>
      </c>
      <c r="N631" s="130">
        <f t="shared" si="310"/>
        <v>3.3168773402496264E-2</v>
      </c>
      <c r="O631" s="130">
        <f t="shared" si="311"/>
        <v>0.33964967924728429</v>
      </c>
      <c r="P631" s="130">
        <f t="shared" si="312"/>
        <v>0</v>
      </c>
      <c r="Q631" s="25">
        <f t="shared" si="313"/>
        <v>3.7280149048056689E-2</v>
      </c>
      <c r="R631" s="25">
        <f t="shared" si="314"/>
        <v>0</v>
      </c>
      <c r="S631" s="25">
        <f t="shared" si="315"/>
        <v>0.33086285347684502</v>
      </c>
      <c r="T631" s="25">
        <f t="shared" si="316"/>
        <v>7.6714382017927588E-2</v>
      </c>
      <c r="U631" s="25">
        <f t="shared" si="317"/>
        <v>0</v>
      </c>
      <c r="V631" s="25">
        <f t="shared" si="318"/>
        <v>0</v>
      </c>
      <c r="W631" s="130">
        <f t="shared" si="321"/>
        <v>1.0000000000000002</v>
      </c>
      <c r="X631" s="120" t="str">
        <f t="shared" si="320"/>
        <v>ok</v>
      </c>
    </row>
    <row r="632" spans="1:25" x14ac:dyDescent="0.2">
      <c r="A632" s="23" t="s">
        <v>387</v>
      </c>
      <c r="D632" s="114" t="s">
        <v>344</v>
      </c>
      <c r="F632" s="130">
        <v>1</v>
      </c>
      <c r="G632" s="130">
        <f t="shared" si="303"/>
        <v>3.527296250608302E-3</v>
      </c>
      <c r="H632" s="130">
        <f t="shared" si="304"/>
        <v>2.6517816616583371E-2</v>
      </c>
      <c r="I632" s="130">
        <f t="shared" si="305"/>
        <v>6.2183945344219248E-2</v>
      </c>
      <c r="J632" s="130">
        <f t="shared" si="306"/>
        <v>0.13393798621994665</v>
      </c>
      <c r="K632" s="130">
        <f t="shared" si="307"/>
        <v>1.7800743588019426E-2</v>
      </c>
      <c r="L632" s="130">
        <f t="shared" si="308"/>
        <v>8.4332093723842955E-2</v>
      </c>
      <c r="M632" s="130">
        <f t="shared" si="309"/>
        <v>3.3140364230840234E-2</v>
      </c>
      <c r="N632" s="130">
        <f t="shared" si="310"/>
        <v>5.1682412330160618E-2</v>
      </c>
      <c r="O632" s="130">
        <f t="shared" si="311"/>
        <v>0.23074830684641279</v>
      </c>
      <c r="P632" s="130">
        <f t="shared" si="312"/>
        <v>0</v>
      </c>
      <c r="Q632" s="25">
        <f t="shared" si="313"/>
        <v>2.5327070206234474E-2</v>
      </c>
      <c r="R632" s="25">
        <f t="shared" si="314"/>
        <v>0</v>
      </c>
      <c r="S632" s="25">
        <f t="shared" si="315"/>
        <v>8.6395097112999794E-2</v>
      </c>
      <c r="T632" s="25">
        <f t="shared" si="316"/>
        <v>6.8308719575935054E-2</v>
      </c>
      <c r="U632" s="25">
        <f t="shared" si="317"/>
        <v>0.16514239225414726</v>
      </c>
      <c r="V632" s="25">
        <f t="shared" si="318"/>
        <v>1.0955755700049646E-2</v>
      </c>
      <c r="W632" s="130">
        <f t="shared" si="321"/>
        <v>0.99999999999999989</v>
      </c>
      <c r="X632" s="120" t="str">
        <f t="shared" si="320"/>
        <v>ok</v>
      </c>
    </row>
    <row r="633" spans="1:25" x14ac:dyDescent="0.2">
      <c r="A633" s="23" t="s">
        <v>388</v>
      </c>
      <c r="D633" s="114" t="s">
        <v>351</v>
      </c>
      <c r="F633" s="130">
        <v>1</v>
      </c>
      <c r="G633" s="130">
        <f t="shared" si="303"/>
        <v>0</v>
      </c>
      <c r="H633" s="130">
        <f t="shared" si="304"/>
        <v>0</v>
      </c>
      <c r="I633" s="130">
        <f t="shared" si="305"/>
        <v>0</v>
      </c>
      <c r="J633" s="130">
        <f t="shared" si="306"/>
        <v>0</v>
      </c>
      <c r="K633" s="130">
        <f t="shared" si="307"/>
        <v>2.9992275537049261E-2</v>
      </c>
      <c r="L633" s="130">
        <f t="shared" si="308"/>
        <v>0.14209020983168832</v>
      </c>
      <c r="M633" s="130">
        <f t="shared" si="309"/>
        <v>5.6021436875491118E-2</v>
      </c>
      <c r="N633" s="130">
        <f t="shared" si="310"/>
        <v>8.6965386077635348E-2</v>
      </c>
      <c r="O633" s="130">
        <f t="shared" si="311"/>
        <v>0.3859669350653292</v>
      </c>
      <c r="P633" s="130">
        <f t="shared" si="312"/>
        <v>0</v>
      </c>
      <c r="Q633" s="25">
        <f t="shared" si="313"/>
        <v>4.2363958354811659E-2</v>
      </c>
      <c r="R633" s="25">
        <f t="shared" si="314"/>
        <v>0</v>
      </c>
      <c r="S633" s="25">
        <f t="shared" si="315"/>
        <v>0.14205404848624298</v>
      </c>
      <c r="T633" s="25">
        <f t="shared" si="316"/>
        <v>0.11454574977175207</v>
      </c>
      <c r="U633" s="25">
        <f t="shared" si="317"/>
        <v>0</v>
      </c>
      <c r="V633" s="25">
        <f t="shared" si="318"/>
        <v>0</v>
      </c>
      <c r="W633" s="130">
        <f t="shared" si="321"/>
        <v>0.99999999999999989</v>
      </c>
      <c r="X633" s="120" t="str">
        <f t="shared" si="320"/>
        <v>ok</v>
      </c>
    </row>
    <row r="634" spans="1:25" x14ac:dyDescent="0.2">
      <c r="A634" s="23" t="s">
        <v>389</v>
      </c>
      <c r="D634" s="114" t="s">
        <v>299</v>
      </c>
      <c r="F634" s="130">
        <v>1</v>
      </c>
      <c r="G634" s="130">
        <f t="shared" si="303"/>
        <v>0</v>
      </c>
      <c r="H634" s="130">
        <f t="shared" si="304"/>
        <v>0</v>
      </c>
      <c r="I634" s="130">
        <f t="shared" si="305"/>
        <v>0</v>
      </c>
      <c r="J634" s="130">
        <f t="shared" si="306"/>
        <v>0</v>
      </c>
      <c r="K634" s="130">
        <f t="shared" si="307"/>
        <v>1.9291006211562538E-2</v>
      </c>
      <c r="L634" s="130">
        <f t="shared" si="308"/>
        <v>9.1392302564015399E-2</v>
      </c>
      <c r="M634" s="130">
        <f t="shared" si="309"/>
        <v>0</v>
      </c>
      <c r="N634" s="130">
        <f t="shared" si="310"/>
        <v>0</v>
      </c>
      <c r="O634" s="130">
        <f t="shared" si="311"/>
        <v>0.80135904948057579</v>
      </c>
      <c r="P634" s="130">
        <f t="shared" si="312"/>
        <v>0</v>
      </c>
      <c r="Q634" s="25">
        <f t="shared" si="313"/>
        <v>8.7957641743846196E-2</v>
      </c>
      <c r="R634" s="25">
        <f t="shared" si="314"/>
        <v>0</v>
      </c>
      <c r="S634" s="25">
        <f t="shared" si="315"/>
        <v>0</v>
      </c>
      <c r="T634" s="25">
        <f t="shared" si="316"/>
        <v>0</v>
      </c>
      <c r="U634" s="25">
        <f t="shared" si="317"/>
        <v>0</v>
      </c>
      <c r="V634" s="25">
        <f t="shared" si="318"/>
        <v>0</v>
      </c>
      <c r="W634" s="130">
        <f t="shared" si="321"/>
        <v>1</v>
      </c>
      <c r="X634" s="120" t="str">
        <f t="shared" si="320"/>
        <v>ok</v>
      </c>
    </row>
    <row r="635" spans="1:25" x14ac:dyDescent="0.2">
      <c r="A635" s="23" t="s">
        <v>703</v>
      </c>
      <c r="C635" s="114" t="s">
        <v>633</v>
      </c>
      <c r="D635" s="23"/>
      <c r="F635" s="25">
        <f t="shared" ref="F635:V635" si="322">SUM(F149:F159)</f>
        <v>1807639</v>
      </c>
      <c r="G635" s="25">
        <f t="shared" si="322"/>
        <v>0</v>
      </c>
      <c r="H635" s="25">
        <f t="shared" si="322"/>
        <v>0</v>
      </c>
      <c r="I635" s="25">
        <f t="shared" si="322"/>
        <v>419901</v>
      </c>
      <c r="J635" s="25">
        <f t="shared" si="322"/>
        <v>1387738</v>
      </c>
      <c r="K635" s="25">
        <f t="shared" si="322"/>
        <v>0</v>
      </c>
      <c r="L635" s="25">
        <f t="shared" si="322"/>
        <v>0</v>
      </c>
      <c r="M635" s="25">
        <f t="shared" si="322"/>
        <v>0</v>
      </c>
      <c r="N635" s="25">
        <f t="shared" si="322"/>
        <v>0</v>
      </c>
      <c r="O635" s="25">
        <f t="shared" si="322"/>
        <v>0</v>
      </c>
      <c r="P635" s="25">
        <f t="shared" si="322"/>
        <v>0</v>
      </c>
      <c r="Q635" s="25">
        <f t="shared" si="322"/>
        <v>0</v>
      </c>
      <c r="R635" s="25">
        <f t="shared" si="322"/>
        <v>0</v>
      </c>
      <c r="S635" s="25">
        <f t="shared" si="322"/>
        <v>0</v>
      </c>
      <c r="T635" s="25">
        <f t="shared" si="322"/>
        <v>0</v>
      </c>
      <c r="U635" s="25">
        <f t="shared" si="322"/>
        <v>0</v>
      </c>
      <c r="V635" s="25">
        <f t="shared" si="322"/>
        <v>0</v>
      </c>
      <c r="W635" s="25">
        <f t="shared" si="321"/>
        <v>1807639</v>
      </c>
      <c r="X635" s="120" t="str">
        <f>IF(ABS(W635-F635)&lt;0.00001,"ok","err")</f>
        <v>ok</v>
      </c>
    </row>
    <row r="636" spans="1:25" x14ac:dyDescent="0.2">
      <c r="A636" s="23" t="s">
        <v>702</v>
      </c>
      <c r="C636" s="114" t="s">
        <v>634</v>
      </c>
      <c r="F636" s="25">
        <f t="shared" ref="F636:V636" si="323">SUM(F168:F174)</f>
        <v>1237646</v>
      </c>
      <c r="G636" s="25">
        <f t="shared" si="323"/>
        <v>0</v>
      </c>
      <c r="H636" s="25">
        <f t="shared" si="323"/>
        <v>0</v>
      </c>
      <c r="I636" s="25">
        <f t="shared" si="323"/>
        <v>531554</v>
      </c>
      <c r="J636" s="25">
        <f t="shared" si="323"/>
        <v>706092</v>
      </c>
      <c r="K636" s="25">
        <f t="shared" si="323"/>
        <v>0</v>
      </c>
      <c r="L636" s="25">
        <f t="shared" si="323"/>
        <v>0</v>
      </c>
      <c r="M636" s="25">
        <f t="shared" si="323"/>
        <v>0</v>
      </c>
      <c r="N636" s="25">
        <f t="shared" si="323"/>
        <v>0</v>
      </c>
      <c r="O636" s="25">
        <f t="shared" si="323"/>
        <v>0</v>
      </c>
      <c r="P636" s="25">
        <f t="shared" si="323"/>
        <v>0</v>
      </c>
      <c r="Q636" s="25">
        <f t="shared" si="323"/>
        <v>0</v>
      </c>
      <c r="R636" s="25">
        <f t="shared" si="323"/>
        <v>0</v>
      </c>
      <c r="S636" s="25">
        <f t="shared" si="323"/>
        <v>0</v>
      </c>
      <c r="T636" s="25">
        <f t="shared" si="323"/>
        <v>0</v>
      </c>
      <c r="U636" s="25">
        <f t="shared" si="323"/>
        <v>0</v>
      </c>
      <c r="V636" s="25">
        <f t="shared" si="323"/>
        <v>0</v>
      </c>
      <c r="W636" s="25">
        <f t="shared" ref="W636:W642" si="324">SUM(G636:V636)</f>
        <v>1237646</v>
      </c>
      <c r="X636" s="120" t="str">
        <f t="shared" si="320"/>
        <v>ok</v>
      </c>
    </row>
    <row r="637" spans="1:25" x14ac:dyDescent="0.2">
      <c r="A637" s="23" t="s">
        <v>636</v>
      </c>
      <c r="C637" s="114" t="s">
        <v>637</v>
      </c>
      <c r="F637" s="25">
        <f>F18+F21</f>
        <v>801916809.00923014</v>
      </c>
      <c r="G637" s="25">
        <f t="shared" ref="G637:V637" si="325">G18+G21</f>
        <v>0</v>
      </c>
      <c r="H637" s="25">
        <f t="shared" si="325"/>
        <v>0</v>
      </c>
      <c r="I637" s="25">
        <f t="shared" si="325"/>
        <v>0</v>
      </c>
      <c r="J637" s="25">
        <f t="shared" si="325"/>
        <v>0</v>
      </c>
      <c r="K637" s="25">
        <f t="shared" si="325"/>
        <v>0</v>
      </c>
      <c r="L637" s="25">
        <f t="shared" si="325"/>
        <v>0</v>
      </c>
      <c r="M637" s="25">
        <f t="shared" si="325"/>
        <v>0</v>
      </c>
      <c r="N637" s="25">
        <f t="shared" si="325"/>
        <v>0</v>
      </c>
      <c r="O637" s="25">
        <f t="shared" si="325"/>
        <v>384817184.43460464</v>
      </c>
      <c r="P637" s="25">
        <f t="shared" si="325"/>
        <v>0</v>
      </c>
      <c r="Q637" s="25">
        <f>Q18+Q21</f>
        <v>42237761.047702469</v>
      </c>
      <c r="R637" s="25">
        <f>R18+R21</f>
        <v>0</v>
      </c>
      <c r="S637" s="25">
        <f t="shared" si="325"/>
        <v>374861863.52692294</v>
      </c>
      <c r="T637" s="25">
        <f t="shared" si="325"/>
        <v>0</v>
      </c>
      <c r="U637" s="25">
        <f t="shared" si="325"/>
        <v>0</v>
      </c>
      <c r="V637" s="25">
        <f t="shared" si="325"/>
        <v>0</v>
      </c>
      <c r="W637" s="25">
        <f t="shared" si="324"/>
        <v>801916809.00923014</v>
      </c>
      <c r="X637" s="120" t="str">
        <f t="shared" si="320"/>
        <v>ok</v>
      </c>
      <c r="Y637" s="124">
        <f>+W637-F637</f>
        <v>0</v>
      </c>
    </row>
    <row r="638" spans="1:25" x14ac:dyDescent="0.2">
      <c r="A638" s="23" t="s">
        <v>639</v>
      </c>
      <c r="C638" s="114" t="s">
        <v>638</v>
      </c>
      <c r="F638" s="131">
        <v>1</v>
      </c>
      <c r="G638" s="132">
        <v>0.1174</v>
      </c>
      <c r="H638" s="132">
        <v>0.88260000000000005</v>
      </c>
      <c r="W638" s="131">
        <f t="shared" si="324"/>
        <v>1</v>
      </c>
      <c r="X638" s="120" t="str">
        <f t="shared" si="320"/>
        <v>ok</v>
      </c>
    </row>
    <row r="639" spans="1:25" x14ac:dyDescent="0.2">
      <c r="A639" s="23" t="s">
        <v>704</v>
      </c>
      <c r="C639" s="114" t="s">
        <v>640</v>
      </c>
      <c r="D639" s="23"/>
      <c r="F639" s="25">
        <f>SUM(F194:F213)</f>
        <v>4967294</v>
      </c>
      <c r="G639" s="25">
        <f t="shared" ref="G639:V639" si="326">SUM(G194:G213)</f>
        <v>0</v>
      </c>
      <c r="H639" s="25">
        <f t="shared" si="326"/>
        <v>0</v>
      </c>
      <c r="I639" s="25">
        <f t="shared" si="326"/>
        <v>0</v>
      </c>
      <c r="J639" s="25">
        <f t="shared" si="326"/>
        <v>0</v>
      </c>
      <c r="K639" s="25">
        <f t="shared" si="326"/>
        <v>0</v>
      </c>
      <c r="L639" s="25">
        <f t="shared" si="326"/>
        <v>0</v>
      </c>
      <c r="M639" s="25">
        <f t="shared" si="326"/>
        <v>678000</v>
      </c>
      <c r="N639" s="25">
        <f t="shared" si="326"/>
        <v>810266.60861567268</v>
      </c>
      <c r="O639" s="25">
        <f t="shared" si="326"/>
        <v>1090671.1660360389</v>
      </c>
      <c r="P639" s="25">
        <f t="shared" si="326"/>
        <v>0</v>
      </c>
      <c r="Q639" s="25">
        <f>SUM(Q194:Q213)</f>
        <v>119712.71023235162</v>
      </c>
      <c r="R639" s="25">
        <f>SUM(R194:R213)</f>
        <v>0</v>
      </c>
      <c r="S639" s="25">
        <f t="shared" si="326"/>
        <v>1062455.2185632219</v>
      </c>
      <c r="T639" s="25">
        <f t="shared" si="326"/>
        <v>1206188.2965527149</v>
      </c>
      <c r="U639" s="25">
        <f t="shared" si="326"/>
        <v>0</v>
      </c>
      <c r="V639" s="25">
        <f t="shared" si="326"/>
        <v>0</v>
      </c>
      <c r="W639" s="25">
        <f t="shared" si="324"/>
        <v>4967294</v>
      </c>
      <c r="X639" s="120" t="str">
        <f t="shared" si="320"/>
        <v>ok</v>
      </c>
    </row>
    <row r="640" spans="1:25" x14ac:dyDescent="0.2">
      <c r="A640" s="23" t="s">
        <v>705</v>
      </c>
      <c r="C640" s="114" t="s">
        <v>641</v>
      </c>
      <c r="F640" s="25">
        <f>SUM(F234:F242)</f>
        <v>5052586</v>
      </c>
      <c r="G640" s="25">
        <f t="shared" ref="G640:V640" si="327">SUM(G234:G242)</f>
        <v>0</v>
      </c>
      <c r="H640" s="25">
        <f t="shared" si="327"/>
        <v>0</v>
      </c>
      <c r="I640" s="25">
        <f t="shared" si="327"/>
        <v>0</v>
      </c>
      <c r="J640" s="25">
        <f t="shared" si="327"/>
        <v>0</v>
      </c>
      <c r="K640" s="25">
        <f t="shared" si="327"/>
        <v>0</v>
      </c>
      <c r="L640" s="25">
        <f t="shared" si="327"/>
        <v>0</v>
      </c>
      <c r="M640" s="25">
        <f t="shared" si="327"/>
        <v>0</v>
      </c>
      <c r="N640" s="25">
        <f t="shared" si="327"/>
        <v>242232.84604277002</v>
      </c>
      <c r="O640" s="25">
        <f t="shared" si="327"/>
        <v>3580497.5252614589</v>
      </c>
      <c r="P640" s="25">
        <f t="shared" si="327"/>
        <v>0</v>
      </c>
      <c r="Q640" s="25">
        <f>SUM(Q234:Q242)</f>
        <v>392997.51939634007</v>
      </c>
      <c r="R640" s="25">
        <f>SUM(R234:R242)</f>
        <v>0</v>
      </c>
      <c r="S640" s="25">
        <f t="shared" si="327"/>
        <v>656755.32378201862</v>
      </c>
      <c r="T640" s="25">
        <f t="shared" si="327"/>
        <v>180102.78551741227</v>
      </c>
      <c r="U640" s="25">
        <f t="shared" si="327"/>
        <v>0</v>
      </c>
      <c r="V640" s="25">
        <f t="shared" si="327"/>
        <v>0</v>
      </c>
      <c r="W640" s="25">
        <f t="shared" si="324"/>
        <v>5052586</v>
      </c>
      <c r="X640" s="120" t="str">
        <f t="shared" si="320"/>
        <v>ok</v>
      </c>
    </row>
    <row r="641" spans="1:24" x14ac:dyDescent="0.2">
      <c r="A641" s="23" t="s">
        <v>642</v>
      </c>
      <c r="C641" s="114" t="s">
        <v>154</v>
      </c>
      <c r="F641" s="31">
        <f>F144+F179+F246+F256+F259+F262</f>
        <v>20312459.580000002</v>
      </c>
      <c r="G641" s="31">
        <f t="shared" ref="G641:V641" si="328">G144+G179+G246+G256+G259+G262</f>
        <v>72162.962400000004</v>
      </c>
      <c r="H641" s="31">
        <f t="shared" si="328"/>
        <v>542513.03760000004</v>
      </c>
      <c r="I641" s="31">
        <f t="shared" si="328"/>
        <v>1252419.3643407091</v>
      </c>
      <c r="J641" s="31">
        <f t="shared" si="328"/>
        <v>2740161.6356592909</v>
      </c>
      <c r="K641" s="31">
        <f t="shared" si="328"/>
        <v>362981.81460989406</v>
      </c>
      <c r="L641" s="31">
        <f t="shared" si="328"/>
        <v>1719648.1853901062</v>
      </c>
      <c r="M641" s="31">
        <f t="shared" si="328"/>
        <v>678000</v>
      </c>
      <c r="N641" s="31">
        <f t="shared" si="328"/>
        <v>1052499.4546584426</v>
      </c>
      <c r="O641" s="31">
        <f t="shared" si="328"/>
        <v>4671168.6912974976</v>
      </c>
      <c r="P641" s="31">
        <f t="shared" si="328"/>
        <v>0</v>
      </c>
      <c r="Q641" s="31">
        <f>Q144+Q179+Q246+Q256+Q259+Q262</f>
        <v>512710.22962869168</v>
      </c>
      <c r="R641" s="31">
        <f>R144+R179+R246+R256+R259+R262</f>
        <v>0</v>
      </c>
      <c r="S641" s="31">
        <f t="shared" si="328"/>
        <v>1719210.5423452405</v>
      </c>
      <c r="T641" s="31">
        <f t="shared" si="328"/>
        <v>1386291.0820701271</v>
      </c>
      <c r="U641" s="31">
        <f t="shared" si="328"/>
        <v>3378554.96</v>
      </c>
      <c r="V641" s="31">
        <f t="shared" si="328"/>
        <v>224137.62</v>
      </c>
      <c r="W641" s="25">
        <f t="shared" si="324"/>
        <v>20312459.580000002</v>
      </c>
      <c r="X641" s="120" t="str">
        <f t="shared" si="320"/>
        <v>ok</v>
      </c>
    </row>
    <row r="642" spans="1:24" x14ac:dyDescent="0.2">
      <c r="A642" s="23" t="s">
        <v>643</v>
      </c>
      <c r="C642" s="114" t="s">
        <v>159</v>
      </c>
      <c r="F642" s="31">
        <f t="shared" ref="F642:V642" si="329">F316+F351+F418+F428+F431+F434</f>
        <v>48227141.883054085</v>
      </c>
      <c r="G642" s="31">
        <f t="shared" si="329"/>
        <v>41911.682599999564</v>
      </c>
      <c r="H642" s="31">
        <f t="shared" si="329"/>
        <v>315087.31739999674</v>
      </c>
      <c r="I642" s="31">
        <f t="shared" si="329"/>
        <v>2621306.0315065421</v>
      </c>
      <c r="J642" s="31">
        <f t="shared" si="329"/>
        <v>7063736.968493456</v>
      </c>
      <c r="K642" s="31">
        <f t="shared" si="329"/>
        <v>673215.94704917597</v>
      </c>
      <c r="L642" s="31">
        <f t="shared" si="329"/>
        <v>3189401.0529508246</v>
      </c>
      <c r="M642" s="31">
        <f t="shared" si="329"/>
        <v>912592</v>
      </c>
      <c r="N642" s="31">
        <f t="shared" si="329"/>
        <v>2179500.5952734873</v>
      </c>
      <c r="O642" s="31">
        <f t="shared" si="329"/>
        <v>12657257.64194423</v>
      </c>
      <c r="P642" s="31">
        <f t="shared" si="329"/>
        <v>0</v>
      </c>
      <c r="Q642" s="31">
        <f t="shared" si="329"/>
        <v>1389268.0613656379</v>
      </c>
      <c r="R642" s="31">
        <f t="shared" si="329"/>
        <v>0</v>
      </c>
      <c r="S642" s="31">
        <f t="shared" si="329"/>
        <v>4609677.2728005564</v>
      </c>
      <c r="T642" s="31">
        <f t="shared" si="329"/>
        <v>2755176.4286160721</v>
      </c>
      <c r="U642" s="31">
        <f t="shared" si="329"/>
        <v>9319885.8230541069</v>
      </c>
      <c r="V642" s="31">
        <f t="shared" si="329"/>
        <v>499125.05999999883</v>
      </c>
      <c r="W642" s="25">
        <f t="shared" si="324"/>
        <v>48227141.883054085</v>
      </c>
      <c r="X642" s="120" t="str">
        <f t="shared" si="320"/>
        <v>ok</v>
      </c>
    </row>
    <row r="643" spans="1:24" x14ac:dyDescent="0.2">
      <c r="A643" s="23" t="s">
        <v>668</v>
      </c>
      <c r="C643" s="114" t="s">
        <v>669</v>
      </c>
      <c r="F643" s="30">
        <f>+F665</f>
        <v>271564810</v>
      </c>
      <c r="G643" s="30">
        <f t="shared" ref="G643:V643" si="330">+G665</f>
        <v>0</v>
      </c>
      <c r="H643" s="30">
        <f t="shared" si="330"/>
        <v>0</v>
      </c>
      <c r="I643" s="30">
        <f t="shared" si="330"/>
        <v>0</v>
      </c>
      <c r="J643" s="30">
        <f t="shared" si="330"/>
        <v>0</v>
      </c>
      <c r="K643" s="30">
        <f t="shared" si="330"/>
        <v>0</v>
      </c>
      <c r="L643" s="30">
        <f t="shared" si="330"/>
        <v>0</v>
      </c>
      <c r="M643" s="30">
        <f t="shared" si="330"/>
        <v>0</v>
      </c>
      <c r="N643" s="30">
        <f t="shared" si="330"/>
        <v>5019928</v>
      </c>
      <c r="O643" s="30">
        <f t="shared" si="330"/>
        <v>119838173.42909701</v>
      </c>
      <c r="P643" s="30">
        <f t="shared" si="330"/>
        <v>0</v>
      </c>
      <c r="Q643" s="30">
        <f t="shared" si="330"/>
        <v>13153508.570902983</v>
      </c>
      <c r="R643" s="30">
        <f t="shared" si="330"/>
        <v>0</v>
      </c>
      <c r="S643" s="30">
        <f t="shared" si="330"/>
        <v>111944105</v>
      </c>
      <c r="T643" s="30">
        <f t="shared" si="330"/>
        <v>21609095</v>
      </c>
      <c r="U643" s="30">
        <f t="shared" si="330"/>
        <v>0</v>
      </c>
      <c r="V643" s="30">
        <f t="shared" si="330"/>
        <v>0</v>
      </c>
      <c r="W643" s="25">
        <f>SUM(G643:V643)</f>
        <v>271564810</v>
      </c>
      <c r="X643" s="120" t="str">
        <f t="shared" si="320"/>
        <v>ok</v>
      </c>
    </row>
    <row r="648" spans="1:24" x14ac:dyDescent="0.2">
      <c r="A648" s="23" t="s">
        <v>919</v>
      </c>
    </row>
    <row r="650" spans="1:24" x14ac:dyDescent="0.2">
      <c r="A650" s="182">
        <v>374</v>
      </c>
      <c r="B650" s="23" t="s">
        <v>26</v>
      </c>
      <c r="D650" s="114" t="s">
        <v>38</v>
      </c>
      <c r="F650" s="224">
        <v>77440</v>
      </c>
      <c r="G650" s="25">
        <f t="shared" ref="G650:G663" si="331">(VLOOKUP($D650,$C$6:$AJ$991,5,)/VLOOKUP($D650,$C$6:$AJ$991,4,))*$F650</f>
        <v>0</v>
      </c>
      <c r="H650" s="25">
        <f t="shared" ref="H650:H663" si="332">(VLOOKUP($D650,$C$6:$AJ$991,6,)/VLOOKUP($D650,$C$6:$AJ$991,4,))*$F650</f>
        <v>0</v>
      </c>
      <c r="I650" s="25">
        <f t="shared" ref="I650:I663" si="333">(VLOOKUP($D650,$C$6:$AJ$991,7,)/VLOOKUP($D650,$C$6:$AJ$991,4,))*$F650</f>
        <v>0</v>
      </c>
      <c r="J650" s="25">
        <f t="shared" ref="J650:J663" si="334">(VLOOKUP($D650,$C$6:$AJ$991,8,)/VLOOKUP($D650,$C$6:$AJ$991,4,))*$F650</f>
        <v>0</v>
      </c>
      <c r="K650" s="25">
        <f t="shared" ref="K650:K663" si="335">(VLOOKUP($D650,$C$6:$AJ$991,9,)/VLOOKUP($D650,$C$6:$AJ$991,4,))*$F650</f>
        <v>0</v>
      </c>
      <c r="L650" s="25">
        <f t="shared" ref="L650:L663" si="336">(VLOOKUP($D650,$C$6:$AJ$991,10,)/VLOOKUP($D650,$C$6:$AJ$991,4,))*$F650</f>
        <v>0</v>
      </c>
      <c r="M650" s="25">
        <f t="shared" ref="M650:M663" si="337">(VLOOKUP($D650,$C$6:$AJ$991,11,)/VLOOKUP($D650,$C$6:$AJ$991,4,))*$F650</f>
        <v>0</v>
      </c>
      <c r="N650" s="25">
        <f t="shared" ref="N650:N663" si="338">(VLOOKUP($D650,$C$6:$AJ$991,12,)/VLOOKUP($D650,$C$6:$AJ$991,4,))*$F650</f>
        <v>77440</v>
      </c>
      <c r="O650" s="25">
        <f t="shared" ref="O650:O663" si="339">(VLOOKUP($D650,$C$6:$AJ$991,13,)/VLOOKUP($D650,$C$6:$AJ$991,4,))*$F650</f>
        <v>0</v>
      </c>
      <c r="P650" s="25">
        <f t="shared" ref="P650:P663" si="340">(VLOOKUP($D650,$C$6:$AJ$991,14,)/VLOOKUP($D650,$C$6:$AJ$991,4,))*$F650</f>
        <v>0</v>
      </c>
      <c r="Q650" s="25">
        <f t="shared" ref="Q650:Q663" si="341">(VLOOKUP($D650,$C$6:$AJ$991,15,)/VLOOKUP($D650,$C$6:$AJ$991,4,))*$F650</f>
        <v>0</v>
      </c>
      <c r="R650" s="25">
        <f t="shared" ref="R650:R663" si="342">(VLOOKUP($D650,$C$6:$AJ$991,16,)/VLOOKUP($D650,$C$6:$AJ$991,4,))*$F650</f>
        <v>0</v>
      </c>
      <c r="S650" s="25">
        <f t="shared" ref="S650:S663" si="343">(VLOOKUP($D650,$C$6:$AJ$991,17,)/VLOOKUP($D650,$C$6:$AJ$991,4,))*$F650</f>
        <v>0</v>
      </c>
      <c r="T650" s="25">
        <f t="shared" ref="T650:T663" si="344">(VLOOKUP($D650,$C$6:$AJ$991,18,)/VLOOKUP($D650,$C$6:$AJ$991,4,))*$F650</f>
        <v>0</v>
      </c>
      <c r="U650" s="25">
        <f t="shared" ref="U650:U663" si="345">(VLOOKUP($D650,$C$6:$AJ$991,19,)/VLOOKUP($D650,$C$6:$AJ$991,4,))*$F650</f>
        <v>0</v>
      </c>
      <c r="V650" s="25">
        <f t="shared" ref="V650:V663" si="346">(VLOOKUP($D650,$C$6:$AJ$991,20,)/VLOOKUP($D650,$C$6:$AJ$991,4,))*$F650</f>
        <v>0</v>
      </c>
      <c r="W650" s="25">
        <f t="shared" ref="W650:W665" si="347">SUM(G650:V650)</f>
        <v>77440</v>
      </c>
      <c r="X650" s="120" t="str">
        <f t="shared" ref="X650:X665" si="348">IF(ABS(W650-F650)&lt;1,"ok","err")</f>
        <v>ok</v>
      </c>
    </row>
    <row r="651" spans="1:24" x14ac:dyDescent="0.2">
      <c r="A651" s="182">
        <v>375</v>
      </c>
      <c r="B651" s="23" t="s">
        <v>29</v>
      </c>
      <c r="D651" s="114" t="s">
        <v>38</v>
      </c>
      <c r="F651" s="224">
        <v>399756</v>
      </c>
      <c r="G651" s="25">
        <f t="shared" si="331"/>
        <v>0</v>
      </c>
      <c r="H651" s="25">
        <f t="shared" si="332"/>
        <v>0</v>
      </c>
      <c r="I651" s="25">
        <f t="shared" si="333"/>
        <v>0</v>
      </c>
      <c r="J651" s="25">
        <f t="shared" si="334"/>
        <v>0</v>
      </c>
      <c r="K651" s="25">
        <f t="shared" si="335"/>
        <v>0</v>
      </c>
      <c r="L651" s="25">
        <f t="shared" si="336"/>
        <v>0</v>
      </c>
      <c r="M651" s="25">
        <f t="shared" si="337"/>
        <v>0</v>
      </c>
      <c r="N651" s="25">
        <f t="shared" si="338"/>
        <v>399756</v>
      </c>
      <c r="O651" s="25">
        <f t="shared" si="339"/>
        <v>0</v>
      </c>
      <c r="P651" s="25">
        <f t="shared" si="340"/>
        <v>0</v>
      </c>
      <c r="Q651" s="25">
        <f t="shared" si="341"/>
        <v>0</v>
      </c>
      <c r="R651" s="25">
        <f t="shared" si="342"/>
        <v>0</v>
      </c>
      <c r="S651" s="25">
        <f t="shared" si="343"/>
        <v>0</v>
      </c>
      <c r="T651" s="25">
        <f t="shared" si="344"/>
        <v>0</v>
      </c>
      <c r="U651" s="25">
        <f t="shared" si="345"/>
        <v>0</v>
      </c>
      <c r="V651" s="25">
        <f t="shared" si="346"/>
        <v>0</v>
      </c>
      <c r="W651" s="25">
        <f t="shared" si="347"/>
        <v>399756</v>
      </c>
      <c r="X651" s="120" t="str">
        <f t="shared" si="348"/>
        <v>ok</v>
      </c>
    </row>
    <row r="652" spans="1:24" x14ac:dyDescent="0.2">
      <c r="A652" s="182">
        <v>376</v>
      </c>
      <c r="B652" s="23" t="s">
        <v>31</v>
      </c>
      <c r="D652" s="114" t="s">
        <v>40</v>
      </c>
      <c r="F652" s="224">
        <v>132991682</v>
      </c>
      <c r="G652" s="25">
        <f t="shared" si="331"/>
        <v>0</v>
      </c>
      <c r="H652" s="25">
        <f t="shared" si="332"/>
        <v>0</v>
      </c>
      <c r="I652" s="25">
        <f t="shared" si="333"/>
        <v>0</v>
      </c>
      <c r="J652" s="25">
        <f t="shared" si="334"/>
        <v>0</v>
      </c>
      <c r="K652" s="25">
        <f t="shared" si="335"/>
        <v>0</v>
      </c>
      <c r="L652" s="25">
        <f t="shared" si="336"/>
        <v>0</v>
      </c>
      <c r="M652" s="25">
        <f t="shared" si="337"/>
        <v>0</v>
      </c>
      <c r="N652" s="25">
        <f t="shared" si="338"/>
        <v>0</v>
      </c>
      <c r="O652" s="25">
        <f t="shared" si="339"/>
        <v>119838173.42909701</v>
      </c>
      <c r="P652" s="25">
        <f t="shared" si="340"/>
        <v>0</v>
      </c>
      <c r="Q652" s="25">
        <f t="shared" si="341"/>
        <v>13153508.570902983</v>
      </c>
      <c r="R652" s="25">
        <f t="shared" si="342"/>
        <v>0</v>
      </c>
      <c r="S652" s="25">
        <f t="shared" si="343"/>
        <v>0</v>
      </c>
      <c r="T652" s="25">
        <f t="shared" si="344"/>
        <v>0</v>
      </c>
      <c r="U652" s="25">
        <f t="shared" si="345"/>
        <v>0</v>
      </c>
      <c r="V652" s="25">
        <f t="shared" si="346"/>
        <v>0</v>
      </c>
      <c r="W652" s="25">
        <f t="shared" si="347"/>
        <v>132991682</v>
      </c>
      <c r="X652" s="120" t="str">
        <f t="shared" si="348"/>
        <v>ok</v>
      </c>
    </row>
    <row r="653" spans="1:24" x14ac:dyDescent="0.2">
      <c r="A653" s="182">
        <v>378</v>
      </c>
      <c r="B653" s="23" t="s">
        <v>33</v>
      </c>
      <c r="D653" s="114" t="s">
        <v>38</v>
      </c>
      <c r="F653" s="224">
        <v>2937678</v>
      </c>
      <c r="G653" s="25">
        <f t="shared" si="331"/>
        <v>0</v>
      </c>
      <c r="H653" s="25">
        <f t="shared" si="332"/>
        <v>0</v>
      </c>
      <c r="I653" s="25">
        <f t="shared" si="333"/>
        <v>0</v>
      </c>
      <c r="J653" s="25">
        <f t="shared" si="334"/>
        <v>0</v>
      </c>
      <c r="K653" s="25">
        <f t="shared" si="335"/>
        <v>0</v>
      </c>
      <c r="L653" s="25">
        <f t="shared" si="336"/>
        <v>0</v>
      </c>
      <c r="M653" s="25">
        <f t="shared" si="337"/>
        <v>0</v>
      </c>
      <c r="N653" s="25">
        <f t="shared" si="338"/>
        <v>2937678</v>
      </c>
      <c r="O653" s="25">
        <f t="shared" si="339"/>
        <v>0</v>
      </c>
      <c r="P653" s="25">
        <f t="shared" si="340"/>
        <v>0</v>
      </c>
      <c r="Q653" s="25">
        <f t="shared" si="341"/>
        <v>0</v>
      </c>
      <c r="R653" s="25">
        <f t="shared" si="342"/>
        <v>0</v>
      </c>
      <c r="S653" s="25">
        <f t="shared" si="343"/>
        <v>0</v>
      </c>
      <c r="T653" s="25">
        <f t="shared" si="344"/>
        <v>0</v>
      </c>
      <c r="U653" s="25">
        <f t="shared" si="345"/>
        <v>0</v>
      </c>
      <c r="V653" s="25">
        <f t="shared" si="346"/>
        <v>0</v>
      </c>
      <c r="W653" s="25">
        <f t="shared" si="347"/>
        <v>2937678</v>
      </c>
      <c r="X653" s="120" t="str">
        <f t="shared" si="348"/>
        <v>ok</v>
      </c>
    </row>
    <row r="654" spans="1:24" x14ac:dyDescent="0.2">
      <c r="A654" s="182">
        <v>379</v>
      </c>
      <c r="B654" s="23" t="s">
        <v>36</v>
      </c>
      <c r="D654" s="114" t="s">
        <v>38</v>
      </c>
      <c r="F654" s="224">
        <v>1605054</v>
      </c>
      <c r="G654" s="25">
        <f t="shared" si="331"/>
        <v>0</v>
      </c>
      <c r="H654" s="25">
        <f t="shared" si="332"/>
        <v>0</v>
      </c>
      <c r="I654" s="25">
        <f t="shared" si="333"/>
        <v>0</v>
      </c>
      <c r="J654" s="25">
        <f t="shared" si="334"/>
        <v>0</v>
      </c>
      <c r="K654" s="25">
        <f t="shared" si="335"/>
        <v>0</v>
      </c>
      <c r="L654" s="25">
        <f t="shared" si="336"/>
        <v>0</v>
      </c>
      <c r="M654" s="25">
        <f t="shared" si="337"/>
        <v>0</v>
      </c>
      <c r="N654" s="25">
        <f t="shared" si="338"/>
        <v>1605054</v>
      </c>
      <c r="O654" s="25">
        <f t="shared" si="339"/>
        <v>0</v>
      </c>
      <c r="P654" s="25">
        <f t="shared" si="340"/>
        <v>0</v>
      </c>
      <c r="Q654" s="25">
        <f t="shared" si="341"/>
        <v>0</v>
      </c>
      <c r="R654" s="25">
        <f t="shared" si="342"/>
        <v>0</v>
      </c>
      <c r="S654" s="25">
        <f t="shared" si="343"/>
        <v>0</v>
      </c>
      <c r="T654" s="25">
        <f t="shared" si="344"/>
        <v>0</v>
      </c>
      <c r="U654" s="25">
        <f t="shared" si="345"/>
        <v>0</v>
      </c>
      <c r="V654" s="25">
        <f t="shared" si="346"/>
        <v>0</v>
      </c>
      <c r="W654" s="25">
        <f t="shared" si="347"/>
        <v>1605054</v>
      </c>
      <c r="X654" s="120" t="str">
        <f t="shared" si="348"/>
        <v>ok</v>
      </c>
    </row>
    <row r="655" spans="1:24" x14ac:dyDescent="0.2">
      <c r="A655" s="182">
        <v>380</v>
      </c>
      <c r="B655" s="23" t="s">
        <v>10</v>
      </c>
      <c r="D655" s="114" t="s">
        <v>42</v>
      </c>
      <c r="F655" s="224">
        <v>111944105</v>
      </c>
      <c r="G655" s="25">
        <f t="shared" si="331"/>
        <v>0</v>
      </c>
      <c r="H655" s="25">
        <f t="shared" si="332"/>
        <v>0</v>
      </c>
      <c r="I655" s="25">
        <f t="shared" si="333"/>
        <v>0</v>
      </c>
      <c r="J655" s="25">
        <f t="shared" si="334"/>
        <v>0</v>
      </c>
      <c r="K655" s="25">
        <f t="shared" si="335"/>
        <v>0</v>
      </c>
      <c r="L655" s="25">
        <f t="shared" si="336"/>
        <v>0</v>
      </c>
      <c r="M655" s="25">
        <f t="shared" si="337"/>
        <v>0</v>
      </c>
      <c r="N655" s="25">
        <f t="shared" si="338"/>
        <v>0</v>
      </c>
      <c r="O655" s="25">
        <f t="shared" si="339"/>
        <v>0</v>
      </c>
      <c r="P655" s="25">
        <f t="shared" si="340"/>
        <v>0</v>
      </c>
      <c r="Q655" s="25">
        <f t="shared" si="341"/>
        <v>0</v>
      </c>
      <c r="R655" s="25">
        <f t="shared" si="342"/>
        <v>0</v>
      </c>
      <c r="S655" s="25">
        <f t="shared" si="343"/>
        <v>111944105</v>
      </c>
      <c r="T655" s="25">
        <f t="shared" si="344"/>
        <v>0</v>
      </c>
      <c r="U655" s="25">
        <f t="shared" si="345"/>
        <v>0</v>
      </c>
      <c r="V655" s="25">
        <f t="shared" si="346"/>
        <v>0</v>
      </c>
      <c r="W655" s="25">
        <f t="shared" si="347"/>
        <v>111944105</v>
      </c>
      <c r="X655" s="120" t="str">
        <f t="shared" si="348"/>
        <v>ok</v>
      </c>
    </row>
    <row r="656" spans="1:24" x14ac:dyDescent="0.2">
      <c r="A656" s="182">
        <v>381</v>
      </c>
      <c r="B656" s="23" t="s">
        <v>11</v>
      </c>
      <c r="D656" s="114" t="s">
        <v>45</v>
      </c>
      <c r="F656" s="224">
        <v>15760976</v>
      </c>
      <c r="G656" s="25">
        <f t="shared" si="331"/>
        <v>0</v>
      </c>
      <c r="H656" s="25">
        <f t="shared" si="332"/>
        <v>0</v>
      </c>
      <c r="I656" s="25">
        <f t="shared" si="333"/>
        <v>0</v>
      </c>
      <c r="J656" s="25">
        <f t="shared" si="334"/>
        <v>0</v>
      </c>
      <c r="K656" s="25">
        <f t="shared" si="335"/>
        <v>0</v>
      </c>
      <c r="L656" s="25">
        <f t="shared" si="336"/>
        <v>0</v>
      </c>
      <c r="M656" s="25">
        <f t="shared" si="337"/>
        <v>0</v>
      </c>
      <c r="N656" s="25">
        <f t="shared" si="338"/>
        <v>0</v>
      </c>
      <c r="O656" s="25">
        <f t="shared" si="339"/>
        <v>0</v>
      </c>
      <c r="P656" s="25">
        <f t="shared" si="340"/>
        <v>0</v>
      </c>
      <c r="Q656" s="25">
        <f t="shared" si="341"/>
        <v>0</v>
      </c>
      <c r="R656" s="25">
        <f t="shared" si="342"/>
        <v>0</v>
      </c>
      <c r="S656" s="25">
        <f t="shared" si="343"/>
        <v>0</v>
      </c>
      <c r="T656" s="25">
        <f t="shared" si="344"/>
        <v>15760976</v>
      </c>
      <c r="U656" s="25">
        <f t="shared" si="345"/>
        <v>0</v>
      </c>
      <c r="V656" s="25">
        <f t="shared" si="346"/>
        <v>0</v>
      </c>
      <c r="W656" s="25">
        <f t="shared" si="347"/>
        <v>15760976</v>
      </c>
      <c r="X656" s="120" t="str">
        <f t="shared" si="348"/>
        <v>ok</v>
      </c>
    </row>
    <row r="657" spans="1:24" x14ac:dyDescent="0.2">
      <c r="A657" s="182">
        <v>382</v>
      </c>
      <c r="B657" s="23" t="s">
        <v>43</v>
      </c>
      <c r="D657" s="114" t="s">
        <v>45</v>
      </c>
      <c r="F657" s="224"/>
      <c r="G657" s="25">
        <f t="shared" si="331"/>
        <v>0</v>
      </c>
      <c r="H657" s="25">
        <f t="shared" si="332"/>
        <v>0</v>
      </c>
      <c r="I657" s="25">
        <f t="shared" si="333"/>
        <v>0</v>
      </c>
      <c r="J657" s="25">
        <f t="shared" si="334"/>
        <v>0</v>
      </c>
      <c r="K657" s="25">
        <f t="shared" si="335"/>
        <v>0</v>
      </c>
      <c r="L657" s="25">
        <f t="shared" si="336"/>
        <v>0</v>
      </c>
      <c r="M657" s="25">
        <f t="shared" si="337"/>
        <v>0</v>
      </c>
      <c r="N657" s="25">
        <f t="shared" si="338"/>
        <v>0</v>
      </c>
      <c r="O657" s="25">
        <f t="shared" si="339"/>
        <v>0</v>
      </c>
      <c r="P657" s="25">
        <f t="shared" si="340"/>
        <v>0</v>
      </c>
      <c r="Q657" s="25">
        <f t="shared" si="341"/>
        <v>0</v>
      </c>
      <c r="R657" s="25">
        <f t="shared" si="342"/>
        <v>0</v>
      </c>
      <c r="S657" s="25">
        <f t="shared" si="343"/>
        <v>0</v>
      </c>
      <c r="T657" s="25">
        <f t="shared" si="344"/>
        <v>0</v>
      </c>
      <c r="U657" s="25">
        <f t="shared" si="345"/>
        <v>0</v>
      </c>
      <c r="V657" s="25">
        <f t="shared" si="346"/>
        <v>0</v>
      </c>
      <c r="W657" s="25">
        <f t="shared" si="347"/>
        <v>0</v>
      </c>
      <c r="X657" s="120" t="str">
        <f t="shared" si="348"/>
        <v>ok</v>
      </c>
    </row>
    <row r="658" spans="1:24" x14ac:dyDescent="0.2">
      <c r="A658" s="182">
        <v>383</v>
      </c>
      <c r="B658" s="23" t="s">
        <v>46</v>
      </c>
      <c r="D658" s="114" t="s">
        <v>45</v>
      </c>
      <c r="F658" s="224">
        <v>5646486</v>
      </c>
      <c r="G658" s="25">
        <f t="shared" si="331"/>
        <v>0</v>
      </c>
      <c r="H658" s="25">
        <f t="shared" si="332"/>
        <v>0</v>
      </c>
      <c r="I658" s="25">
        <f t="shared" si="333"/>
        <v>0</v>
      </c>
      <c r="J658" s="25">
        <f t="shared" si="334"/>
        <v>0</v>
      </c>
      <c r="K658" s="25">
        <f t="shared" si="335"/>
        <v>0</v>
      </c>
      <c r="L658" s="25">
        <f t="shared" si="336"/>
        <v>0</v>
      </c>
      <c r="M658" s="25">
        <f t="shared" si="337"/>
        <v>0</v>
      </c>
      <c r="N658" s="25">
        <f t="shared" si="338"/>
        <v>0</v>
      </c>
      <c r="O658" s="25">
        <f t="shared" si="339"/>
        <v>0</v>
      </c>
      <c r="P658" s="25">
        <f t="shared" si="340"/>
        <v>0</v>
      </c>
      <c r="Q658" s="25">
        <f t="shared" si="341"/>
        <v>0</v>
      </c>
      <c r="R658" s="25">
        <f t="shared" si="342"/>
        <v>0</v>
      </c>
      <c r="S658" s="25">
        <f t="shared" si="343"/>
        <v>0</v>
      </c>
      <c r="T658" s="25">
        <f t="shared" si="344"/>
        <v>5646486</v>
      </c>
      <c r="U658" s="25">
        <f t="shared" si="345"/>
        <v>0</v>
      </c>
      <c r="V658" s="25">
        <f t="shared" si="346"/>
        <v>0</v>
      </c>
      <c r="W658" s="25">
        <f t="shared" si="347"/>
        <v>5646486</v>
      </c>
      <c r="X658" s="120" t="str">
        <f t="shared" si="348"/>
        <v>ok</v>
      </c>
    </row>
    <row r="659" spans="1:24" x14ac:dyDescent="0.2">
      <c r="A659" s="182">
        <v>384</v>
      </c>
      <c r="B659" s="23" t="s">
        <v>49</v>
      </c>
      <c r="D659" s="114" t="s">
        <v>45</v>
      </c>
      <c r="F659" s="224"/>
      <c r="G659" s="25">
        <f t="shared" si="331"/>
        <v>0</v>
      </c>
      <c r="H659" s="25">
        <f t="shared" si="332"/>
        <v>0</v>
      </c>
      <c r="I659" s="25">
        <f t="shared" si="333"/>
        <v>0</v>
      </c>
      <c r="J659" s="25">
        <f t="shared" si="334"/>
        <v>0</v>
      </c>
      <c r="K659" s="25">
        <f t="shared" si="335"/>
        <v>0</v>
      </c>
      <c r="L659" s="25">
        <f t="shared" si="336"/>
        <v>0</v>
      </c>
      <c r="M659" s="25">
        <f t="shared" si="337"/>
        <v>0</v>
      </c>
      <c r="N659" s="25">
        <f t="shared" si="338"/>
        <v>0</v>
      </c>
      <c r="O659" s="25">
        <f t="shared" si="339"/>
        <v>0</v>
      </c>
      <c r="P659" s="25">
        <f t="shared" si="340"/>
        <v>0</v>
      </c>
      <c r="Q659" s="25">
        <f t="shared" si="341"/>
        <v>0</v>
      </c>
      <c r="R659" s="25">
        <f t="shared" si="342"/>
        <v>0</v>
      </c>
      <c r="S659" s="25">
        <f t="shared" si="343"/>
        <v>0</v>
      </c>
      <c r="T659" s="25">
        <f t="shared" si="344"/>
        <v>0</v>
      </c>
      <c r="U659" s="25">
        <f t="shared" si="345"/>
        <v>0</v>
      </c>
      <c r="V659" s="25">
        <f t="shared" si="346"/>
        <v>0</v>
      </c>
      <c r="W659" s="25">
        <f t="shared" si="347"/>
        <v>0</v>
      </c>
      <c r="X659" s="120" t="str">
        <f t="shared" si="348"/>
        <v>ok</v>
      </c>
    </row>
    <row r="660" spans="1:24" x14ac:dyDescent="0.2">
      <c r="A660" s="182">
        <v>385</v>
      </c>
      <c r="B660" s="23" t="s">
        <v>52</v>
      </c>
      <c r="D660" s="114" t="s">
        <v>45</v>
      </c>
      <c r="F660" s="224">
        <v>154611</v>
      </c>
      <c r="G660" s="25">
        <f t="shared" si="331"/>
        <v>0</v>
      </c>
      <c r="H660" s="25">
        <f t="shared" si="332"/>
        <v>0</v>
      </c>
      <c r="I660" s="25">
        <f t="shared" si="333"/>
        <v>0</v>
      </c>
      <c r="J660" s="25">
        <f t="shared" si="334"/>
        <v>0</v>
      </c>
      <c r="K660" s="25">
        <f t="shared" si="335"/>
        <v>0</v>
      </c>
      <c r="L660" s="25">
        <f t="shared" si="336"/>
        <v>0</v>
      </c>
      <c r="M660" s="25">
        <f t="shared" si="337"/>
        <v>0</v>
      </c>
      <c r="N660" s="25">
        <f t="shared" si="338"/>
        <v>0</v>
      </c>
      <c r="O660" s="25">
        <f t="shared" si="339"/>
        <v>0</v>
      </c>
      <c r="P660" s="25">
        <f t="shared" si="340"/>
        <v>0</v>
      </c>
      <c r="Q660" s="25">
        <f t="shared" si="341"/>
        <v>0</v>
      </c>
      <c r="R660" s="25">
        <f t="shared" si="342"/>
        <v>0</v>
      </c>
      <c r="S660" s="25">
        <f t="shared" si="343"/>
        <v>0</v>
      </c>
      <c r="T660" s="25">
        <f t="shared" si="344"/>
        <v>154611</v>
      </c>
      <c r="U660" s="25">
        <f t="shared" si="345"/>
        <v>0</v>
      </c>
      <c r="V660" s="25">
        <f t="shared" si="346"/>
        <v>0</v>
      </c>
      <c r="W660" s="25">
        <f t="shared" si="347"/>
        <v>154611</v>
      </c>
      <c r="X660" s="120" t="str">
        <f t="shared" si="348"/>
        <v>ok</v>
      </c>
    </row>
    <row r="661" spans="1:24" x14ac:dyDescent="0.2">
      <c r="A661" s="183">
        <v>387</v>
      </c>
      <c r="B661" s="23" t="s">
        <v>54</v>
      </c>
      <c r="D661" s="114" t="s">
        <v>45</v>
      </c>
      <c r="F661" s="224">
        <v>47022</v>
      </c>
      <c r="G661" s="25">
        <f t="shared" si="331"/>
        <v>0</v>
      </c>
      <c r="H661" s="25">
        <f t="shared" si="332"/>
        <v>0</v>
      </c>
      <c r="I661" s="25">
        <f t="shared" si="333"/>
        <v>0</v>
      </c>
      <c r="J661" s="25">
        <f t="shared" si="334"/>
        <v>0</v>
      </c>
      <c r="K661" s="25">
        <f t="shared" si="335"/>
        <v>0</v>
      </c>
      <c r="L661" s="25">
        <f t="shared" si="336"/>
        <v>0</v>
      </c>
      <c r="M661" s="25">
        <f t="shared" si="337"/>
        <v>0</v>
      </c>
      <c r="N661" s="25">
        <f t="shared" si="338"/>
        <v>0</v>
      </c>
      <c r="O661" s="25">
        <f t="shared" si="339"/>
        <v>0</v>
      </c>
      <c r="P661" s="25">
        <f t="shared" si="340"/>
        <v>0</v>
      </c>
      <c r="Q661" s="25">
        <f t="shared" si="341"/>
        <v>0</v>
      </c>
      <c r="R661" s="25">
        <f t="shared" si="342"/>
        <v>0</v>
      </c>
      <c r="S661" s="25">
        <f t="shared" si="343"/>
        <v>0</v>
      </c>
      <c r="T661" s="25">
        <f t="shared" si="344"/>
        <v>47022</v>
      </c>
      <c r="U661" s="25">
        <f t="shared" si="345"/>
        <v>0</v>
      </c>
      <c r="V661" s="25">
        <f t="shared" si="346"/>
        <v>0</v>
      </c>
      <c r="W661" s="25">
        <f t="shared" si="347"/>
        <v>47022</v>
      </c>
      <c r="X661" s="120" t="str">
        <f t="shared" si="348"/>
        <v>ok</v>
      </c>
    </row>
    <row r="662" spans="1:24" x14ac:dyDescent="0.2">
      <c r="A662" s="183">
        <v>388</v>
      </c>
      <c r="B662" s="23" t="s">
        <v>712</v>
      </c>
      <c r="D662" s="114" t="str">
        <f>+D654</f>
        <v>F008</v>
      </c>
      <c r="F662" s="224"/>
      <c r="G662" s="25">
        <f t="shared" si="331"/>
        <v>0</v>
      </c>
      <c r="H662" s="25">
        <f t="shared" si="332"/>
        <v>0</v>
      </c>
      <c r="I662" s="25">
        <f t="shared" si="333"/>
        <v>0</v>
      </c>
      <c r="J662" s="25">
        <f t="shared" si="334"/>
        <v>0</v>
      </c>
      <c r="K662" s="25">
        <f t="shared" si="335"/>
        <v>0</v>
      </c>
      <c r="L662" s="25">
        <f t="shared" si="336"/>
        <v>0</v>
      </c>
      <c r="M662" s="25">
        <f t="shared" si="337"/>
        <v>0</v>
      </c>
      <c r="N662" s="25">
        <f t="shared" si="338"/>
        <v>0</v>
      </c>
      <c r="O662" s="25">
        <f t="shared" si="339"/>
        <v>0</v>
      </c>
      <c r="P662" s="25">
        <f t="shared" si="340"/>
        <v>0</v>
      </c>
      <c r="Q662" s="25">
        <f t="shared" si="341"/>
        <v>0</v>
      </c>
      <c r="R662" s="25">
        <f t="shared" si="342"/>
        <v>0</v>
      </c>
      <c r="S662" s="25">
        <f t="shared" si="343"/>
        <v>0</v>
      </c>
      <c r="T662" s="25">
        <f t="shared" si="344"/>
        <v>0</v>
      </c>
      <c r="U662" s="25">
        <f t="shared" si="345"/>
        <v>0</v>
      </c>
      <c r="V662" s="25">
        <f t="shared" si="346"/>
        <v>0</v>
      </c>
      <c r="W662" s="25">
        <f t="shared" si="347"/>
        <v>0</v>
      </c>
      <c r="X662" s="120" t="str">
        <f t="shared" si="348"/>
        <v>ok</v>
      </c>
    </row>
    <row r="663" spans="1:24" x14ac:dyDescent="0.2">
      <c r="A663" s="183">
        <v>388</v>
      </c>
      <c r="B663" s="23" t="s">
        <v>711</v>
      </c>
      <c r="D663" s="114" t="str">
        <f>+D652</f>
        <v>F009</v>
      </c>
      <c r="F663" s="224"/>
      <c r="G663" s="25">
        <f t="shared" si="331"/>
        <v>0</v>
      </c>
      <c r="H663" s="25">
        <f t="shared" si="332"/>
        <v>0</v>
      </c>
      <c r="I663" s="25">
        <f t="shared" si="333"/>
        <v>0</v>
      </c>
      <c r="J663" s="25">
        <f t="shared" si="334"/>
        <v>0</v>
      </c>
      <c r="K663" s="25">
        <f t="shared" si="335"/>
        <v>0</v>
      </c>
      <c r="L663" s="25">
        <f t="shared" si="336"/>
        <v>0</v>
      </c>
      <c r="M663" s="25">
        <f t="shared" si="337"/>
        <v>0</v>
      </c>
      <c r="N663" s="25">
        <f t="shared" si="338"/>
        <v>0</v>
      </c>
      <c r="O663" s="25">
        <f t="shared" si="339"/>
        <v>0</v>
      </c>
      <c r="P663" s="25">
        <f t="shared" si="340"/>
        <v>0</v>
      </c>
      <c r="Q663" s="25">
        <f t="shared" si="341"/>
        <v>0</v>
      </c>
      <c r="R663" s="25">
        <f t="shared" si="342"/>
        <v>0</v>
      </c>
      <c r="S663" s="25">
        <f t="shared" si="343"/>
        <v>0</v>
      </c>
      <c r="T663" s="25">
        <f t="shared" si="344"/>
        <v>0</v>
      </c>
      <c r="U663" s="25">
        <f t="shared" si="345"/>
        <v>0</v>
      </c>
      <c r="V663" s="25">
        <f t="shared" si="346"/>
        <v>0</v>
      </c>
      <c r="W663" s="25">
        <f t="shared" si="347"/>
        <v>0</v>
      </c>
      <c r="X663" s="120" t="str">
        <f t="shared" si="348"/>
        <v>ok</v>
      </c>
    </row>
    <row r="664" spans="1:24" x14ac:dyDescent="0.2">
      <c r="A664" s="184"/>
      <c r="F664" s="224"/>
    </row>
    <row r="665" spans="1:24" x14ac:dyDescent="0.2">
      <c r="A665" s="184" t="s">
        <v>199</v>
      </c>
      <c r="F665" s="224">
        <f>SUM(F650:F663)</f>
        <v>271564810</v>
      </c>
      <c r="G665" s="224">
        <f t="shared" ref="G665:V665" si="349">SUM(G650:G663)</f>
        <v>0</v>
      </c>
      <c r="H665" s="224">
        <f t="shared" si="349"/>
        <v>0</v>
      </c>
      <c r="I665" s="224">
        <f t="shared" si="349"/>
        <v>0</v>
      </c>
      <c r="J665" s="224">
        <f t="shared" si="349"/>
        <v>0</v>
      </c>
      <c r="K665" s="224">
        <f t="shared" si="349"/>
        <v>0</v>
      </c>
      <c r="L665" s="224">
        <f t="shared" si="349"/>
        <v>0</v>
      </c>
      <c r="M665" s="224">
        <f t="shared" si="349"/>
        <v>0</v>
      </c>
      <c r="N665" s="224">
        <f t="shared" si="349"/>
        <v>5019928</v>
      </c>
      <c r="O665" s="224">
        <f t="shared" si="349"/>
        <v>119838173.42909701</v>
      </c>
      <c r="P665" s="224">
        <f t="shared" si="349"/>
        <v>0</v>
      </c>
      <c r="Q665" s="224">
        <f t="shared" si="349"/>
        <v>13153508.570902983</v>
      </c>
      <c r="R665" s="224">
        <f t="shared" si="349"/>
        <v>0</v>
      </c>
      <c r="S665" s="224">
        <f t="shared" si="349"/>
        <v>111944105</v>
      </c>
      <c r="T665" s="224">
        <f t="shared" si="349"/>
        <v>21609095</v>
      </c>
      <c r="U665" s="224">
        <f t="shared" si="349"/>
        <v>0</v>
      </c>
      <c r="V665" s="224">
        <f t="shared" si="349"/>
        <v>0</v>
      </c>
      <c r="W665" s="25">
        <f t="shared" si="347"/>
        <v>271564810</v>
      </c>
      <c r="X665" s="120" t="str">
        <f t="shared" si="348"/>
        <v>ok</v>
      </c>
    </row>
    <row r="666" spans="1:24" x14ac:dyDescent="0.2">
      <c r="N666" s="225"/>
      <c r="O666" s="225"/>
      <c r="P666" s="225"/>
      <c r="Q666" s="225"/>
      <c r="R666" s="225"/>
      <c r="S666" s="225"/>
      <c r="T666" s="225"/>
      <c r="U666" s="225"/>
      <c r="V666" s="225"/>
    </row>
    <row r="667" spans="1:24" x14ac:dyDescent="0.2">
      <c r="N667" s="225"/>
      <c r="O667" s="225"/>
      <c r="P667" s="225"/>
      <c r="Q667" s="225"/>
      <c r="R667" s="225"/>
      <c r="S667" s="225"/>
      <c r="T667" s="225"/>
      <c r="U667" s="225"/>
      <c r="V667" s="225"/>
    </row>
  </sheetData>
  <autoFilter ref="C1:D643"/>
  <phoneticPr fontId="0" type="noConversion"/>
  <pageMargins left="0.75" right="0.75" top="1.5" bottom="0.59" header="0.5" footer="0.5"/>
  <pageSetup scale="55" fitToHeight="20" pageOrder="overThenDown" orientation="landscape" r:id="rId1"/>
  <headerFooter alignWithMargins="0">
    <oddHeader>&amp;C&amp;"Times New Roman,Bold"&amp;14LOUISVILLE GAS AND ELECTRIC COMPANY
Cost of Service Study
Functional Assignment and Classification</oddHeader>
  </headerFooter>
  <rowBreaks count="14" manualBreakCount="14">
    <brk id="50" max="21" man="1"/>
    <brk id="93" max="21" man="1"/>
    <brk id="140" max="21" man="1"/>
    <brk id="183" max="21" man="1"/>
    <brk id="226" max="21" man="1"/>
    <brk id="269" max="21" man="1"/>
    <brk id="312" max="21" man="1"/>
    <brk id="355" max="21" man="1"/>
    <brk id="398" max="21" man="1"/>
    <brk id="441" max="21" man="1"/>
    <brk id="484" max="21" man="1"/>
    <brk id="533" max="21" man="1"/>
    <brk id="576" max="21" man="1"/>
    <brk id="618" max="21" man="1"/>
  </rowBreaks>
  <colBreaks count="2" manualBreakCount="2">
    <brk id="12" max="641" man="1"/>
    <brk id="18" max="6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5" sqref="A5"/>
    </sheetView>
  </sheetViews>
  <sheetFormatPr defaultRowHeight="12.75" x14ac:dyDescent="0.2"/>
  <cols>
    <col min="1" max="1" width="24.42578125" customWidth="1"/>
    <col min="2" max="2" width="8.28515625" customWidth="1"/>
    <col min="3" max="3" width="19.7109375" hidden="1" customWidth="1"/>
    <col min="4" max="4" width="19.85546875" customWidth="1"/>
    <col min="5" max="5" width="18.85546875" customWidth="1"/>
  </cols>
  <sheetData>
    <row r="1" spans="1:5" x14ac:dyDescent="0.2">
      <c r="A1" s="1" t="s">
        <v>752</v>
      </c>
    </row>
    <row r="2" spans="1:5" x14ac:dyDescent="0.2">
      <c r="A2" t="s">
        <v>915</v>
      </c>
    </row>
    <row r="4" spans="1:5" x14ac:dyDescent="0.2">
      <c r="C4" s="27" t="s">
        <v>815</v>
      </c>
      <c r="D4" s="27" t="s">
        <v>815</v>
      </c>
    </row>
    <row r="5" spans="1:5" x14ac:dyDescent="0.2">
      <c r="C5" s="2" t="s">
        <v>816</v>
      </c>
      <c r="D5" s="27" t="s">
        <v>817</v>
      </c>
      <c r="E5" s="2"/>
    </row>
    <row r="6" spans="1:5" x14ac:dyDescent="0.2">
      <c r="C6" s="2" t="s">
        <v>750</v>
      </c>
      <c r="D6" s="27" t="s">
        <v>750</v>
      </c>
      <c r="E6" s="27" t="s">
        <v>14</v>
      </c>
    </row>
    <row r="9" spans="1:5" x14ac:dyDescent="0.2">
      <c r="A9" t="s">
        <v>245</v>
      </c>
      <c r="C9" s="4">
        <v>0</v>
      </c>
      <c r="D9" s="4">
        <f>SUM(Allocation!G62:I62)+SUM(Allocation!G68:I68)</f>
        <v>166889448.30886492</v>
      </c>
      <c r="E9" s="6">
        <f>C9+D9</f>
        <v>166889448.30886492</v>
      </c>
    </row>
    <row r="10" spans="1:5" x14ac:dyDescent="0.2">
      <c r="C10" s="4"/>
      <c r="D10" s="4"/>
      <c r="E10" s="6"/>
    </row>
    <row r="11" spans="1:5" x14ac:dyDescent="0.2">
      <c r="A11" t="s">
        <v>751</v>
      </c>
      <c r="B11" s="32">
        <f>Allocation!K572</f>
        <v>4.1749265926074662E-2</v>
      </c>
      <c r="C11" s="4">
        <f>C9*B11</f>
        <v>0</v>
      </c>
      <c r="D11" s="4">
        <f>D9*B11</f>
        <v>6967511.9577026926</v>
      </c>
      <c r="E11" s="6">
        <f t="shared" ref="E11:E17" si="0">C11+D11</f>
        <v>6967511.9577026926</v>
      </c>
    </row>
    <row r="12" spans="1:5" x14ac:dyDescent="0.2">
      <c r="A12" t="s">
        <v>674</v>
      </c>
      <c r="C12" s="4">
        <v>0</v>
      </c>
      <c r="D12" s="4">
        <f>SUM(Allocation!G109:I109)+SUM(Allocation!G115:I115)</f>
        <v>9314561.7936874032</v>
      </c>
      <c r="E12" s="6">
        <f t="shared" si="0"/>
        <v>9314561.7936874032</v>
      </c>
    </row>
    <row r="13" spans="1:5" x14ac:dyDescent="0.2">
      <c r="A13" t="s">
        <v>746</v>
      </c>
      <c r="C13" s="4">
        <v>0</v>
      </c>
      <c r="D13" s="4">
        <f>SUM(Allocation!G202:I202)+SUM(Allocation!G208:I208)</f>
        <v>5964266.5327229602</v>
      </c>
      <c r="E13" s="6">
        <f t="shared" si="0"/>
        <v>5964266.5327229602</v>
      </c>
    </row>
    <row r="14" spans="1:5" x14ac:dyDescent="0.2">
      <c r="A14" t="s">
        <v>747</v>
      </c>
      <c r="C14" s="4">
        <v>0</v>
      </c>
      <c r="D14" s="4">
        <f>SUM(Allocation!G379:I379)+SUM(Allocation!G385:I385)</f>
        <v>2065231.3189040311</v>
      </c>
      <c r="E14" s="6">
        <f t="shared" si="0"/>
        <v>2065231.3189040311</v>
      </c>
    </row>
    <row r="15" spans="1:5" x14ac:dyDescent="0.2">
      <c r="A15" t="s">
        <v>748</v>
      </c>
      <c r="C15" s="4">
        <f>SUM(Allocation!G296:I296)</f>
        <v>0</v>
      </c>
      <c r="D15" s="4">
        <f>SUM(Allocation!G291:I291)</f>
        <v>0</v>
      </c>
      <c r="E15" s="6">
        <f t="shared" si="0"/>
        <v>0</v>
      </c>
    </row>
    <row r="16" spans="1:5" x14ac:dyDescent="0.2">
      <c r="A16" t="s">
        <v>727</v>
      </c>
      <c r="C16" s="4">
        <f>SUM(Allocation!G252:I252)</f>
        <v>0</v>
      </c>
      <c r="D16" s="4">
        <f>SUM(Allocation!G247:I247)</f>
        <v>0</v>
      </c>
      <c r="E16" s="6">
        <f t="shared" si="0"/>
        <v>0</v>
      </c>
    </row>
    <row r="17" spans="1:5" x14ac:dyDescent="0.2">
      <c r="A17" t="s">
        <v>297</v>
      </c>
      <c r="B17" s="7">
        <f>(Allocation!K519+Allocation!K564)/Allocation!K568</f>
        <v>0.35960099827532638</v>
      </c>
      <c r="C17" s="10">
        <f>$B$17*C11</f>
        <v>0</v>
      </c>
      <c r="D17" s="10">
        <f>$B$17*D11</f>
        <v>2505524.2554851617</v>
      </c>
      <c r="E17" s="208">
        <f t="shared" si="0"/>
        <v>2505524.2554851617</v>
      </c>
    </row>
    <row r="19" spans="1:5" x14ac:dyDescent="0.2">
      <c r="A19" t="s">
        <v>14</v>
      </c>
      <c r="C19" s="6">
        <f>SUM(C11:C18)</f>
        <v>0</v>
      </c>
      <c r="D19" s="6">
        <f>SUM(D11:D18)</f>
        <v>26817095.85850225</v>
      </c>
      <c r="E19" s="6">
        <f>SUM(E11:E18)</f>
        <v>26817095.85850225</v>
      </c>
    </row>
    <row r="21" spans="1:5" x14ac:dyDescent="0.2">
      <c r="A21" t="s">
        <v>749</v>
      </c>
      <c r="E21" s="6">
        <f>Allocation!G588+Allocation!H588+Allocation!I588</f>
        <v>463195.14890919096</v>
      </c>
    </row>
    <row r="23" spans="1:5" x14ac:dyDescent="0.2">
      <c r="A23" t="s">
        <v>756</v>
      </c>
      <c r="E23" s="22">
        <f>E19/E21</f>
        <v>57.89589101193225</v>
      </c>
    </row>
    <row r="25" spans="1:5" x14ac:dyDescent="0.2">
      <c r="A25" t="s">
        <v>757</v>
      </c>
      <c r="E25" s="22">
        <f>E23/12</f>
        <v>4.8246575843276878</v>
      </c>
    </row>
    <row r="27" spans="1:5" x14ac:dyDescent="0.2">
      <c r="A27" t="s">
        <v>758</v>
      </c>
      <c r="E27" s="220">
        <f>E23/365</f>
        <v>0.1586188794847459</v>
      </c>
    </row>
    <row r="31" spans="1:5" x14ac:dyDescent="0.2">
      <c r="A31" s="24" t="s">
        <v>818</v>
      </c>
      <c r="B31" s="28"/>
      <c r="C31" s="28"/>
    </row>
  </sheetData>
  <phoneticPr fontId="11" type="noConversion"/>
  <pageMargins left="0.75" right="0.75" top="1" bottom="1" header="0.5" footer="0.5"/>
  <pageSetup orientation="portrait" horizontalDpi="200" verticalDpi="200" r:id="rId1"/>
  <headerFooter alignWithMargins="0">
    <oddHeader>&amp;RExhibit WSS-9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D753"/>
  <sheetViews>
    <sheetView zoomScaleNormal="100" zoomScaleSheetLayoutView="90" workbookViewId="0">
      <pane xSplit="6" ySplit="4" topLeftCell="G5" activePane="bottomRight" state="frozen"/>
      <selection pane="topRight" activeCell="G1" sqref="G1"/>
      <selection pane="bottomLeft" activeCell="A4" sqref="A4"/>
      <selection pane="bottomRight" activeCell="V633" sqref="V633"/>
    </sheetView>
  </sheetViews>
  <sheetFormatPr defaultColWidth="9.140625" defaultRowHeight="15.75" x14ac:dyDescent="0.25"/>
  <cols>
    <col min="1" max="1" width="40.140625" style="140" customWidth="1"/>
    <col min="2" max="2" width="6" style="140" customWidth="1"/>
    <col min="3" max="3" width="9.140625" style="140"/>
    <col min="4" max="4" width="11" style="140" customWidth="1"/>
    <col min="5" max="5" width="11.7109375" style="140" customWidth="1"/>
    <col min="6" max="6" width="18.140625" style="140" customWidth="1"/>
    <col min="7" max="7" width="19" style="140" customWidth="1"/>
    <col min="8" max="8" width="17.28515625" style="140" customWidth="1"/>
    <col min="9" max="9" width="16.42578125" style="140" customWidth="1"/>
    <col min="10" max="10" width="16.5703125" style="140" customWidth="1"/>
    <col min="11" max="11" width="17.42578125" style="140" customWidth="1"/>
    <col min="12" max="12" width="17.5703125" style="140" hidden="1" customWidth="1"/>
    <col min="13" max="13" width="16.5703125" style="140" hidden="1" customWidth="1"/>
    <col min="14" max="14" width="14.7109375" style="140" hidden="1" customWidth="1"/>
    <col min="15" max="16" width="15.5703125" style="140" hidden="1" customWidth="1"/>
    <col min="17" max="17" width="16.85546875" style="140" hidden="1" customWidth="1"/>
    <col min="18" max="18" width="15.5703125" style="140" hidden="1" customWidth="1"/>
    <col min="19" max="19" width="14.5703125" style="140" hidden="1" customWidth="1"/>
    <col min="20" max="20" width="0.140625" style="140" hidden="1" customWidth="1"/>
    <col min="21" max="21" width="18" style="140" customWidth="1"/>
    <col min="22" max="22" width="9.140625" style="140"/>
    <col min="23" max="23" width="15.5703125" style="140" customWidth="1"/>
    <col min="24" max="16384" width="9.140625" style="140"/>
  </cols>
  <sheetData>
    <row r="2" spans="1:24" s="133" customFormat="1" ht="15.75" hidden="1" customHeight="1" x14ac:dyDescent="0.25">
      <c r="D2" s="133">
        <v>1</v>
      </c>
      <c r="E2" s="133">
        <f>+D2+1</f>
        <v>2</v>
      </c>
      <c r="F2" s="133">
        <f t="shared" ref="F2:V2" si="0">+E2+1</f>
        <v>3</v>
      </c>
      <c r="G2" s="133">
        <f t="shared" si="0"/>
        <v>4</v>
      </c>
      <c r="H2" s="133">
        <f t="shared" si="0"/>
        <v>5</v>
      </c>
      <c r="I2" s="133">
        <f t="shared" si="0"/>
        <v>6</v>
      </c>
      <c r="J2" s="133">
        <f t="shared" si="0"/>
        <v>7</v>
      </c>
      <c r="K2" s="133">
        <f t="shared" si="0"/>
        <v>8</v>
      </c>
      <c r="L2" s="133">
        <f t="shared" si="0"/>
        <v>9</v>
      </c>
      <c r="M2" s="133">
        <f t="shared" si="0"/>
        <v>10</v>
      </c>
      <c r="N2" s="133">
        <f t="shared" si="0"/>
        <v>11</v>
      </c>
      <c r="O2" s="133">
        <f t="shared" si="0"/>
        <v>12</v>
      </c>
      <c r="P2" s="133">
        <f t="shared" si="0"/>
        <v>13</v>
      </c>
      <c r="Q2" s="133">
        <f t="shared" si="0"/>
        <v>14</v>
      </c>
      <c r="R2" s="133">
        <f t="shared" si="0"/>
        <v>15</v>
      </c>
      <c r="S2" s="133">
        <f t="shared" si="0"/>
        <v>16</v>
      </c>
      <c r="T2" s="133">
        <f t="shared" si="0"/>
        <v>17</v>
      </c>
      <c r="U2" s="133">
        <f t="shared" si="0"/>
        <v>18</v>
      </c>
      <c r="V2" s="133">
        <f t="shared" si="0"/>
        <v>19</v>
      </c>
    </row>
    <row r="3" spans="1:24" ht="55.5" customHeight="1" x14ac:dyDescent="0.25">
      <c r="A3" s="134"/>
      <c r="B3" s="134"/>
      <c r="C3" s="134"/>
      <c r="D3" s="135"/>
      <c r="E3" s="136" t="s">
        <v>204</v>
      </c>
      <c r="F3" s="137" t="s">
        <v>14</v>
      </c>
      <c r="G3" s="138" t="s">
        <v>301</v>
      </c>
      <c r="H3" s="139" t="s">
        <v>626</v>
      </c>
      <c r="I3" s="139" t="s">
        <v>628</v>
      </c>
      <c r="J3" s="139" t="s">
        <v>716</v>
      </c>
      <c r="K3" s="139" t="s">
        <v>630</v>
      </c>
      <c r="L3" s="139"/>
      <c r="M3" s="139" t="s">
        <v>852</v>
      </c>
      <c r="N3" s="139" t="s">
        <v>852</v>
      </c>
      <c r="O3" s="139" t="s">
        <v>852</v>
      </c>
      <c r="P3" s="139" t="s">
        <v>852</v>
      </c>
      <c r="Q3" s="139" t="s">
        <v>852</v>
      </c>
      <c r="R3" s="139" t="s">
        <v>852</v>
      </c>
      <c r="S3" s="139" t="s">
        <v>852</v>
      </c>
      <c r="T3" s="139" t="s">
        <v>852</v>
      </c>
      <c r="U3" s="134"/>
      <c r="V3" s="134"/>
    </row>
    <row r="4" spans="1:24" ht="16.5" thickBot="1" x14ac:dyDescent="0.3">
      <c r="A4" s="141" t="s">
        <v>19</v>
      </c>
      <c r="B4" s="141"/>
      <c r="C4" s="141" t="s">
        <v>230</v>
      </c>
      <c r="D4" s="142" t="s">
        <v>17</v>
      </c>
      <c r="E4" s="142" t="s">
        <v>18</v>
      </c>
      <c r="F4" s="143" t="s">
        <v>205</v>
      </c>
      <c r="G4" s="143" t="s">
        <v>629</v>
      </c>
      <c r="H4" s="143" t="s">
        <v>627</v>
      </c>
      <c r="I4" s="143" t="s">
        <v>625</v>
      </c>
      <c r="J4" s="144" t="s">
        <v>673</v>
      </c>
      <c r="K4" s="143" t="s">
        <v>631</v>
      </c>
      <c r="L4" s="143"/>
      <c r="M4" s="143"/>
      <c r="N4" s="143"/>
      <c r="O4" s="143"/>
      <c r="P4" s="143"/>
      <c r="Q4" s="143"/>
      <c r="R4" s="143"/>
      <c r="S4" s="143"/>
      <c r="T4" s="143"/>
      <c r="U4" s="143" t="s">
        <v>206</v>
      </c>
      <c r="V4" s="143" t="s">
        <v>21</v>
      </c>
      <c r="W4" s="143"/>
      <c r="X4" s="143"/>
    </row>
    <row r="6" spans="1:24" x14ac:dyDescent="0.25">
      <c r="A6" s="145" t="s">
        <v>16</v>
      </c>
    </row>
    <row r="8" spans="1:24" x14ac:dyDescent="0.25">
      <c r="A8" s="134" t="s">
        <v>455</v>
      </c>
    </row>
    <row r="9" spans="1:24" x14ac:dyDescent="0.25">
      <c r="A9" s="146" t="s">
        <v>207</v>
      </c>
      <c r="C9" s="140" t="s">
        <v>63</v>
      </c>
      <c r="D9" s="140" t="s">
        <v>231</v>
      </c>
      <c r="E9" s="140" t="s">
        <v>310</v>
      </c>
      <c r="F9" s="147">
        <f>VLOOKUP(C9,'Functional Assignment'!$C$1:$AR$730,5,)</f>
        <v>0</v>
      </c>
      <c r="G9" s="147">
        <f t="shared" ref="G9:J10" si="1">(VLOOKUP($E9,$D$6:$AI$659,G$2,)/VLOOKUP($E9,$D$6:$AI$659,3,))*$F9</f>
        <v>0</v>
      </c>
      <c r="H9" s="147">
        <f t="shared" si="1"/>
        <v>0</v>
      </c>
      <c r="I9" s="147">
        <f t="shared" si="1"/>
        <v>0</v>
      </c>
      <c r="J9" s="147">
        <f t="shared" si="1"/>
        <v>0</v>
      </c>
      <c r="K9" s="147">
        <f>(VLOOKUP($E9,$D$6:$AI$659,8,)/VLOOKUP($E9,$D$6:$AI$659,3,))*$F9</f>
        <v>0</v>
      </c>
      <c r="L9" s="147">
        <f>(VLOOKUP($E9,$D$6:$AI$659,L$2,)/VLOOKUP($E9,$D$6:$AI$659,3,))*$F9</f>
        <v>0</v>
      </c>
      <c r="M9" s="147">
        <f>(VLOOKUP($E9,$D$6:$AI$659,M$2,)/VLOOKUP($E9,$D$6:$AI$659,3,))*$F9</f>
        <v>0</v>
      </c>
      <c r="N9" s="147">
        <f>(VLOOKUP($E9,$D$6:$AI$659,11,)/VLOOKUP($E9,$D$6:$AI$659,3,))*$F9</f>
        <v>0</v>
      </c>
      <c r="O9" s="147">
        <f t="shared" ref="O9:Q10" si="2">(VLOOKUP($E9,$D$6:$AI$659,O$2,)/VLOOKUP($E9,$D$6:$AI$659,3,))*$F9</f>
        <v>0</v>
      </c>
      <c r="P9" s="147">
        <f t="shared" si="2"/>
        <v>0</v>
      </c>
      <c r="Q9" s="147">
        <f t="shared" si="2"/>
        <v>0</v>
      </c>
      <c r="R9" s="147">
        <f>(VLOOKUP($E9,$D$6:$AI$659,15,)/VLOOKUP($E9,$D$6:$AI$659,3,))*$F9</f>
        <v>0</v>
      </c>
      <c r="S9" s="147">
        <f>(VLOOKUP($E9,$D$6:$AI$659,16,)/VLOOKUP($E9,$D$6:$AI$659,3,))*$F9</f>
        <v>0</v>
      </c>
      <c r="T9" s="147">
        <f>(VLOOKUP($E9,$D$6:$AI$659,17,)/VLOOKUP($E9,$D$6:$AI$659,3,))*$F9</f>
        <v>0</v>
      </c>
      <c r="U9" s="148">
        <f>SUM(G9:M9)</f>
        <v>0</v>
      </c>
      <c r="V9" s="133" t="str">
        <f>IF(ABS(F9-U9)&lt;0.01,"ok","err")</f>
        <v>ok</v>
      </c>
    </row>
    <row r="10" spans="1:24" x14ac:dyDescent="0.25">
      <c r="A10" s="146" t="s">
        <v>226</v>
      </c>
      <c r="C10" s="140" t="s">
        <v>63</v>
      </c>
      <c r="D10" s="140" t="s">
        <v>232</v>
      </c>
      <c r="E10" s="140" t="s">
        <v>311</v>
      </c>
      <c r="F10" s="15">
        <f>VLOOKUP(C10,'Functional Assignment'!$C$1:$AR$730,6,)</f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>(VLOOKUP($E10,$D$6:$AI$659,8,)/VLOOKUP($E10,$D$6:$AI$659,3,))*$F10</f>
        <v>0</v>
      </c>
      <c r="L10" s="15">
        <f>(VLOOKUP($E10,$D$6:$AI$659,L$2,)/VLOOKUP($E10,$D$6:$AI$659,3,))*$F10</f>
        <v>0</v>
      </c>
      <c r="M10" s="15">
        <f>(VLOOKUP($E10,$D$6:$AI$659,M$2,)/VLOOKUP($E10,$D$6:$AI$659,3,))*$F10</f>
        <v>0</v>
      </c>
      <c r="N10" s="15">
        <f>(VLOOKUP($E10,$D$6:$AI$659,11,)/VLOOKUP($E10,$D$6:$AI$659,3,))*$F10</f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>(VLOOKUP($E10,$D$6:$AI$659,15,)/VLOOKUP($E10,$D$6:$AI$659,3,))*$F10</f>
        <v>0</v>
      </c>
      <c r="S10" s="15">
        <f>(VLOOKUP($E10,$D$6:$AI$659,16,)/VLOOKUP($E10,$D$6:$AI$659,3,))*$F10</f>
        <v>0</v>
      </c>
      <c r="T10" s="15">
        <f>(VLOOKUP($E10,$D$6:$AI$659,17,)/VLOOKUP($E10,$D$6:$AI$659,3,))*$F10</f>
        <v>0</v>
      </c>
      <c r="U10" s="148">
        <f>SUM(G10:M10)</f>
        <v>0</v>
      </c>
      <c r="V10" s="133" t="str">
        <f>IF(ABS(F10-U10)&lt;0.01,"ok","err")</f>
        <v>ok</v>
      </c>
    </row>
    <row r="11" spans="1:24" x14ac:dyDescent="0.25">
      <c r="A11" s="140" t="s">
        <v>658</v>
      </c>
      <c r="F11" s="147">
        <f t="shared" ref="F11:T11" si="3">F9+F10</f>
        <v>0</v>
      </c>
      <c r="G11" s="147">
        <f t="shared" si="3"/>
        <v>0</v>
      </c>
      <c r="H11" s="147">
        <f t="shared" si="3"/>
        <v>0</v>
      </c>
      <c r="I11" s="147">
        <f t="shared" si="3"/>
        <v>0</v>
      </c>
      <c r="J11" s="147">
        <f t="shared" si="3"/>
        <v>0</v>
      </c>
      <c r="K11" s="147">
        <f t="shared" si="3"/>
        <v>0</v>
      </c>
      <c r="L11" s="147">
        <f t="shared" si="3"/>
        <v>0</v>
      </c>
      <c r="M11" s="147">
        <f t="shared" si="3"/>
        <v>0</v>
      </c>
      <c r="N11" s="147">
        <f t="shared" si="3"/>
        <v>0</v>
      </c>
      <c r="O11" s="147">
        <f t="shared" si="3"/>
        <v>0</v>
      </c>
      <c r="P11" s="147">
        <f t="shared" si="3"/>
        <v>0</v>
      </c>
      <c r="Q11" s="147">
        <f t="shared" si="3"/>
        <v>0</v>
      </c>
      <c r="R11" s="147">
        <f t="shared" si="3"/>
        <v>0</v>
      </c>
      <c r="S11" s="147">
        <f t="shared" si="3"/>
        <v>0</v>
      </c>
      <c r="T11" s="147">
        <f t="shared" si="3"/>
        <v>0</v>
      </c>
      <c r="U11" s="148">
        <f>SUM(G11:M11)</f>
        <v>0</v>
      </c>
      <c r="V11" s="133" t="str">
        <f>IF(ABS(F11-U11)&lt;0.01,"ok","err")</f>
        <v>ok</v>
      </c>
    </row>
    <row r="12" spans="1:24" x14ac:dyDescent="0.25">
      <c r="F12" s="15"/>
      <c r="G12" s="15"/>
    </row>
    <row r="13" spans="1:24" x14ac:dyDescent="0.25">
      <c r="A13" s="134" t="s">
        <v>3</v>
      </c>
      <c r="F13" s="15"/>
      <c r="G13" s="15"/>
    </row>
    <row r="14" spans="1:24" x14ac:dyDescent="0.25">
      <c r="A14" s="146" t="s">
        <v>207</v>
      </c>
      <c r="C14" s="140" t="s">
        <v>63</v>
      </c>
      <c r="D14" s="140" t="s">
        <v>233</v>
      </c>
      <c r="E14" s="140" t="s">
        <v>312</v>
      </c>
      <c r="F14" s="147">
        <f>VLOOKUP(C14,'Functional Assignment'!$C$1:$AR$730,7,)</f>
        <v>178728014.87038416</v>
      </c>
      <c r="G14" s="147">
        <f t="shared" ref="G14:J15" si="4">(VLOOKUP($E14,$D$6:$AI$659,G$2,)/VLOOKUP($E14,$D$6:$AI$659,3,))*$F14</f>
        <v>119039286.42431287</v>
      </c>
      <c r="H14" s="147">
        <f t="shared" si="4"/>
        <v>53570566.144807473</v>
      </c>
      <c r="I14" s="147">
        <f t="shared" si="4"/>
        <v>4558642.362725026</v>
      </c>
      <c r="J14" s="147">
        <f t="shared" si="4"/>
        <v>0</v>
      </c>
      <c r="K14" s="147">
        <f>(VLOOKUP($E14,$D$6:$AI$659,8,)/VLOOKUP($E14,$D$6:$AI$659,3,))*$F14</f>
        <v>1559519.9385387849</v>
      </c>
      <c r="L14" s="147">
        <f>(VLOOKUP($E14,$D$6:$AI$659,L$2,)/VLOOKUP($E14,$D$6:$AI$659,3,))*$F14</f>
        <v>0</v>
      </c>
      <c r="M14" s="147">
        <f>(VLOOKUP($E14,$D$6:$AI$659,M$2,)/VLOOKUP($E14,$D$6:$AI$659,3,))*$F14</f>
        <v>0</v>
      </c>
      <c r="N14" s="147">
        <f>(VLOOKUP($E14,$D$6:$AI$659,11,)/VLOOKUP($E14,$D$6:$AI$659,3,))*$F14</f>
        <v>1559519.9385387849</v>
      </c>
      <c r="O14" s="147">
        <f t="shared" ref="O14:Q15" si="5">(VLOOKUP($E14,$D$6:$AI$659,O$2,)/VLOOKUP($E14,$D$6:$AI$659,3,))*$F14</f>
        <v>0</v>
      </c>
      <c r="P14" s="147">
        <f t="shared" si="5"/>
        <v>0</v>
      </c>
      <c r="Q14" s="147">
        <f t="shared" si="5"/>
        <v>0</v>
      </c>
      <c r="R14" s="147">
        <f>(VLOOKUP($E14,$D$6:$AI$659,15,)/VLOOKUP($E14,$D$6:$AI$659,3,))*$F14</f>
        <v>0</v>
      </c>
      <c r="S14" s="147">
        <f>(VLOOKUP($E14,$D$6:$AI$659,16,)/VLOOKUP($E14,$D$6:$AI$659,3,))*$F14</f>
        <v>0</v>
      </c>
      <c r="T14" s="147">
        <f>(VLOOKUP($E14,$D$6:$AI$659,17,)/VLOOKUP($E14,$D$6:$AI$659,3,))*$F14</f>
        <v>0</v>
      </c>
      <c r="U14" s="148">
        <f>SUM(G14:M14)</f>
        <v>178728014.87038416</v>
      </c>
      <c r="V14" s="133" t="str">
        <f>IF(ABS(F14-U14)&lt;0.01,"ok","err")</f>
        <v>ok</v>
      </c>
    </row>
    <row r="15" spans="1:24" x14ac:dyDescent="0.25">
      <c r="A15" s="140" t="s">
        <v>226</v>
      </c>
      <c r="C15" s="140" t="s">
        <v>63</v>
      </c>
      <c r="D15" s="140" t="s">
        <v>234</v>
      </c>
      <c r="E15" s="140" t="s">
        <v>313</v>
      </c>
      <c r="F15" s="15">
        <f>VLOOKUP(C15,'Functional Assignment'!$C$1:$AR$730,8,)</f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0</v>
      </c>
      <c r="K15" s="15">
        <f>(VLOOKUP($E15,$D$6:$AI$659,8,)/VLOOKUP($E15,$D$6:$AI$659,3,))*$F15</f>
        <v>0</v>
      </c>
      <c r="L15" s="15">
        <f>(VLOOKUP($E15,$D$6:$AI$659,L$2,)/VLOOKUP($E15,$D$6:$AI$659,3,))*$F15</f>
        <v>0</v>
      </c>
      <c r="M15" s="15">
        <f>(VLOOKUP($E15,$D$6:$AI$659,M$2,)/VLOOKUP($E15,$D$6:$AI$659,3,))*$F15</f>
        <v>0</v>
      </c>
      <c r="N15" s="15">
        <f>(VLOOKUP($E15,$D$6:$AI$659,11,)/VLOOKUP($E15,$D$6:$AI$659,3,))*$F15</f>
        <v>0</v>
      </c>
      <c r="O15" s="15">
        <f t="shared" si="5"/>
        <v>0</v>
      </c>
      <c r="P15" s="15">
        <f t="shared" si="5"/>
        <v>0</v>
      </c>
      <c r="Q15" s="15">
        <f t="shared" si="5"/>
        <v>0</v>
      </c>
      <c r="R15" s="15">
        <f>(VLOOKUP($E15,$D$6:$AI$659,15,)/VLOOKUP($E15,$D$6:$AI$659,3,))*$F15</f>
        <v>0</v>
      </c>
      <c r="S15" s="15">
        <f>(VLOOKUP($E15,$D$6:$AI$659,16,)/VLOOKUP($E15,$D$6:$AI$659,3,))*$F15</f>
        <v>0</v>
      </c>
      <c r="T15" s="15">
        <f>(VLOOKUP($E15,$D$6:$AI$659,17,)/VLOOKUP($E15,$D$6:$AI$659,3,))*$F15</f>
        <v>0</v>
      </c>
      <c r="U15" s="148">
        <f>SUM(G15:M15)</f>
        <v>0</v>
      </c>
      <c r="V15" s="133" t="str">
        <f>IF(ABS(F15-U15)&lt;0.01,"ok","err")</f>
        <v>ok</v>
      </c>
    </row>
    <row r="16" spans="1:24" x14ac:dyDescent="0.25">
      <c r="A16" s="140" t="s">
        <v>227</v>
      </c>
      <c r="F16" s="147">
        <f>SUM(F14:F15)</f>
        <v>178728014.87038416</v>
      </c>
      <c r="G16" s="147">
        <f t="shared" ref="G16:T16" si="6">G14+G15</f>
        <v>119039286.42431287</v>
      </c>
      <c r="H16" s="147">
        <f t="shared" si="6"/>
        <v>53570566.144807473</v>
      </c>
      <c r="I16" s="147">
        <f t="shared" si="6"/>
        <v>4558642.362725026</v>
      </c>
      <c r="J16" s="147">
        <f t="shared" si="6"/>
        <v>0</v>
      </c>
      <c r="K16" s="147">
        <f t="shared" si="6"/>
        <v>1559519.9385387849</v>
      </c>
      <c r="L16" s="147">
        <f t="shared" si="6"/>
        <v>0</v>
      </c>
      <c r="M16" s="147">
        <f t="shared" si="6"/>
        <v>0</v>
      </c>
      <c r="N16" s="147">
        <f t="shared" si="6"/>
        <v>1559519.9385387849</v>
      </c>
      <c r="O16" s="147">
        <f t="shared" si="6"/>
        <v>0</v>
      </c>
      <c r="P16" s="147">
        <f t="shared" si="6"/>
        <v>0</v>
      </c>
      <c r="Q16" s="147">
        <f t="shared" si="6"/>
        <v>0</v>
      </c>
      <c r="R16" s="147">
        <f t="shared" si="6"/>
        <v>0</v>
      </c>
      <c r="S16" s="147">
        <f t="shared" si="6"/>
        <v>0</v>
      </c>
      <c r="T16" s="147">
        <f t="shared" si="6"/>
        <v>0</v>
      </c>
      <c r="U16" s="148">
        <f>SUM(G16:M16)</f>
        <v>178728014.87038416</v>
      </c>
      <c r="V16" s="133" t="str">
        <f>IF(ABS(F16-U16)&lt;0.01,"ok","err")</f>
        <v>ok</v>
      </c>
    </row>
    <row r="17" spans="1:23" x14ac:dyDescent="0.25">
      <c r="F17" s="15"/>
      <c r="G17" s="15"/>
    </row>
    <row r="18" spans="1:23" x14ac:dyDescent="0.25">
      <c r="A18" s="134" t="s">
        <v>4</v>
      </c>
      <c r="F18" s="15"/>
      <c r="G18" s="15"/>
    </row>
    <row r="19" spans="1:23" x14ac:dyDescent="0.25">
      <c r="A19" s="146" t="s">
        <v>870</v>
      </c>
      <c r="C19" s="140" t="s">
        <v>63</v>
      </c>
      <c r="D19" s="140" t="s">
        <v>235</v>
      </c>
      <c r="E19" s="140" t="s">
        <v>317</v>
      </c>
      <c r="F19" s="147">
        <f>VLOOKUP(C19,'Functional Assignment'!$C$1:$AR$730,9,)</f>
        <v>10079994.559464578</v>
      </c>
      <c r="G19" s="147">
        <f t="shared" ref="G19:J20" si="7">(VLOOKUP($E19,$D$6:$AI$659,G$2,)/VLOOKUP($E19,$D$6:$AI$659,3,))*$F19</f>
        <v>5472514.4151389524</v>
      </c>
      <c r="H19" s="147">
        <f t="shared" si="7"/>
        <v>2501058.0871977173</v>
      </c>
      <c r="I19" s="147">
        <f t="shared" si="7"/>
        <v>247446.39324969312</v>
      </c>
      <c r="J19" s="147">
        <f t="shared" si="7"/>
        <v>55309.192298451584</v>
      </c>
      <c r="K19" s="147">
        <f>(VLOOKUP($E19,$D$6:$AI$659,8,)/VLOOKUP($E19,$D$6:$AI$659,3,))*$F19</f>
        <v>1803666.4715797626</v>
      </c>
      <c r="L19" s="147">
        <f>(VLOOKUP($E19,$D$6:$AI$659,L$2,)/VLOOKUP($E19,$D$6:$AI$659,3,))*$F19</f>
        <v>0</v>
      </c>
      <c r="M19" s="147">
        <f>(VLOOKUP($E19,$D$6:$AI$659,M$2,)/VLOOKUP($E19,$D$6:$AI$659,3,))*$F19</f>
        <v>0</v>
      </c>
      <c r="N19" s="147">
        <f>(VLOOKUP($E19,$D$6:$AI$659,11,)/VLOOKUP($E19,$D$6:$AI$659,3,))*$F19</f>
        <v>0</v>
      </c>
      <c r="O19" s="147">
        <f t="shared" ref="O19:Q20" si="8">(VLOOKUP($E19,$D$6:$AI$659,O$2,)/VLOOKUP($E19,$D$6:$AI$659,3,))*$F19</f>
        <v>0</v>
      </c>
      <c r="P19" s="147">
        <f t="shared" si="8"/>
        <v>0</v>
      </c>
      <c r="Q19" s="147">
        <f t="shared" si="8"/>
        <v>0</v>
      </c>
      <c r="R19" s="147">
        <f>(VLOOKUP($E19,$D$6:$AI$659,15,)/VLOOKUP($E19,$D$6:$AI$659,3,))*$F19</f>
        <v>0</v>
      </c>
      <c r="S19" s="147">
        <f>(VLOOKUP($E19,$D$6:$AI$659,16,)/VLOOKUP($E19,$D$6:$AI$659,3,))*$F19</f>
        <v>0</v>
      </c>
      <c r="T19" s="147">
        <f>(VLOOKUP($E19,$D$6:$AI$659,17,)/VLOOKUP($E19,$D$6:$AI$659,3,))*$F19</f>
        <v>0</v>
      </c>
      <c r="U19" s="148">
        <f>SUM(G19:M19)</f>
        <v>10079994.559464578</v>
      </c>
      <c r="V19" s="133" t="str">
        <f>IF(ABS(F19-U19)&lt;0.01,"ok","err")</f>
        <v>ok</v>
      </c>
    </row>
    <row r="20" spans="1:23" x14ac:dyDescent="0.25">
      <c r="A20" s="140" t="s">
        <v>865</v>
      </c>
      <c r="C20" s="140" t="s">
        <v>63</v>
      </c>
      <c r="D20" s="140" t="s">
        <v>236</v>
      </c>
      <c r="E20" s="140" t="s">
        <v>314</v>
      </c>
      <c r="F20" s="15">
        <f>VLOOKUP(C20,'Functional Assignment'!$C$1:$AR$730,10,)</f>
        <v>47754580.684860893</v>
      </c>
      <c r="G20" s="15">
        <f t="shared" si="7"/>
        <v>31806268.381264746</v>
      </c>
      <c r="H20" s="15">
        <f t="shared" si="7"/>
        <v>14313592.220845478</v>
      </c>
      <c r="I20" s="15">
        <f t="shared" si="7"/>
        <v>1218029.8353453605</v>
      </c>
      <c r="J20" s="15">
        <f t="shared" si="7"/>
        <v>0</v>
      </c>
      <c r="K20" s="15">
        <f>(VLOOKUP($E20,$D$6:$AI$659,8,)/VLOOKUP($E20,$D$6:$AI$659,3,))*$F20</f>
        <v>416690.24740530667</v>
      </c>
      <c r="L20" s="15">
        <f>(VLOOKUP($E20,$D$6:$AI$659,L$2,)/VLOOKUP($E20,$D$6:$AI$659,3,))*$F20</f>
        <v>0</v>
      </c>
      <c r="M20" s="15">
        <f>(VLOOKUP($E20,$D$6:$AI$659,M$2,)/VLOOKUP($E20,$D$6:$AI$659,3,))*$F20</f>
        <v>0</v>
      </c>
      <c r="N20" s="15">
        <f>(VLOOKUP($E20,$D$6:$AI$659,11,)/VLOOKUP($E20,$D$6:$AI$659,3,))*$F20</f>
        <v>416690.24740530667</v>
      </c>
      <c r="O20" s="15">
        <f t="shared" si="8"/>
        <v>0</v>
      </c>
      <c r="P20" s="15">
        <f t="shared" si="8"/>
        <v>0</v>
      </c>
      <c r="Q20" s="15">
        <f t="shared" si="8"/>
        <v>0</v>
      </c>
      <c r="R20" s="15">
        <f>(VLOOKUP($E20,$D$6:$AI$659,15,)/VLOOKUP($E20,$D$6:$AI$659,3,))*$F20</f>
        <v>0</v>
      </c>
      <c r="S20" s="15">
        <f>(VLOOKUP($E20,$D$6:$AI$659,16,)/VLOOKUP($E20,$D$6:$AI$659,3,))*$F20</f>
        <v>0</v>
      </c>
      <c r="T20" s="15">
        <f>(VLOOKUP($E20,$D$6:$AI$659,17,)/VLOOKUP($E20,$D$6:$AI$659,3,))*$F20</f>
        <v>0</v>
      </c>
      <c r="U20" s="148">
        <f>SUM(G20:M20)</f>
        <v>47754580.684860885</v>
      </c>
      <c r="V20" s="133" t="str">
        <f>IF(ABS(F20-U20)&lt;0.01,"ok","err")</f>
        <v>ok</v>
      </c>
    </row>
    <row r="21" spans="1:23" x14ac:dyDescent="0.25">
      <c r="A21" s="140" t="s">
        <v>228</v>
      </c>
      <c r="F21" s="147">
        <f>SUM(F19:F20)</f>
        <v>57834575.244325474</v>
      </c>
      <c r="G21" s="147">
        <f t="shared" ref="G21:T21" si="9">G19+G20</f>
        <v>37278782.796403699</v>
      </c>
      <c r="H21" s="147">
        <f t="shared" si="9"/>
        <v>16814650.308043197</v>
      </c>
      <c r="I21" s="147">
        <f t="shared" si="9"/>
        <v>1465476.2285950535</v>
      </c>
      <c r="J21" s="147">
        <f t="shared" si="9"/>
        <v>55309.192298451584</v>
      </c>
      <c r="K21" s="147">
        <f t="shared" si="9"/>
        <v>2220356.7189850695</v>
      </c>
      <c r="L21" s="147">
        <f t="shared" si="9"/>
        <v>0</v>
      </c>
      <c r="M21" s="147">
        <f t="shared" si="9"/>
        <v>0</v>
      </c>
      <c r="N21" s="147">
        <f t="shared" si="9"/>
        <v>416690.24740530667</v>
      </c>
      <c r="O21" s="147">
        <f t="shared" si="9"/>
        <v>0</v>
      </c>
      <c r="P21" s="147">
        <f t="shared" si="9"/>
        <v>0</v>
      </c>
      <c r="Q21" s="147">
        <f t="shared" si="9"/>
        <v>0</v>
      </c>
      <c r="R21" s="147">
        <f t="shared" si="9"/>
        <v>0</v>
      </c>
      <c r="S21" s="147">
        <f t="shared" si="9"/>
        <v>0</v>
      </c>
      <c r="T21" s="147">
        <f t="shared" si="9"/>
        <v>0</v>
      </c>
      <c r="U21" s="148">
        <f>SUM(G21:M21)</f>
        <v>57834575.244325474</v>
      </c>
      <c r="V21" s="133" t="str">
        <f>IF(ABS(F21-U21)&lt;0.01,"ok","err")</f>
        <v>ok</v>
      </c>
    </row>
    <row r="22" spans="1:23" x14ac:dyDescent="0.25">
      <c r="F22" s="15"/>
    </row>
    <row r="23" spans="1:23" x14ac:dyDescent="0.25">
      <c r="A23" s="134" t="s">
        <v>6</v>
      </c>
      <c r="F23" s="15"/>
    </row>
    <row r="24" spans="1:23" x14ac:dyDescent="0.25">
      <c r="A24" s="140" t="s">
        <v>226</v>
      </c>
      <c r="C24" s="140" t="s">
        <v>63</v>
      </c>
      <c r="D24" s="140" t="s">
        <v>237</v>
      </c>
      <c r="E24" s="140" t="s">
        <v>316</v>
      </c>
      <c r="F24" s="147">
        <f>VLOOKUP(C24,'Functional Assignment'!$C$1:$AR$730,11,)</f>
        <v>0</v>
      </c>
      <c r="G24" s="147">
        <f>(VLOOKUP($E24,$D$6:$AI$659,G$2,)/VLOOKUP($E24,$D$6:$AI$659,3,))*$F24</f>
        <v>0</v>
      </c>
      <c r="H24" s="147">
        <f>(VLOOKUP($E24,$D$6:$AI$659,H$2,)/VLOOKUP($E24,$D$6:$AI$659,3,))*$F24</f>
        <v>0</v>
      </c>
      <c r="I24" s="147">
        <f>(VLOOKUP($E24,$D$6:$AI$659,I$2,)/VLOOKUP($E24,$D$6:$AI$659,3,))*$F24</f>
        <v>0</v>
      </c>
      <c r="J24" s="147">
        <f>(VLOOKUP($E24,$D$6:$AI$659,J$2,)/VLOOKUP($E24,$D$6:$AI$659,3,))*$F24</f>
        <v>0</v>
      </c>
      <c r="K24" s="147">
        <f>(VLOOKUP($E24,$D$6:$AI$659,8,)/VLOOKUP($E24,$D$6:$AI$659,3,))*$F24</f>
        <v>0</v>
      </c>
      <c r="L24" s="147">
        <f>(VLOOKUP($E24,$D$6:$AI$659,L$2,)/VLOOKUP($E24,$D$6:$AI$659,3,))*$F24</f>
        <v>0</v>
      </c>
      <c r="M24" s="147">
        <f>(VLOOKUP($E24,$D$6:$AI$659,M$2,)/VLOOKUP($E24,$D$6:$AI$659,3,))*$F24</f>
        <v>0</v>
      </c>
      <c r="N24" s="147">
        <f>(VLOOKUP($E24,$D$6:$AI$659,11,)/VLOOKUP($E24,$D$6:$AI$659,3,))*$F24</f>
        <v>0</v>
      </c>
      <c r="O24" s="147">
        <f>(VLOOKUP($E24,$D$6:$AI$659,O$2,)/VLOOKUP($E24,$D$6:$AI$659,3,))*$F24</f>
        <v>0</v>
      </c>
      <c r="P24" s="147">
        <f>(VLOOKUP($E24,$D$6:$AI$659,P$2,)/VLOOKUP($E24,$D$6:$AI$659,3,))*$F24</f>
        <v>0</v>
      </c>
      <c r="Q24" s="147">
        <f>(VLOOKUP($E24,$D$6:$AI$659,Q$2,)/VLOOKUP($E24,$D$6:$AI$659,3,))*$F24</f>
        <v>0</v>
      </c>
      <c r="R24" s="147">
        <f>(VLOOKUP($E24,$D$6:$AI$659,15,)/VLOOKUP($E24,$D$6:$AI$659,3,))*$F24</f>
        <v>0</v>
      </c>
      <c r="S24" s="147">
        <f>(VLOOKUP($E24,$D$6:$AI$659,16,)/VLOOKUP($E24,$D$6:$AI$659,3,))*$F24</f>
        <v>0</v>
      </c>
      <c r="T24" s="147">
        <f>(VLOOKUP($E24,$D$6:$AI$659,17,)/VLOOKUP($E24,$D$6:$AI$659,3,))*$F24</f>
        <v>0</v>
      </c>
      <c r="U24" s="148">
        <f>SUM(G24:M24)</f>
        <v>0</v>
      </c>
      <c r="V24" s="133" t="str">
        <f>IF(ABS(F24-U24)&lt;0.01,"ok","err")</f>
        <v>ok</v>
      </c>
    </row>
    <row r="25" spans="1:23" x14ac:dyDescent="0.25">
      <c r="A25" s="14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48">
        <f>SUM(G25:M25)</f>
        <v>0</v>
      </c>
      <c r="V25" s="133"/>
    </row>
    <row r="26" spans="1:23" x14ac:dyDescent="0.25">
      <c r="A26" s="134" t="s">
        <v>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48">
        <f>SUM(G26:M26)</f>
        <v>0</v>
      </c>
      <c r="V26" s="133"/>
    </row>
    <row r="27" spans="1:23" x14ac:dyDescent="0.25">
      <c r="A27" s="146" t="s">
        <v>207</v>
      </c>
      <c r="C27" s="140" t="s">
        <v>63</v>
      </c>
      <c r="D27" s="140" t="s">
        <v>238</v>
      </c>
      <c r="E27" s="140" t="s">
        <v>317</v>
      </c>
      <c r="F27" s="147">
        <f>VLOOKUP(C27,'Functional Assignment'!$C$1:$AR$730,12,)</f>
        <v>40891285.629630543</v>
      </c>
      <c r="G27" s="147">
        <f>(VLOOKUP($E27,$D$6:$AI$659,G$2,)/VLOOKUP($E27,$D$6:$AI$659,3,))*$F27</f>
        <v>22200225.282026734</v>
      </c>
      <c r="H27" s="147">
        <f>(VLOOKUP($E27,$D$6:$AI$659,H$2,)/VLOOKUP($E27,$D$6:$AI$659,3,))*$F27</f>
        <v>10145985.696378358</v>
      </c>
      <c r="I27" s="147">
        <f>(VLOOKUP($E27,$D$6:$AI$659,I$2,)/VLOOKUP($E27,$D$6:$AI$659,3,))*$F27</f>
        <v>1003810.1791329287</v>
      </c>
      <c r="J27" s="147">
        <f>(VLOOKUP($E27,$D$6:$AI$659,J$2,)/VLOOKUP($E27,$D$6:$AI$659,3,))*$F27</f>
        <v>224371.54771046614</v>
      </c>
      <c r="K27" s="147">
        <f>(VLOOKUP($E27,$D$6:$AI$659,8,)/VLOOKUP($E27,$D$6:$AI$659,3,))*$F27</f>
        <v>7316892.9243820542</v>
      </c>
      <c r="L27" s="147">
        <f>(VLOOKUP($E27,$D$6:$AI$659,L$2,)/VLOOKUP($E27,$D$6:$AI$659,3,))*$F27</f>
        <v>0</v>
      </c>
      <c r="M27" s="147">
        <f>(VLOOKUP($E27,$D$6:$AI$659,M$2,)/VLOOKUP($E27,$D$6:$AI$659,3,))*$F27</f>
        <v>0</v>
      </c>
      <c r="N27" s="147">
        <f>(VLOOKUP($E27,$D$6:$AI$659,11,)/VLOOKUP($E27,$D$6:$AI$659,3,))*$F27</f>
        <v>0</v>
      </c>
      <c r="O27" s="147">
        <f>(VLOOKUP($E27,$D$6:$AI$659,O$2,)/VLOOKUP($E27,$D$6:$AI$659,3,))*$F27</f>
        <v>0</v>
      </c>
      <c r="P27" s="147">
        <f>(VLOOKUP($E27,$D$6:$AI$659,P$2,)/VLOOKUP($E27,$D$6:$AI$659,3,))*$F27</f>
        <v>0</v>
      </c>
      <c r="Q27" s="147">
        <f>(VLOOKUP($E27,$D$6:$AI$659,Q$2,)/VLOOKUP($E27,$D$6:$AI$659,3,))*$F27</f>
        <v>0</v>
      </c>
      <c r="R27" s="147">
        <f>(VLOOKUP($E27,$D$6:$AI$659,15,)/VLOOKUP($E27,$D$6:$AI$659,3,))*$F27</f>
        <v>0</v>
      </c>
      <c r="S27" s="147">
        <f>(VLOOKUP($E27,$D$6:$AI$659,16,)/VLOOKUP($E27,$D$6:$AI$659,3,))*$F27</f>
        <v>0</v>
      </c>
      <c r="T27" s="147">
        <f>(VLOOKUP($E27,$D$6:$AI$659,17,)/VLOOKUP($E27,$D$6:$AI$659,3,))*$F27</f>
        <v>0</v>
      </c>
      <c r="U27" s="148">
        <f>SUM(G27:M27)</f>
        <v>40891285.629630536</v>
      </c>
      <c r="V27" s="133" t="str">
        <f>IF(ABS(F27-U27)&lt;0.01,"ok","err")</f>
        <v>ok</v>
      </c>
      <c r="W27" s="148"/>
    </row>
    <row r="28" spans="1:23" x14ac:dyDescent="0.25">
      <c r="F28" s="15"/>
      <c r="U28" s="148"/>
      <c r="W28" s="148"/>
    </row>
    <row r="29" spans="1:23" x14ac:dyDescent="0.25">
      <c r="F29" s="15"/>
      <c r="U29" s="148"/>
      <c r="W29" s="148"/>
    </row>
    <row r="30" spans="1:23" x14ac:dyDescent="0.25">
      <c r="A30" s="134" t="s">
        <v>8</v>
      </c>
      <c r="F30" s="15"/>
      <c r="U30" s="148"/>
      <c r="W30" s="148"/>
    </row>
    <row r="31" spans="1:23" x14ac:dyDescent="0.25">
      <c r="A31" s="146" t="s">
        <v>680</v>
      </c>
      <c r="C31" s="140" t="s">
        <v>63</v>
      </c>
      <c r="D31" s="140" t="s">
        <v>239</v>
      </c>
      <c r="E31" s="140" t="s">
        <v>932</v>
      </c>
      <c r="F31" s="147">
        <f>VLOOKUP(C31,'Functional Assignment'!$C$1:$AR$730,13,)</f>
        <v>418728539.62901866</v>
      </c>
      <c r="G31" s="147">
        <f t="shared" ref="G31:J34" si="10">(VLOOKUP($E31,$D$6:$AI$659,G$2,)/VLOOKUP($E31,$D$6:$AI$659,3,))*$F31</f>
        <v>255973756.09567896</v>
      </c>
      <c r="H31" s="147">
        <f t="shared" si="10"/>
        <v>124571146.71853159</v>
      </c>
      <c r="I31" s="147">
        <f t="shared" si="10"/>
        <v>17025093.347476419</v>
      </c>
      <c r="J31" s="147">
        <f t="shared" si="10"/>
        <v>3182889.2505552787</v>
      </c>
      <c r="K31" s="147">
        <f>(VLOOKUP($E31,$D$6:$AI$659,8,)/VLOOKUP($E31,$D$6:$AI$659,3,))*$F31</f>
        <v>17975654.216776494</v>
      </c>
      <c r="L31" s="147">
        <f t="shared" ref="L31:M34" si="11">(VLOOKUP($E31,$D$6:$AI$659,L$2,)/VLOOKUP($E31,$D$6:$AI$659,3,))*$F31</f>
        <v>0</v>
      </c>
      <c r="M31" s="147">
        <f t="shared" si="11"/>
        <v>0</v>
      </c>
      <c r="N31" s="147">
        <f>(VLOOKUP($E31,$D$6:$AI$659,11,)/VLOOKUP($E31,$D$6:$AI$659,3,))*$F31</f>
        <v>0</v>
      </c>
      <c r="O31" s="147">
        <f t="shared" ref="O31:Q34" si="12">(VLOOKUP($E31,$D$6:$AI$659,O$2,)/VLOOKUP($E31,$D$6:$AI$659,3,))*$F31</f>
        <v>0</v>
      </c>
      <c r="P31" s="147">
        <f t="shared" si="12"/>
        <v>0</v>
      </c>
      <c r="Q31" s="147">
        <f t="shared" si="12"/>
        <v>0</v>
      </c>
      <c r="R31" s="147">
        <f>(VLOOKUP($E31,$D$6:$AI$659,15,)/VLOOKUP($E31,$D$6:$AI$659,3,))*$F31</f>
        <v>0</v>
      </c>
      <c r="S31" s="147">
        <f>(VLOOKUP($E31,$D$6:$AI$659,16,)/VLOOKUP($E31,$D$6:$AI$659,3,))*$F31</f>
        <v>0</v>
      </c>
      <c r="T31" s="147">
        <f>(VLOOKUP($E31,$D$6:$AI$659,17,)/VLOOKUP($E31,$D$6:$AI$659,3,))*$F31</f>
        <v>0</v>
      </c>
      <c r="U31" s="148">
        <f>SUM(G31:M31)</f>
        <v>418728539.62901872</v>
      </c>
      <c r="V31" s="133" t="str">
        <f>IF(ABS(F31-U31)&lt;0.01,"ok","err")</f>
        <v>ok</v>
      </c>
      <c r="W31" s="148"/>
    </row>
    <row r="32" spans="1:23" x14ac:dyDescent="0.25">
      <c r="A32" s="146" t="s">
        <v>679</v>
      </c>
      <c r="C32" s="140" t="s">
        <v>63</v>
      </c>
      <c r="D32" s="140" t="s">
        <v>240</v>
      </c>
      <c r="E32" s="140" t="s">
        <v>684</v>
      </c>
      <c r="F32" s="15">
        <f>VLOOKUP(C32,'Functional Assignment'!$C$1:$AR$730,14,)</f>
        <v>0</v>
      </c>
      <c r="G32" s="15">
        <f t="shared" si="10"/>
        <v>0</v>
      </c>
      <c r="H32" s="15">
        <f t="shared" si="10"/>
        <v>0</v>
      </c>
      <c r="I32" s="15">
        <f t="shared" si="10"/>
        <v>0</v>
      </c>
      <c r="J32" s="15">
        <f t="shared" si="10"/>
        <v>0</v>
      </c>
      <c r="K32" s="15">
        <f>(VLOOKUP($E32,$D$6:$AI$659,8,)/VLOOKUP($E32,$D$6:$AI$659,3,))*$F32</f>
        <v>0</v>
      </c>
      <c r="L32" s="15">
        <f t="shared" si="11"/>
        <v>0</v>
      </c>
      <c r="M32" s="15">
        <f t="shared" si="11"/>
        <v>0</v>
      </c>
      <c r="N32" s="15">
        <f>(VLOOKUP($E32,$D$6:$AI$659,11,)/VLOOKUP($E32,$D$6:$AI$659,3,))*$F32</f>
        <v>0</v>
      </c>
      <c r="O32" s="15">
        <f t="shared" si="12"/>
        <v>0</v>
      </c>
      <c r="P32" s="15">
        <f t="shared" si="12"/>
        <v>0</v>
      </c>
      <c r="Q32" s="15">
        <f t="shared" si="12"/>
        <v>0</v>
      </c>
      <c r="R32" s="15">
        <f>(VLOOKUP($E32,$D$6:$AI$659,15,)/VLOOKUP($E32,$D$6:$AI$659,3,))*$F32</f>
        <v>0</v>
      </c>
      <c r="S32" s="15">
        <f>(VLOOKUP($E32,$D$6:$AI$659,16,)/VLOOKUP($E32,$D$6:$AI$659,3,))*$F32</f>
        <v>0</v>
      </c>
      <c r="T32" s="15">
        <f>(VLOOKUP($E32,$D$6:$AI$659,17,)/VLOOKUP($E32,$D$6:$AI$659,3,))*$F32</f>
        <v>0</v>
      </c>
      <c r="U32" s="148">
        <f>SUM(G32:M32)</f>
        <v>0</v>
      </c>
      <c r="V32" s="133" t="str">
        <f>IF(ABS(F32-U32)&lt;0.01,"ok","err")</f>
        <v>ok</v>
      </c>
      <c r="W32" s="148"/>
    </row>
    <row r="33" spans="1:23" x14ac:dyDescent="0.25">
      <c r="A33" s="146" t="s">
        <v>681</v>
      </c>
      <c r="C33" s="140" t="s">
        <v>63</v>
      </c>
      <c r="D33" s="140" t="s">
        <v>239</v>
      </c>
      <c r="E33" s="140" t="s">
        <v>931</v>
      </c>
      <c r="F33" s="15">
        <f>VLOOKUP(C33,'Functional Assignment'!$C$1:$AR$730,15,)</f>
        <v>45959891.387619331</v>
      </c>
      <c r="G33" s="15">
        <f t="shared" si="10"/>
        <v>22599577.474284749</v>
      </c>
      <c r="H33" s="15">
        <f t="shared" si="10"/>
        <v>10960574.221753683</v>
      </c>
      <c r="I33" s="15">
        <f t="shared" si="10"/>
        <v>1574974.9364398306</v>
      </c>
      <c r="J33" s="15">
        <f t="shared" si="10"/>
        <v>325341.62374923291</v>
      </c>
      <c r="K33" s="15">
        <f>(VLOOKUP($E33,$D$6:$AI$659,8,)/VLOOKUP($E33,$D$6:$AI$659,3,))*$F33</f>
        <v>10499423.131391836</v>
      </c>
      <c r="L33" s="15">
        <f t="shared" si="11"/>
        <v>0</v>
      </c>
      <c r="M33" s="15">
        <f t="shared" si="11"/>
        <v>0</v>
      </c>
      <c r="N33" s="15">
        <f>(VLOOKUP($E33,$D$6:$AI$659,11,)/VLOOKUP($E33,$D$6:$AI$659,3,))*$F33</f>
        <v>0</v>
      </c>
      <c r="O33" s="15">
        <f t="shared" si="12"/>
        <v>0</v>
      </c>
      <c r="P33" s="15">
        <f t="shared" si="12"/>
        <v>0</v>
      </c>
      <c r="Q33" s="15">
        <f t="shared" si="12"/>
        <v>0</v>
      </c>
      <c r="R33" s="15"/>
      <c r="S33" s="15"/>
      <c r="T33" s="15"/>
      <c r="U33" s="148">
        <f>SUM(G33:M33)</f>
        <v>45959891.387619331</v>
      </c>
      <c r="V33" s="133" t="str">
        <f>IF(ABS(F33-U33)&lt;0.01,"ok","err")</f>
        <v>ok</v>
      </c>
      <c r="W33" s="148"/>
    </row>
    <row r="34" spans="1:23" x14ac:dyDescent="0.25">
      <c r="A34" s="146" t="s">
        <v>678</v>
      </c>
      <c r="C34" s="140" t="s">
        <v>63</v>
      </c>
      <c r="D34" s="140" t="s">
        <v>240</v>
      </c>
      <c r="E34" s="140" t="s">
        <v>319</v>
      </c>
      <c r="F34" s="15">
        <f>VLOOKUP(C34,'Functional Assignment'!$C$1:$AR$730,16,)</f>
        <v>0</v>
      </c>
      <c r="G34" s="15">
        <f t="shared" si="10"/>
        <v>0</v>
      </c>
      <c r="H34" s="15">
        <f t="shared" si="10"/>
        <v>0</v>
      </c>
      <c r="I34" s="15">
        <f t="shared" si="10"/>
        <v>0</v>
      </c>
      <c r="J34" s="15">
        <f t="shared" si="10"/>
        <v>0</v>
      </c>
      <c r="K34" s="15">
        <f>(VLOOKUP($E34,$D$6:$AI$659,8,)/VLOOKUP($E34,$D$6:$AI$659,3,))*$F34</f>
        <v>0</v>
      </c>
      <c r="L34" s="15">
        <f t="shared" si="11"/>
        <v>0</v>
      </c>
      <c r="M34" s="15">
        <f t="shared" si="11"/>
        <v>0</v>
      </c>
      <c r="N34" s="15">
        <f>(VLOOKUP($E34,$D$6:$AI$659,11,)/VLOOKUP($E34,$D$6:$AI$659,3,))*$F34</f>
        <v>0</v>
      </c>
      <c r="O34" s="15">
        <f t="shared" si="12"/>
        <v>0</v>
      </c>
      <c r="P34" s="15">
        <f t="shared" si="12"/>
        <v>0</v>
      </c>
      <c r="Q34" s="15">
        <f t="shared" si="12"/>
        <v>0</v>
      </c>
      <c r="R34" s="15"/>
      <c r="S34" s="15"/>
      <c r="T34" s="15"/>
      <c r="U34" s="148"/>
      <c r="V34" s="133" t="str">
        <f>IF(ABS(F34-U34)&lt;0.01,"ok","err")</f>
        <v>ok</v>
      </c>
      <c r="W34" s="148"/>
    </row>
    <row r="35" spans="1:23" x14ac:dyDescent="0.25">
      <c r="A35" s="140" t="s">
        <v>229</v>
      </c>
      <c r="D35" s="140" t="s">
        <v>768</v>
      </c>
      <c r="F35" s="147">
        <f>SUM(F31:F34)</f>
        <v>464688431.01663798</v>
      </c>
      <c r="G35" s="147">
        <f t="shared" ref="G35:Q35" si="13">SUM(G31:G34)</f>
        <v>278573333.56996369</v>
      </c>
      <c r="H35" s="147">
        <f t="shared" si="13"/>
        <v>135531720.94028527</v>
      </c>
      <c r="I35" s="147">
        <f t="shared" si="13"/>
        <v>18600068.28391625</v>
      </c>
      <c r="J35" s="147">
        <f t="shared" si="13"/>
        <v>3508230.8743045116</v>
      </c>
      <c r="K35" s="147">
        <f t="shared" si="13"/>
        <v>28475077.348168328</v>
      </c>
      <c r="L35" s="147">
        <f t="shared" si="13"/>
        <v>0</v>
      </c>
      <c r="M35" s="147">
        <f t="shared" si="13"/>
        <v>0</v>
      </c>
      <c r="N35" s="147">
        <f t="shared" si="13"/>
        <v>0</v>
      </c>
      <c r="O35" s="147">
        <f t="shared" si="13"/>
        <v>0</v>
      </c>
      <c r="P35" s="147">
        <f t="shared" si="13"/>
        <v>0</v>
      </c>
      <c r="Q35" s="147">
        <f t="shared" si="13"/>
        <v>0</v>
      </c>
      <c r="R35" s="147">
        <f>R31+R32</f>
        <v>0</v>
      </c>
      <c r="S35" s="147">
        <f>S31+S32</f>
        <v>0</v>
      </c>
      <c r="T35" s="147">
        <f>T31+T32</f>
        <v>0</v>
      </c>
      <c r="U35" s="148">
        <f>SUM(G35:M35)</f>
        <v>464688431.01663804</v>
      </c>
      <c r="V35" s="133" t="str">
        <f>IF(ABS(F35-U35)&lt;0.01,"ok","err")</f>
        <v>ok</v>
      </c>
      <c r="W35" s="148"/>
    </row>
    <row r="36" spans="1:23" x14ac:dyDescent="0.25">
      <c r="F36" s="15"/>
      <c r="U36" s="148"/>
      <c r="W36" s="148"/>
    </row>
    <row r="37" spans="1:23" x14ac:dyDescent="0.25">
      <c r="A37" s="134" t="s">
        <v>10</v>
      </c>
      <c r="F37" s="15"/>
      <c r="U37" s="148"/>
      <c r="W37" s="148"/>
    </row>
    <row r="38" spans="1:23" x14ac:dyDescent="0.25">
      <c r="A38" s="146" t="s">
        <v>208</v>
      </c>
      <c r="C38" s="140" t="s">
        <v>63</v>
      </c>
      <c r="D38" s="140" t="s">
        <v>234</v>
      </c>
      <c r="E38" s="140" t="s">
        <v>320</v>
      </c>
      <c r="F38" s="147">
        <f>VLOOKUP(C38,'Functional Assignment'!$C$1:$AR$730,17,)</f>
        <v>407895923.11960661</v>
      </c>
      <c r="G38" s="147">
        <f>(VLOOKUP($E38,$D$6:$AI$659,G$2,)/VLOOKUP($E38,$D$6:$AI$659,3,))*$F38</f>
        <v>303436554.55166245</v>
      </c>
      <c r="H38" s="147">
        <f>(VLOOKUP($E38,$D$6:$AI$659,H$2,)/VLOOKUP($E38,$D$6:$AI$659,3,))*$F38</f>
        <v>97935053.768361077</v>
      </c>
      <c r="I38" s="147">
        <f>(VLOOKUP($E38,$D$6:$AI$659,I$2,)/VLOOKUP($E38,$D$6:$AI$659,3,))*$F38</f>
        <v>2733366.0280164117</v>
      </c>
      <c r="J38" s="147">
        <f>(VLOOKUP($E38,$D$6:$AI$659,J$2,)/VLOOKUP($E38,$D$6:$AI$659,3,))*$F38</f>
        <v>61309.14455363914</v>
      </c>
      <c r="K38" s="147">
        <f>(VLOOKUP($E38,$D$6:$AI$659,8,)/VLOOKUP($E38,$D$6:$AI$659,3,))*$F38</f>
        <v>3729639.6270130477</v>
      </c>
      <c r="L38" s="147">
        <f>(VLOOKUP($E38,$D$6:$AI$659,L$2,)/VLOOKUP($E38,$D$6:$AI$659,3,))*$F38</f>
        <v>0</v>
      </c>
      <c r="M38" s="147">
        <f>(VLOOKUP($E38,$D$6:$AI$659,M$2,)/VLOOKUP($E38,$D$6:$AI$659,3,))*$F38</f>
        <v>0</v>
      </c>
      <c r="N38" s="147">
        <f>(VLOOKUP($E38,$D$6:$AI$659,11,)/VLOOKUP($E38,$D$6:$AI$659,3,))*$F38</f>
        <v>0</v>
      </c>
      <c r="O38" s="147">
        <f>(VLOOKUP($E38,$D$6:$AI$659,O$2,)/VLOOKUP($E38,$D$6:$AI$659,3,))*$F38</f>
        <v>0</v>
      </c>
      <c r="P38" s="147">
        <f>(VLOOKUP($E38,$D$6:$AI$659,P$2,)/VLOOKUP($E38,$D$6:$AI$659,3,))*$F38</f>
        <v>0</v>
      </c>
      <c r="Q38" s="147">
        <f>(VLOOKUP($E38,$D$6:$AI$659,Q$2,)/VLOOKUP($E38,$D$6:$AI$659,3,))*$F38</f>
        <v>0</v>
      </c>
      <c r="R38" s="147">
        <f>(VLOOKUP($E38,$D$6:$AI$659,15,)/VLOOKUP($E38,$D$6:$AI$659,3,))*$F38</f>
        <v>0</v>
      </c>
      <c r="S38" s="147">
        <f>(VLOOKUP($E38,$D$6:$AI$659,16,)/VLOOKUP($E38,$D$6:$AI$659,3,))*$F38</f>
        <v>0</v>
      </c>
      <c r="T38" s="147">
        <f>(VLOOKUP($E38,$D$6:$AI$659,17,)/VLOOKUP($E38,$D$6:$AI$659,3,))*$F38</f>
        <v>0</v>
      </c>
      <c r="U38" s="148">
        <f>SUM(G38:M38)</f>
        <v>407895923.11960661</v>
      </c>
      <c r="V38" s="133" t="str">
        <f>IF(ABS(F38-U38)&lt;0.01,"ok","err")</f>
        <v>ok</v>
      </c>
      <c r="W38" s="148"/>
    </row>
    <row r="39" spans="1:23" x14ac:dyDescent="0.25">
      <c r="F39" s="15"/>
      <c r="U39" s="148"/>
    </row>
    <row r="40" spans="1:23" x14ac:dyDescent="0.25">
      <c r="A40" s="134" t="s">
        <v>11</v>
      </c>
      <c r="F40" s="15"/>
      <c r="U40" s="148"/>
    </row>
    <row r="41" spans="1:23" x14ac:dyDescent="0.25">
      <c r="A41" s="146" t="s">
        <v>208</v>
      </c>
      <c r="C41" s="140" t="s">
        <v>63</v>
      </c>
      <c r="D41" s="140" t="s">
        <v>241</v>
      </c>
      <c r="E41" s="140" t="s">
        <v>321</v>
      </c>
      <c r="F41" s="147">
        <f>VLOOKUP(C41,'Functional Assignment'!$C$1:$AR$730,18,)</f>
        <v>94575390.802952781</v>
      </c>
      <c r="G41" s="147">
        <f>(VLOOKUP($E41,$D$6:$AI$659,G$2,)/VLOOKUP($E41,$D$6:$AI$659,3,))*$F41</f>
        <v>63557578.862430096</v>
      </c>
      <c r="H41" s="147">
        <f>(VLOOKUP($E41,$D$6:$AI$659,H$2,)/VLOOKUP($E41,$D$6:$AI$659,3,))*$F41</f>
        <v>26103938.257877436</v>
      </c>
      <c r="I41" s="147">
        <f>(VLOOKUP($E41,$D$6:$AI$659,I$2,)/VLOOKUP($E41,$D$6:$AI$659,3,))*$F41</f>
        <v>2145267.0964458189</v>
      </c>
      <c r="J41" s="147">
        <f>(VLOOKUP($E41,$D$6:$AI$659,J$2,)/VLOOKUP($E41,$D$6:$AI$659,3,))*$F41</f>
        <v>60545.828936828148</v>
      </c>
      <c r="K41" s="147">
        <f>(VLOOKUP($E41,$D$6:$AI$659,8,)/VLOOKUP($E41,$D$6:$AI$659,3,))*$F41</f>
        <v>2708060.7572625829</v>
      </c>
      <c r="L41" s="147">
        <f>(VLOOKUP($E41,$D$6:$AI$659,L$2,)/VLOOKUP($E41,$D$6:$AI$659,3,))*$F41</f>
        <v>0</v>
      </c>
      <c r="M41" s="147">
        <f>(VLOOKUP($E41,$D$6:$AI$659,M$2,)/VLOOKUP($E41,$D$6:$AI$659,3,))*$F41</f>
        <v>0</v>
      </c>
      <c r="N41" s="147">
        <f>(VLOOKUP($E41,$D$6:$AI$659,11,)/VLOOKUP($E41,$D$6:$AI$659,3,))*$F41</f>
        <v>0</v>
      </c>
      <c r="O41" s="147">
        <f>(VLOOKUP($E41,$D$6:$AI$659,O$2,)/VLOOKUP($E41,$D$6:$AI$659,3,))*$F41</f>
        <v>0</v>
      </c>
      <c r="P41" s="147">
        <f>(VLOOKUP($E41,$D$6:$AI$659,P$2,)/VLOOKUP($E41,$D$6:$AI$659,3,))*$F41</f>
        <v>0</v>
      </c>
      <c r="Q41" s="147">
        <f>(VLOOKUP($E41,$D$6:$AI$659,Q$2,)/VLOOKUP($E41,$D$6:$AI$659,3,))*$F41</f>
        <v>0</v>
      </c>
      <c r="R41" s="147">
        <f>(VLOOKUP($E41,$D$6:$AI$659,15,)/VLOOKUP($E41,$D$6:$AI$659,3,))*$F41</f>
        <v>0</v>
      </c>
      <c r="S41" s="147">
        <f>(VLOOKUP($E41,$D$6:$AI$659,16,)/VLOOKUP($E41,$D$6:$AI$659,3,))*$F41</f>
        <v>0</v>
      </c>
      <c r="T41" s="147">
        <f>(VLOOKUP($E41,$D$6:$AI$659,17,)/VLOOKUP($E41,$D$6:$AI$659,3,))*$F41</f>
        <v>0</v>
      </c>
      <c r="U41" s="148">
        <f>SUM(G41:M41)</f>
        <v>94575390.802952766</v>
      </c>
      <c r="V41" s="133" t="str">
        <f>IF(ABS(F41-U41)&lt;0.01,"ok","err")</f>
        <v>ok</v>
      </c>
    </row>
    <row r="42" spans="1:23" x14ac:dyDescent="0.25">
      <c r="F42" s="15"/>
      <c r="U42" s="148"/>
    </row>
    <row r="43" spans="1:23" x14ac:dyDescent="0.25">
      <c r="A43" s="134" t="s">
        <v>12</v>
      </c>
      <c r="F43" s="15"/>
      <c r="U43" s="148"/>
    </row>
    <row r="44" spans="1:23" x14ac:dyDescent="0.25">
      <c r="A44" s="146" t="s">
        <v>208</v>
      </c>
      <c r="C44" s="140" t="s">
        <v>63</v>
      </c>
      <c r="D44" s="140" t="s">
        <v>242</v>
      </c>
      <c r="E44" s="140" t="s">
        <v>322</v>
      </c>
      <c r="F44" s="147">
        <f>VLOOKUP(C44,'Functional Assignment'!$C$1:$AR$730,19,)</f>
        <v>0</v>
      </c>
      <c r="G44" s="147">
        <f>(VLOOKUP($E44,$D$6:$AI$659,G$2,)/VLOOKUP($E44,$D$6:$AI$659,3,))*$F44</f>
        <v>0</v>
      </c>
      <c r="H44" s="147">
        <f>(VLOOKUP($E44,$D$6:$AI$659,H$2,)/VLOOKUP($E44,$D$6:$AI$659,3,))*$F44</f>
        <v>0</v>
      </c>
      <c r="I44" s="147">
        <f>(VLOOKUP($E44,$D$6:$AI$659,I$2,)/VLOOKUP($E44,$D$6:$AI$659,3,))*$F44</f>
        <v>0</v>
      </c>
      <c r="J44" s="147">
        <f>(VLOOKUP($E44,$D$6:$AI$659,J$2,)/VLOOKUP($E44,$D$6:$AI$659,3,))*$F44</f>
        <v>0</v>
      </c>
      <c r="K44" s="147">
        <f>(VLOOKUP($E44,$D$6:$AI$659,8,)/VLOOKUP($E44,$D$6:$AI$659,3,))*$F44</f>
        <v>0</v>
      </c>
      <c r="L44" s="147">
        <f>(VLOOKUP($E44,$D$6:$AI$659,L$2,)/VLOOKUP($E44,$D$6:$AI$659,3,))*$F44</f>
        <v>0</v>
      </c>
      <c r="M44" s="147">
        <f>(VLOOKUP($E44,$D$6:$AI$659,M$2,)/VLOOKUP($E44,$D$6:$AI$659,3,))*$F44</f>
        <v>0</v>
      </c>
      <c r="N44" s="147">
        <f>(VLOOKUP($E44,$D$6:$AI$659,11,)/VLOOKUP($E44,$D$6:$AI$659,3,))*$F44</f>
        <v>0</v>
      </c>
      <c r="O44" s="147">
        <f>(VLOOKUP($E44,$D$6:$AI$659,O$2,)/VLOOKUP($E44,$D$6:$AI$659,3,))*$F44</f>
        <v>0</v>
      </c>
      <c r="P44" s="147">
        <f>(VLOOKUP($E44,$D$6:$AI$659,P$2,)/VLOOKUP($E44,$D$6:$AI$659,3,))*$F44</f>
        <v>0</v>
      </c>
      <c r="Q44" s="147">
        <f>(VLOOKUP($E44,$D$6:$AI$659,Q$2,)/VLOOKUP($E44,$D$6:$AI$659,3,))*$F44</f>
        <v>0</v>
      </c>
      <c r="R44" s="147">
        <f>(VLOOKUP($E44,$D$6:$AI$659,15,)/VLOOKUP($E44,$D$6:$AI$659,3,))*$F44</f>
        <v>0</v>
      </c>
      <c r="S44" s="147">
        <f>(VLOOKUP($E44,$D$6:$AI$659,16,)/VLOOKUP($E44,$D$6:$AI$659,3,))*$F44</f>
        <v>0</v>
      </c>
      <c r="T44" s="147">
        <f>(VLOOKUP($E44,$D$6:$AI$659,17,)/VLOOKUP($E44,$D$6:$AI$659,3,))*$F44</f>
        <v>0</v>
      </c>
      <c r="U44" s="148">
        <f>SUM(G44:M44)</f>
        <v>0</v>
      </c>
      <c r="V44" s="133" t="str">
        <f>IF(ABS(F44-U44)&lt;0.01,"ok","err")</f>
        <v>ok</v>
      </c>
    </row>
    <row r="45" spans="1:23" x14ac:dyDescent="0.25">
      <c r="F45" s="15"/>
      <c r="U45" s="148"/>
    </row>
    <row r="46" spans="1:23" x14ac:dyDescent="0.25">
      <c r="A46" s="134" t="s">
        <v>13</v>
      </c>
      <c r="F46" s="15"/>
      <c r="U46" s="148"/>
    </row>
    <row r="47" spans="1:23" x14ac:dyDescent="0.25">
      <c r="A47" s="146" t="s">
        <v>208</v>
      </c>
      <c r="C47" s="140" t="s">
        <v>63</v>
      </c>
      <c r="D47" s="140" t="s">
        <v>243</v>
      </c>
      <c r="E47" s="140" t="s">
        <v>323</v>
      </c>
      <c r="F47" s="147">
        <f>VLOOKUP(C47,'Functional Assignment'!$C$1:$AR$730,20,)</f>
        <v>0</v>
      </c>
      <c r="G47" s="147">
        <f>(VLOOKUP($E47,$D$6:$AI$659,G$2,)/VLOOKUP($E47,$D$6:$AI$659,3,))*$F47</f>
        <v>0</v>
      </c>
      <c r="H47" s="147">
        <f>(VLOOKUP($E47,$D$6:$AI$659,H$2,)/VLOOKUP($E47,$D$6:$AI$659,3,))*$F47</f>
        <v>0</v>
      </c>
      <c r="I47" s="147">
        <f>(VLOOKUP($E47,$D$6:$AI$659,I$2,)/VLOOKUP($E47,$D$6:$AI$659,3,))*$F47</f>
        <v>0</v>
      </c>
      <c r="J47" s="147">
        <f>(VLOOKUP($E47,$D$6:$AI$659,J$2,)/VLOOKUP($E47,$D$6:$AI$659,3,))*$F47</f>
        <v>0</v>
      </c>
      <c r="K47" s="147">
        <f>(VLOOKUP($E47,$D$6:$AI$659,8,)/VLOOKUP($E47,$D$6:$AI$659,3,))*$F47</f>
        <v>0</v>
      </c>
      <c r="L47" s="147">
        <f>(VLOOKUP($E47,$D$6:$AI$659,L$2,)/VLOOKUP($E47,$D$6:$AI$659,3,))*$F47</f>
        <v>0</v>
      </c>
      <c r="M47" s="147">
        <f>(VLOOKUP($E47,$D$6:$AI$659,M$2,)/VLOOKUP($E47,$D$6:$AI$659,3,))*$F47</f>
        <v>0</v>
      </c>
      <c r="N47" s="147">
        <f>(VLOOKUP($E47,$D$6:$AI$659,11,)/VLOOKUP($E47,$D$6:$AI$659,3,))*$F47</f>
        <v>0</v>
      </c>
      <c r="O47" s="147">
        <f>(VLOOKUP($E47,$D$6:$AI$659,O$2,)/VLOOKUP($E47,$D$6:$AI$659,3,))*$F47</f>
        <v>0</v>
      </c>
      <c r="P47" s="147">
        <f>(VLOOKUP($E47,$D$6:$AI$659,P$2,)/VLOOKUP($E47,$D$6:$AI$659,3,))*$F47</f>
        <v>0</v>
      </c>
      <c r="Q47" s="147">
        <f>(VLOOKUP($E47,$D$6:$AI$659,Q$2,)/VLOOKUP($E47,$D$6:$AI$659,3,))*$F47</f>
        <v>0</v>
      </c>
      <c r="R47" s="147">
        <f>(VLOOKUP($E47,$D$6:$AI$659,15,)/VLOOKUP($E47,$D$6:$AI$659,3,))*$F47</f>
        <v>0</v>
      </c>
      <c r="S47" s="147">
        <f>(VLOOKUP($E47,$D$6:$AI$659,16,)/VLOOKUP($E47,$D$6:$AI$659,3,))*$F47</f>
        <v>0</v>
      </c>
      <c r="T47" s="147">
        <f>(VLOOKUP($E47,$D$6:$AI$659,17,)/VLOOKUP($E47,$D$6:$AI$659,3,))*$F47</f>
        <v>0</v>
      </c>
      <c r="U47" s="148">
        <f>SUM(G47:M47)</f>
        <v>0</v>
      </c>
      <c r="V47" s="133" t="str">
        <f>IF(ABS(F47-U47)&lt;0.01,"ok","err")</f>
        <v>ok</v>
      </c>
    </row>
    <row r="48" spans="1:23" x14ac:dyDescent="0.25">
      <c r="F48" s="15"/>
      <c r="U48" s="148"/>
    </row>
    <row r="49" spans="1:24" x14ac:dyDescent="0.25">
      <c r="A49" s="140" t="s">
        <v>14</v>
      </c>
      <c r="D49" s="140" t="s">
        <v>209</v>
      </c>
      <c r="F49" s="147">
        <f t="shared" ref="F49:T49" si="14">F11+F16+F21+F24+F27+F35+F38+F41+F44+F47</f>
        <v>1244613620.6835375</v>
      </c>
      <c r="G49" s="147">
        <f t="shared" si="14"/>
        <v>824085761.48679948</v>
      </c>
      <c r="H49" s="147">
        <f t="shared" si="14"/>
        <v>340101915.11575276</v>
      </c>
      <c r="I49" s="147">
        <f t="shared" si="14"/>
        <v>30506630.178831488</v>
      </c>
      <c r="J49" s="147">
        <f t="shared" si="14"/>
        <v>3909766.5878038965</v>
      </c>
      <c r="K49" s="147">
        <f t="shared" si="14"/>
        <v>46009547.314349867</v>
      </c>
      <c r="L49" s="147">
        <f t="shared" si="14"/>
        <v>0</v>
      </c>
      <c r="M49" s="147">
        <f t="shared" si="14"/>
        <v>0</v>
      </c>
      <c r="N49" s="147">
        <f t="shared" si="14"/>
        <v>1976210.1859440915</v>
      </c>
      <c r="O49" s="147">
        <f t="shared" si="14"/>
        <v>0</v>
      </c>
      <c r="P49" s="147">
        <f t="shared" si="14"/>
        <v>0</v>
      </c>
      <c r="Q49" s="147">
        <f t="shared" si="14"/>
        <v>0</v>
      </c>
      <c r="R49" s="147">
        <f t="shared" si="14"/>
        <v>0</v>
      </c>
      <c r="S49" s="147">
        <f t="shared" si="14"/>
        <v>0</v>
      </c>
      <c r="T49" s="147">
        <f t="shared" si="14"/>
        <v>0</v>
      </c>
      <c r="U49" s="148">
        <f>SUM(G49:M49)</f>
        <v>1244613620.6835375</v>
      </c>
      <c r="V49" s="133" t="str">
        <f>IF(ABS(F49-U49)&lt;0.01,"ok","err")</f>
        <v>ok</v>
      </c>
      <c r="W49" s="148"/>
      <c r="X49" s="133"/>
    </row>
    <row r="50" spans="1:24" x14ac:dyDescent="0.25">
      <c r="U50" s="148"/>
    </row>
    <row r="51" spans="1:24" x14ac:dyDescent="0.25">
      <c r="U51" s="148"/>
    </row>
    <row r="52" spans="1:24" x14ac:dyDescent="0.25">
      <c r="U52" s="148"/>
    </row>
    <row r="53" spans="1:24" x14ac:dyDescent="0.25">
      <c r="U53" s="148"/>
    </row>
    <row r="54" spans="1:24" x14ac:dyDescent="0.25">
      <c r="A54" s="145" t="s">
        <v>245</v>
      </c>
      <c r="U54" s="148"/>
    </row>
    <row r="55" spans="1:24" x14ac:dyDescent="0.25">
      <c r="U55" s="148"/>
    </row>
    <row r="56" spans="1:24" x14ac:dyDescent="0.25">
      <c r="A56" s="134" t="s">
        <v>455</v>
      </c>
      <c r="U56" s="148"/>
    </row>
    <row r="57" spans="1:24" x14ac:dyDescent="0.25">
      <c r="A57" s="146" t="s">
        <v>207</v>
      </c>
      <c r="C57" s="140" t="s">
        <v>92</v>
      </c>
      <c r="D57" s="140" t="s">
        <v>256</v>
      </c>
      <c r="E57" s="140" t="s">
        <v>310</v>
      </c>
      <c r="F57" s="147">
        <f>VLOOKUP(C57,'Functional Assignment'!$C$1:$AR$730,5,)</f>
        <v>17092.484277896383</v>
      </c>
      <c r="G57" s="147">
        <f t="shared" ref="G57:J58" si="15">(VLOOKUP($E57,$D$6:$AI$659,G$2,)/VLOOKUP($E57,$D$6:$AI$659,3,))*$F57</f>
        <v>11301.976626355523</v>
      </c>
      <c r="H57" s="147">
        <f t="shared" si="15"/>
        <v>5165.2490790101147</v>
      </c>
      <c r="I57" s="147">
        <f t="shared" si="15"/>
        <v>511.03261510787615</v>
      </c>
      <c r="J57" s="147">
        <f t="shared" si="15"/>
        <v>114.22595742286967</v>
      </c>
      <c r="K57" s="147">
        <f>(VLOOKUP($E57,$D$6:$AI$659,8,)/VLOOKUP($E57,$D$6:$AI$659,3,))*$F57</f>
        <v>0</v>
      </c>
      <c r="L57" s="147">
        <f>(VLOOKUP($E57,$D$6:$AI$659,L$2,)/VLOOKUP($E57,$D$6:$AI$659,3,))*$F57</f>
        <v>0</v>
      </c>
      <c r="M57" s="147">
        <f>(VLOOKUP($E57,$D$6:$AI$659,M$2,)/VLOOKUP($E57,$D$6:$AI$659,3,))*$F57</f>
        <v>0</v>
      </c>
      <c r="N57" s="147">
        <f>(VLOOKUP($E57,$D$6:$AI$659,11,)/VLOOKUP($E57,$D$6:$AI$659,3,))*$F57</f>
        <v>0</v>
      </c>
      <c r="O57" s="147">
        <f t="shared" ref="O57:Q58" si="16">(VLOOKUP($E57,$D$6:$AI$659,O$2,)/VLOOKUP($E57,$D$6:$AI$659,3,))*$F57</f>
        <v>0</v>
      </c>
      <c r="P57" s="147">
        <f t="shared" si="16"/>
        <v>0</v>
      </c>
      <c r="Q57" s="147">
        <f t="shared" si="16"/>
        <v>0</v>
      </c>
      <c r="R57" s="147">
        <f>(VLOOKUP($E57,$D$6:$AI$659,15,)/VLOOKUP($E57,$D$6:$AI$659,3,))*$F57</f>
        <v>0</v>
      </c>
      <c r="S57" s="147">
        <f>(VLOOKUP($E57,$D$6:$AI$659,16,)/VLOOKUP($E57,$D$6:$AI$659,3,))*$F57</f>
        <v>0</v>
      </c>
      <c r="T57" s="147">
        <f>(VLOOKUP($E57,$D$6:$AI$659,17,)/VLOOKUP($E57,$D$6:$AI$659,3,))*$F57</f>
        <v>0</v>
      </c>
      <c r="U57" s="148">
        <f>SUM(G57:M57)</f>
        <v>17092.484277896383</v>
      </c>
      <c r="V57" s="133" t="str">
        <f>IF(ABS(F57-U57)&lt;0.01,"ok","err")</f>
        <v>ok</v>
      </c>
    </row>
    <row r="58" spans="1:24" x14ac:dyDescent="0.25">
      <c r="A58" s="146" t="s">
        <v>226</v>
      </c>
      <c r="C58" s="140" t="s">
        <v>92</v>
      </c>
      <c r="D58" s="140" t="s">
        <v>246</v>
      </c>
      <c r="E58" s="140" t="s">
        <v>311</v>
      </c>
      <c r="F58" s="15">
        <f>VLOOKUP(C58,'Functional Assignment'!$C$1:$AR$730,6,)</f>
        <v>128499.3749886827</v>
      </c>
      <c r="G58" s="15">
        <f t="shared" si="15"/>
        <v>78401.49219753014</v>
      </c>
      <c r="H58" s="15">
        <f t="shared" si="15"/>
        <v>40726.267386515865</v>
      </c>
      <c r="I58" s="15">
        <f t="shared" si="15"/>
        <v>7828.5330902948353</v>
      </c>
      <c r="J58" s="15">
        <f t="shared" si="15"/>
        <v>1543.0823143418595</v>
      </c>
      <c r="K58" s="15">
        <f>(VLOOKUP($E58,$D$6:$AI$659,8,)/VLOOKUP($E58,$D$6:$AI$659,3,))*$F58</f>
        <v>0</v>
      </c>
      <c r="L58" s="15">
        <f>(VLOOKUP($E58,$D$6:$AI$659,L$2,)/VLOOKUP($E58,$D$6:$AI$659,3,))*$F58</f>
        <v>0</v>
      </c>
      <c r="M58" s="15">
        <f>(VLOOKUP($E58,$D$6:$AI$659,M$2,)/VLOOKUP($E58,$D$6:$AI$659,3,))*$F58</f>
        <v>0</v>
      </c>
      <c r="N58" s="15">
        <f>(VLOOKUP($E58,$D$6:$AI$659,11,)/VLOOKUP($E58,$D$6:$AI$659,3,))*$F58</f>
        <v>0</v>
      </c>
      <c r="O58" s="15">
        <f t="shared" si="16"/>
        <v>0</v>
      </c>
      <c r="P58" s="15">
        <f t="shared" si="16"/>
        <v>0</v>
      </c>
      <c r="Q58" s="15">
        <f t="shared" si="16"/>
        <v>0</v>
      </c>
      <c r="R58" s="15">
        <f>(VLOOKUP($E58,$D$6:$AI$659,15,)/VLOOKUP($E58,$D$6:$AI$659,3,))*$F58</f>
        <v>0</v>
      </c>
      <c r="S58" s="15">
        <f>(VLOOKUP($E58,$D$6:$AI$659,16,)/VLOOKUP($E58,$D$6:$AI$659,3,))*$F58</f>
        <v>0</v>
      </c>
      <c r="T58" s="15">
        <f>(VLOOKUP($E58,$D$6:$AI$659,17,)/VLOOKUP($E58,$D$6:$AI$659,3,))*$F58</f>
        <v>0</v>
      </c>
      <c r="U58" s="148">
        <f>SUM(G58:M58)</f>
        <v>128499.37498868268</v>
      </c>
      <c r="V58" s="133" t="str">
        <f>IF(ABS(F58-U58)&lt;0.01,"ok","err")</f>
        <v>ok</v>
      </c>
    </row>
    <row r="59" spans="1:24" x14ac:dyDescent="0.25">
      <c r="A59" s="140" t="s">
        <v>658</v>
      </c>
      <c r="F59" s="147">
        <f t="shared" ref="F59:T59" si="17">F57+F58</f>
        <v>145591.85926657909</v>
      </c>
      <c r="G59" s="147">
        <f t="shared" si="17"/>
        <v>89703.468823885662</v>
      </c>
      <c r="H59" s="147">
        <f t="shared" si="17"/>
        <v>45891.51646552598</v>
      </c>
      <c r="I59" s="147">
        <f t="shared" si="17"/>
        <v>8339.5657054027106</v>
      </c>
      <c r="J59" s="147">
        <f t="shared" si="17"/>
        <v>1657.3082717647292</v>
      </c>
      <c r="K59" s="147">
        <f t="shared" si="17"/>
        <v>0</v>
      </c>
      <c r="L59" s="147">
        <f t="shared" si="17"/>
        <v>0</v>
      </c>
      <c r="M59" s="147">
        <f t="shared" si="17"/>
        <v>0</v>
      </c>
      <c r="N59" s="147">
        <f t="shared" si="17"/>
        <v>0</v>
      </c>
      <c r="O59" s="147">
        <f t="shared" si="17"/>
        <v>0</v>
      </c>
      <c r="P59" s="147">
        <f t="shared" si="17"/>
        <v>0</v>
      </c>
      <c r="Q59" s="147">
        <f t="shared" si="17"/>
        <v>0</v>
      </c>
      <c r="R59" s="147">
        <f t="shared" si="17"/>
        <v>0</v>
      </c>
      <c r="S59" s="147">
        <f t="shared" si="17"/>
        <v>0</v>
      </c>
      <c r="T59" s="147">
        <f t="shared" si="17"/>
        <v>0</v>
      </c>
      <c r="U59" s="148">
        <f>SUM(G59:M59)</f>
        <v>145591.85926657909</v>
      </c>
      <c r="V59" s="133" t="str">
        <f>IF(ABS(F59-U59)&lt;0.01,"ok","err")</f>
        <v>ok</v>
      </c>
    </row>
    <row r="60" spans="1:24" x14ac:dyDescent="0.25">
      <c r="F60" s="15"/>
      <c r="G60" s="15"/>
      <c r="U60" s="148"/>
    </row>
    <row r="61" spans="1:24" x14ac:dyDescent="0.25">
      <c r="A61" s="134" t="s">
        <v>3</v>
      </c>
      <c r="F61" s="15"/>
      <c r="G61" s="15"/>
      <c r="U61" s="148"/>
    </row>
    <row r="62" spans="1:24" x14ac:dyDescent="0.25">
      <c r="A62" s="146" t="s">
        <v>207</v>
      </c>
      <c r="C62" s="140" t="s">
        <v>92</v>
      </c>
      <c r="D62" s="140" t="s">
        <v>247</v>
      </c>
      <c r="E62" s="140" t="s">
        <v>312</v>
      </c>
      <c r="F62" s="147">
        <f>VLOOKUP(C62,'Functional Assignment'!$C$1:$AR$730,7,)</f>
        <v>134206511.84462966</v>
      </c>
      <c r="G62" s="147">
        <f t="shared" ref="G62:J63" si="18">(VLOOKUP($E62,$D$6:$AI$659,G$2,)/VLOOKUP($E62,$D$6:$AI$659,3,))*$F62</f>
        <v>89386364.051918194</v>
      </c>
      <c r="H62" s="147">
        <f t="shared" si="18"/>
        <v>40226031.856564574</v>
      </c>
      <c r="I62" s="147">
        <f t="shared" si="18"/>
        <v>3423075.5077326382</v>
      </c>
      <c r="J62" s="147">
        <f t="shared" si="18"/>
        <v>0</v>
      </c>
      <c r="K62" s="147">
        <f>(VLOOKUP($E62,$D$6:$AI$659,8,)/VLOOKUP($E62,$D$6:$AI$659,3,))*$F62</f>
        <v>1171040.4284142414</v>
      </c>
      <c r="L62" s="147">
        <f>(VLOOKUP($E62,$D$6:$AI$659,L$2,)/VLOOKUP($E62,$D$6:$AI$659,3,))*$F62</f>
        <v>0</v>
      </c>
      <c r="M62" s="147">
        <f>(VLOOKUP($E62,$D$6:$AI$659,M$2,)/VLOOKUP($E62,$D$6:$AI$659,3,))*$F62</f>
        <v>0</v>
      </c>
      <c r="N62" s="147">
        <f>(VLOOKUP($E62,$D$6:$AI$659,11,)/VLOOKUP($E62,$D$6:$AI$659,3,))*$F62</f>
        <v>1171040.4284142414</v>
      </c>
      <c r="O62" s="147">
        <f t="shared" ref="O62:Q63" si="19">(VLOOKUP($E62,$D$6:$AI$659,O$2,)/VLOOKUP($E62,$D$6:$AI$659,3,))*$F62</f>
        <v>0</v>
      </c>
      <c r="P62" s="147">
        <f t="shared" si="19"/>
        <v>0</v>
      </c>
      <c r="Q62" s="147">
        <f t="shared" si="19"/>
        <v>0</v>
      </c>
      <c r="R62" s="147">
        <f>(VLOOKUP($E62,$D$6:$AI$659,15,)/VLOOKUP($E62,$D$6:$AI$659,3,))*$F62</f>
        <v>0</v>
      </c>
      <c r="S62" s="147">
        <f>(VLOOKUP($E62,$D$6:$AI$659,16,)/VLOOKUP($E62,$D$6:$AI$659,3,))*$F62</f>
        <v>0</v>
      </c>
      <c r="T62" s="147">
        <f>(VLOOKUP($E62,$D$6:$AI$659,17,)/VLOOKUP($E62,$D$6:$AI$659,3,))*$F62</f>
        <v>0</v>
      </c>
      <c r="U62" s="148">
        <f>SUM(G62:M62)</f>
        <v>134206511.84462965</v>
      </c>
      <c r="V62" s="133" t="str">
        <f>IF(ABS(F62-U62)&lt;0.01,"ok","err")</f>
        <v>ok</v>
      </c>
    </row>
    <row r="63" spans="1:24" x14ac:dyDescent="0.25">
      <c r="A63" s="140" t="s">
        <v>226</v>
      </c>
      <c r="C63" s="140" t="s">
        <v>92</v>
      </c>
      <c r="D63" s="140" t="s">
        <v>248</v>
      </c>
      <c r="E63" s="140" t="s">
        <v>313</v>
      </c>
      <c r="F63" s="15">
        <f>VLOOKUP(C63,'Functional Assignment'!$C$1:$AR$730,8,)</f>
        <v>1398815.974088432</v>
      </c>
      <c r="G63" s="15">
        <f t="shared" si="18"/>
        <v>907417.27526307188</v>
      </c>
      <c r="H63" s="15">
        <f t="shared" si="18"/>
        <v>431829.50665388233</v>
      </c>
      <c r="I63" s="15">
        <f t="shared" si="18"/>
        <v>59569.192171477756</v>
      </c>
      <c r="J63" s="15">
        <f t="shared" si="18"/>
        <v>0</v>
      </c>
      <c r="K63" s="15">
        <f>(VLOOKUP($E63,$D$6:$AI$659,8,)/VLOOKUP($E63,$D$6:$AI$659,3,))*$F63</f>
        <v>0</v>
      </c>
      <c r="L63" s="15">
        <f>(VLOOKUP($E63,$D$6:$AI$659,L$2,)/VLOOKUP($E63,$D$6:$AI$659,3,))*$F63</f>
        <v>0</v>
      </c>
      <c r="M63" s="15">
        <f>(VLOOKUP($E63,$D$6:$AI$659,M$2,)/VLOOKUP($E63,$D$6:$AI$659,3,))*$F63</f>
        <v>0</v>
      </c>
      <c r="N63" s="15">
        <f>(VLOOKUP($E63,$D$6:$AI$659,11,)/VLOOKUP($E63,$D$6:$AI$659,3,))*$F63</f>
        <v>0</v>
      </c>
      <c r="O63" s="15">
        <f t="shared" si="19"/>
        <v>0</v>
      </c>
      <c r="P63" s="15">
        <f t="shared" si="19"/>
        <v>0</v>
      </c>
      <c r="Q63" s="15">
        <f t="shared" si="19"/>
        <v>0</v>
      </c>
      <c r="R63" s="15">
        <f>(VLOOKUP($E63,$D$6:$AI$659,15,)/VLOOKUP($E63,$D$6:$AI$659,3,))*$F63</f>
        <v>0</v>
      </c>
      <c r="S63" s="15">
        <f>(VLOOKUP($E63,$D$6:$AI$659,16,)/VLOOKUP($E63,$D$6:$AI$659,3,))*$F63</f>
        <v>0</v>
      </c>
      <c r="T63" s="15">
        <f>(VLOOKUP($E63,$D$6:$AI$659,17,)/VLOOKUP($E63,$D$6:$AI$659,3,))*$F63</f>
        <v>0</v>
      </c>
      <c r="U63" s="148">
        <f>SUM(G63:M63)</f>
        <v>1398815.9740884318</v>
      </c>
      <c r="V63" s="133" t="str">
        <f>IF(ABS(F63-U63)&lt;0.01,"ok","err")</f>
        <v>ok</v>
      </c>
    </row>
    <row r="64" spans="1:24" x14ac:dyDescent="0.25">
      <c r="A64" s="140" t="s">
        <v>227</v>
      </c>
      <c r="F64" s="147">
        <f>SUM(F62:F63)</f>
        <v>135605327.81871811</v>
      </c>
      <c r="G64" s="147">
        <f t="shared" ref="G64:T64" si="20">G62+G63</f>
        <v>90293781.327181265</v>
      </c>
      <c r="H64" s="147">
        <f t="shared" si="20"/>
        <v>40657861.363218457</v>
      </c>
      <c r="I64" s="147">
        <f t="shared" si="20"/>
        <v>3482644.6999041159</v>
      </c>
      <c r="J64" s="147">
        <f t="shared" si="20"/>
        <v>0</v>
      </c>
      <c r="K64" s="147">
        <f t="shared" si="20"/>
        <v>1171040.4284142414</v>
      </c>
      <c r="L64" s="147">
        <f t="shared" si="20"/>
        <v>0</v>
      </c>
      <c r="M64" s="147">
        <f t="shared" si="20"/>
        <v>0</v>
      </c>
      <c r="N64" s="147">
        <f t="shared" si="20"/>
        <v>1171040.4284142414</v>
      </c>
      <c r="O64" s="147">
        <f t="shared" si="20"/>
        <v>0</v>
      </c>
      <c r="P64" s="147">
        <f t="shared" si="20"/>
        <v>0</v>
      </c>
      <c r="Q64" s="147">
        <f t="shared" si="20"/>
        <v>0</v>
      </c>
      <c r="R64" s="147">
        <f t="shared" si="20"/>
        <v>0</v>
      </c>
      <c r="S64" s="147">
        <f t="shared" si="20"/>
        <v>0</v>
      </c>
      <c r="T64" s="147">
        <f t="shared" si="20"/>
        <v>0</v>
      </c>
      <c r="U64" s="148">
        <f>SUM(G64:M64)</f>
        <v>135605327.81871811</v>
      </c>
      <c r="V64" s="133" t="str">
        <f>IF(ABS(F64-U64)&lt;0.01,"ok","err")</f>
        <v>ok</v>
      </c>
    </row>
    <row r="65" spans="1:22" x14ac:dyDescent="0.25">
      <c r="F65" s="15"/>
      <c r="G65" s="15"/>
      <c r="U65" s="148"/>
    </row>
    <row r="66" spans="1:22" x14ac:dyDescent="0.25">
      <c r="A66" s="134" t="s">
        <v>4</v>
      </c>
      <c r="F66" s="15"/>
      <c r="G66" s="15"/>
      <c r="U66" s="148"/>
    </row>
    <row r="67" spans="1:22" x14ac:dyDescent="0.25">
      <c r="A67" s="146" t="s">
        <v>870</v>
      </c>
      <c r="C67" s="140" t="s">
        <v>92</v>
      </c>
      <c r="D67" s="140" t="s">
        <v>249</v>
      </c>
      <c r="E67" s="140" t="s">
        <v>317</v>
      </c>
      <c r="F67" s="147">
        <f>VLOOKUP(C67,'Functional Assignment'!$C$1:$AR$730,9,)</f>
        <v>7208768.6996744126</v>
      </c>
      <c r="G67" s="147">
        <f t="shared" ref="G67:J68" si="21">(VLOOKUP($E67,$D$6:$AI$659,G$2,)/VLOOKUP($E67,$D$6:$AI$659,3,))*$F67</f>
        <v>3913701.5790677359</v>
      </c>
      <c r="H67" s="147">
        <f t="shared" si="21"/>
        <v>1788646.7248268181</v>
      </c>
      <c r="I67" s="147">
        <f t="shared" si="21"/>
        <v>176962.77552360739</v>
      </c>
      <c r="J67" s="147">
        <f t="shared" si="21"/>
        <v>39554.70133374053</v>
      </c>
      <c r="K67" s="147">
        <f>(VLOOKUP($E67,$D$6:$AI$659,8,)/VLOOKUP($E67,$D$6:$AI$659,3,))*$F67</f>
        <v>1289902.9189225102</v>
      </c>
      <c r="L67" s="147">
        <f>(VLOOKUP($E67,$D$6:$AI$659,L$2,)/VLOOKUP($E67,$D$6:$AI$659,3,))*$F67</f>
        <v>0</v>
      </c>
      <c r="M67" s="147">
        <f>(VLOOKUP($E67,$D$6:$AI$659,M$2,)/VLOOKUP($E67,$D$6:$AI$659,3,))*$F67</f>
        <v>0</v>
      </c>
      <c r="N67" s="147">
        <f>(VLOOKUP($E67,$D$6:$AI$659,11,)/VLOOKUP($E67,$D$6:$AI$659,3,))*$F67</f>
        <v>0</v>
      </c>
      <c r="O67" s="147">
        <f t="shared" ref="O67:Q68" si="22">(VLOOKUP($E67,$D$6:$AI$659,O$2,)/VLOOKUP($E67,$D$6:$AI$659,3,))*$F67</f>
        <v>0</v>
      </c>
      <c r="P67" s="147">
        <f t="shared" si="22"/>
        <v>0</v>
      </c>
      <c r="Q67" s="147">
        <f t="shared" si="22"/>
        <v>0</v>
      </c>
      <c r="R67" s="147">
        <f>(VLOOKUP($E67,$D$6:$AI$659,15,)/VLOOKUP($E67,$D$6:$AI$659,3,))*$F67</f>
        <v>0</v>
      </c>
      <c r="S67" s="147">
        <f>(VLOOKUP($E67,$D$6:$AI$659,16,)/VLOOKUP($E67,$D$6:$AI$659,3,))*$F67</f>
        <v>0</v>
      </c>
      <c r="T67" s="147">
        <f>(VLOOKUP($E67,$D$6:$AI$659,17,)/VLOOKUP($E67,$D$6:$AI$659,3,))*$F67</f>
        <v>0</v>
      </c>
      <c r="U67" s="148">
        <f>SUM(G67:M67)</f>
        <v>7208768.6996744126</v>
      </c>
      <c r="V67" s="133" t="str">
        <f>IF(ABS(F67-U67)&lt;0.01,"ok","err")</f>
        <v>ok</v>
      </c>
    </row>
    <row r="68" spans="1:22" x14ac:dyDescent="0.25">
      <c r="A68" s="140" t="s">
        <v>865</v>
      </c>
      <c r="C68" s="140" t="s">
        <v>92</v>
      </c>
      <c r="D68" s="140" t="s">
        <v>250</v>
      </c>
      <c r="E68" s="140" t="s">
        <v>314</v>
      </c>
      <c r="F68" s="15">
        <f>VLOOKUP(C68,'Functional Assignment'!$C$1:$AR$730,10,)</f>
        <v>34151975.427791029</v>
      </c>
      <c r="G68" s="15">
        <f t="shared" si="21"/>
        <v>22746444.019160684</v>
      </c>
      <c r="H68" s="15">
        <f t="shared" si="21"/>
        <v>10236451.515209436</v>
      </c>
      <c r="I68" s="15">
        <f t="shared" si="21"/>
        <v>871081.35827938491</v>
      </c>
      <c r="J68" s="15">
        <f t="shared" si="21"/>
        <v>0</v>
      </c>
      <c r="K68" s="15">
        <f>(VLOOKUP($E68,$D$6:$AI$659,8,)/VLOOKUP($E68,$D$6:$AI$659,3,))*$F68</f>
        <v>297998.53514152265</v>
      </c>
      <c r="L68" s="15">
        <f>(VLOOKUP($E68,$D$6:$AI$659,L$2,)/VLOOKUP($E68,$D$6:$AI$659,3,))*$F68</f>
        <v>0</v>
      </c>
      <c r="M68" s="15">
        <f>(VLOOKUP($E68,$D$6:$AI$659,M$2,)/VLOOKUP($E68,$D$6:$AI$659,3,))*$F68</f>
        <v>0</v>
      </c>
      <c r="N68" s="15">
        <f>(VLOOKUP($E68,$D$6:$AI$659,11,)/VLOOKUP($E68,$D$6:$AI$659,3,))*$F68</f>
        <v>297998.53514152265</v>
      </c>
      <c r="O68" s="15">
        <f t="shared" si="22"/>
        <v>0</v>
      </c>
      <c r="P68" s="15">
        <f t="shared" si="22"/>
        <v>0</v>
      </c>
      <c r="Q68" s="15">
        <f t="shared" si="22"/>
        <v>0</v>
      </c>
      <c r="R68" s="15">
        <f>(VLOOKUP($E68,$D$6:$AI$659,15,)/VLOOKUP($E68,$D$6:$AI$659,3,))*$F68</f>
        <v>0</v>
      </c>
      <c r="S68" s="15">
        <f>(VLOOKUP($E68,$D$6:$AI$659,16,)/VLOOKUP($E68,$D$6:$AI$659,3,))*$F68</f>
        <v>0</v>
      </c>
      <c r="T68" s="15">
        <f>(VLOOKUP($E68,$D$6:$AI$659,17,)/VLOOKUP($E68,$D$6:$AI$659,3,))*$F68</f>
        <v>0</v>
      </c>
      <c r="U68" s="148">
        <f>SUM(G68:M68)</f>
        <v>34151975.427791029</v>
      </c>
      <c r="V68" s="133" t="str">
        <f>IF(ABS(F68-U68)&lt;0.01,"ok","err")</f>
        <v>ok</v>
      </c>
    </row>
    <row r="69" spans="1:22" x14ac:dyDescent="0.25">
      <c r="A69" s="140" t="s">
        <v>228</v>
      </c>
      <c r="F69" s="147">
        <f>SUM(F67:F68)</f>
        <v>41360744.127465442</v>
      </c>
      <c r="G69" s="147">
        <f t="shared" ref="G69:T69" si="23">G67+G68</f>
        <v>26660145.598228421</v>
      </c>
      <c r="H69" s="147">
        <f t="shared" si="23"/>
        <v>12025098.240036255</v>
      </c>
      <c r="I69" s="147">
        <f t="shared" si="23"/>
        <v>1048044.1338029923</v>
      </c>
      <c r="J69" s="147">
        <f t="shared" si="23"/>
        <v>39554.70133374053</v>
      </c>
      <c r="K69" s="147">
        <f t="shared" si="23"/>
        <v>1587901.454064033</v>
      </c>
      <c r="L69" s="147">
        <f t="shared" si="23"/>
        <v>0</v>
      </c>
      <c r="M69" s="147">
        <f t="shared" si="23"/>
        <v>0</v>
      </c>
      <c r="N69" s="147">
        <f t="shared" si="23"/>
        <v>297998.53514152265</v>
      </c>
      <c r="O69" s="147">
        <f t="shared" si="23"/>
        <v>0</v>
      </c>
      <c r="P69" s="147">
        <f t="shared" si="23"/>
        <v>0</v>
      </c>
      <c r="Q69" s="147">
        <f t="shared" si="23"/>
        <v>0</v>
      </c>
      <c r="R69" s="147">
        <f t="shared" si="23"/>
        <v>0</v>
      </c>
      <c r="S69" s="147">
        <f t="shared" si="23"/>
        <v>0</v>
      </c>
      <c r="T69" s="147">
        <f t="shared" si="23"/>
        <v>0</v>
      </c>
      <c r="U69" s="148">
        <f>SUM(G69:M69)</f>
        <v>41360744.127465442</v>
      </c>
      <c r="V69" s="133" t="str">
        <f>IF(ABS(F69-U69)&lt;0.01,"ok","err")</f>
        <v>ok</v>
      </c>
    </row>
    <row r="70" spans="1:22" x14ac:dyDescent="0.25">
      <c r="F70" s="15"/>
      <c r="U70" s="148"/>
    </row>
    <row r="71" spans="1:22" x14ac:dyDescent="0.25">
      <c r="A71" s="134" t="s">
        <v>6</v>
      </c>
      <c r="F71" s="15"/>
      <c r="U71" s="148"/>
    </row>
    <row r="72" spans="1:22" x14ac:dyDescent="0.25">
      <c r="A72" s="140" t="s">
        <v>226</v>
      </c>
      <c r="C72" s="140" t="s">
        <v>92</v>
      </c>
      <c r="D72" s="140" t="s">
        <v>251</v>
      </c>
      <c r="E72" s="140" t="s">
        <v>316</v>
      </c>
      <c r="F72" s="147">
        <f>VLOOKUP(C72,'Functional Assignment'!$C$1:$AR$730,11,)</f>
        <v>231676.10033752577</v>
      </c>
      <c r="G72" s="147">
        <f>(VLOOKUP($E72,$D$6:$AI$659,G$2,)/VLOOKUP($E72,$D$6:$AI$659,3,))*$F72</f>
        <v>102062.43863239179</v>
      </c>
      <c r="H72" s="147">
        <f>(VLOOKUP($E72,$D$6:$AI$659,H$2,)/VLOOKUP($E72,$D$6:$AI$659,3,))*$F72</f>
        <v>53017.130788661183</v>
      </c>
      <c r="I72" s="147">
        <f>(VLOOKUP($E72,$D$6:$AI$659,I$2,)/VLOOKUP($E72,$D$6:$AI$659,3,))*$F72</f>
        <v>10191.122078350389</v>
      </c>
      <c r="J72" s="147">
        <f>(VLOOKUP($E72,$D$6:$AI$659,J$2,)/VLOOKUP($E72,$D$6:$AI$659,3,))*$F72</f>
        <v>2008.772277132839</v>
      </c>
      <c r="K72" s="147">
        <f>(VLOOKUP($E72,$D$6:$AI$659,8,)/VLOOKUP($E72,$D$6:$AI$659,3,))*$F72</f>
        <v>64396.636560989595</v>
      </c>
      <c r="L72" s="147">
        <f>(VLOOKUP($E72,$D$6:$AI$659,L$2,)/VLOOKUP($E72,$D$6:$AI$659,3,))*$F72</f>
        <v>0</v>
      </c>
      <c r="M72" s="147">
        <f>(VLOOKUP($E72,$D$6:$AI$659,M$2,)/VLOOKUP($E72,$D$6:$AI$659,3,))*$F72</f>
        <v>0</v>
      </c>
      <c r="N72" s="147">
        <f>(VLOOKUP($E72,$D$6:$AI$659,11,)/VLOOKUP($E72,$D$6:$AI$659,3,))*$F72</f>
        <v>0</v>
      </c>
      <c r="O72" s="147">
        <f>(VLOOKUP($E72,$D$6:$AI$659,O$2,)/VLOOKUP($E72,$D$6:$AI$659,3,))*$F72</f>
        <v>0</v>
      </c>
      <c r="P72" s="147">
        <f>(VLOOKUP($E72,$D$6:$AI$659,P$2,)/VLOOKUP($E72,$D$6:$AI$659,3,))*$F72</f>
        <v>0</v>
      </c>
      <c r="Q72" s="147">
        <f>(VLOOKUP($E72,$D$6:$AI$659,Q$2,)/VLOOKUP($E72,$D$6:$AI$659,3,))*$F72</f>
        <v>0</v>
      </c>
      <c r="R72" s="147">
        <f>(VLOOKUP($E72,$D$6:$AI$659,15,)/VLOOKUP($E72,$D$6:$AI$659,3,))*$F72</f>
        <v>0</v>
      </c>
      <c r="S72" s="147">
        <f>(VLOOKUP($E72,$D$6:$AI$659,16,)/VLOOKUP($E72,$D$6:$AI$659,3,))*$F72</f>
        <v>0</v>
      </c>
      <c r="T72" s="147">
        <f>(VLOOKUP($E72,$D$6:$AI$659,17,)/VLOOKUP($E72,$D$6:$AI$659,3,))*$F72</f>
        <v>0</v>
      </c>
      <c r="U72" s="148">
        <f>SUM(G72:M72)</f>
        <v>231676.1003375258</v>
      </c>
      <c r="V72" s="133" t="str">
        <f>IF(ABS(F72-U72)&lt;0.01,"ok","err")</f>
        <v>ok</v>
      </c>
    </row>
    <row r="73" spans="1:22" x14ac:dyDescent="0.25">
      <c r="A73" s="146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48"/>
      <c r="V73" s="133"/>
    </row>
    <row r="74" spans="1:22" x14ac:dyDescent="0.25">
      <c r="A74" s="134" t="s">
        <v>7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48"/>
      <c r="V74" s="133"/>
    </row>
    <row r="75" spans="1:22" x14ac:dyDescent="0.25">
      <c r="A75" s="146" t="s">
        <v>207</v>
      </c>
      <c r="C75" s="140" t="s">
        <v>92</v>
      </c>
      <c r="D75" s="140" t="s">
        <v>252</v>
      </c>
      <c r="E75" s="140" t="s">
        <v>317</v>
      </c>
      <c r="F75" s="147">
        <f>VLOOKUP(C75,'Functional Assignment'!$C$1:$AR$730,12,)</f>
        <v>27668496.68266625</v>
      </c>
      <c r="G75" s="147">
        <f>(VLOOKUP($E75,$D$6:$AI$659,G$2,)/VLOOKUP($E75,$D$6:$AI$659,3,))*$F75</f>
        <v>15021461.177173311</v>
      </c>
      <c r="H75" s="147">
        <f>(VLOOKUP($E75,$D$6:$AI$659,H$2,)/VLOOKUP($E75,$D$6:$AI$659,3,))*$F75</f>
        <v>6865134.3986897329</v>
      </c>
      <c r="I75" s="147">
        <f>(VLOOKUP($E75,$D$6:$AI$659,I$2,)/VLOOKUP($E75,$D$6:$AI$659,3,))*$F75</f>
        <v>679213.63155284571</v>
      </c>
      <c r="J75" s="147">
        <f>(VLOOKUP($E75,$D$6:$AI$659,J$2,)/VLOOKUP($E75,$D$6:$AI$659,3,))*$F75</f>
        <v>151817.76087307173</v>
      </c>
      <c r="K75" s="147">
        <f>(VLOOKUP($E75,$D$6:$AI$659,8,)/VLOOKUP($E75,$D$6:$AI$659,3,))*$F75</f>
        <v>4950869.7143772868</v>
      </c>
      <c r="L75" s="147">
        <f>(VLOOKUP($E75,$D$6:$AI$659,L$2,)/VLOOKUP($E75,$D$6:$AI$659,3,))*$F75</f>
        <v>0</v>
      </c>
      <c r="M75" s="147">
        <f>(VLOOKUP($E75,$D$6:$AI$659,M$2,)/VLOOKUP($E75,$D$6:$AI$659,3,))*$F75</f>
        <v>0</v>
      </c>
      <c r="N75" s="147">
        <f>(VLOOKUP($E75,$D$6:$AI$659,11,)/VLOOKUP($E75,$D$6:$AI$659,3,))*$F75</f>
        <v>0</v>
      </c>
      <c r="O75" s="147">
        <f>(VLOOKUP($E75,$D$6:$AI$659,O$2,)/VLOOKUP($E75,$D$6:$AI$659,3,))*$F75</f>
        <v>0</v>
      </c>
      <c r="P75" s="147">
        <f>(VLOOKUP($E75,$D$6:$AI$659,P$2,)/VLOOKUP($E75,$D$6:$AI$659,3,))*$F75</f>
        <v>0</v>
      </c>
      <c r="Q75" s="147">
        <f>(VLOOKUP($E75,$D$6:$AI$659,Q$2,)/VLOOKUP($E75,$D$6:$AI$659,3,))*$F75</f>
        <v>0</v>
      </c>
      <c r="R75" s="147">
        <f>(VLOOKUP($E75,$D$6:$AI$659,15,)/VLOOKUP($E75,$D$6:$AI$659,3,))*$F75</f>
        <v>0</v>
      </c>
      <c r="S75" s="147">
        <f>(VLOOKUP($E75,$D$6:$AI$659,16,)/VLOOKUP($E75,$D$6:$AI$659,3,))*$F75</f>
        <v>0</v>
      </c>
      <c r="T75" s="147">
        <f>(VLOOKUP($E75,$D$6:$AI$659,17,)/VLOOKUP($E75,$D$6:$AI$659,3,))*$F75</f>
        <v>0</v>
      </c>
      <c r="U75" s="148">
        <f>SUM(G75:M75)</f>
        <v>27668496.68266625</v>
      </c>
      <c r="V75" s="133" t="str">
        <f>IF(ABS(F75-U75)&lt;0.01,"ok","err")</f>
        <v>ok</v>
      </c>
    </row>
    <row r="76" spans="1:22" x14ac:dyDescent="0.25">
      <c r="F76" s="15"/>
      <c r="U76" s="148"/>
    </row>
    <row r="77" spans="1:22" x14ac:dyDescent="0.25">
      <c r="F77" s="15"/>
      <c r="U77" s="148"/>
    </row>
    <row r="78" spans="1:22" x14ac:dyDescent="0.25">
      <c r="A78" s="134" t="s">
        <v>8</v>
      </c>
      <c r="F78" s="15"/>
      <c r="U78" s="148"/>
    </row>
    <row r="79" spans="1:22" x14ac:dyDescent="0.25">
      <c r="A79" s="146" t="s">
        <v>680</v>
      </c>
      <c r="C79" s="140" t="s">
        <v>92</v>
      </c>
      <c r="D79" s="140" t="s">
        <v>253</v>
      </c>
      <c r="E79" s="140" t="s">
        <v>932</v>
      </c>
      <c r="F79" s="147">
        <f>VLOOKUP(C79,'Functional Assignment'!$C$1:$AR$730,13,)</f>
        <v>217677993.60439947</v>
      </c>
      <c r="G79" s="147">
        <f t="shared" ref="G79:J82" si="24">(VLOOKUP($E79,$D$6:$AI$659,G$2,)/VLOOKUP($E79,$D$6:$AI$659,3,))*$F79</f>
        <v>133069156.67046599</v>
      </c>
      <c r="H79" s="147">
        <f t="shared" si="24"/>
        <v>64758894.396626435</v>
      </c>
      <c r="I79" s="147">
        <f t="shared" si="24"/>
        <v>8850574.5610023942</v>
      </c>
      <c r="J79" s="147">
        <f t="shared" si="24"/>
        <v>1654639.8928043556</v>
      </c>
      <c r="K79" s="147">
        <f>(VLOOKUP($E79,$D$6:$AI$659,8,)/VLOOKUP($E79,$D$6:$AI$659,3,))*$F79</f>
        <v>9344728.0835003275</v>
      </c>
      <c r="L79" s="147">
        <f t="shared" ref="L79:M82" si="25">(VLOOKUP($E79,$D$6:$AI$659,L$2,)/VLOOKUP($E79,$D$6:$AI$659,3,))*$F79</f>
        <v>0</v>
      </c>
      <c r="M79" s="147">
        <f t="shared" si="25"/>
        <v>0</v>
      </c>
      <c r="N79" s="147">
        <f>(VLOOKUP($E79,$D$6:$AI$659,11,)/VLOOKUP($E79,$D$6:$AI$659,3,))*$F79</f>
        <v>0</v>
      </c>
      <c r="O79" s="147">
        <f t="shared" ref="O79:Q82" si="26">(VLOOKUP($E79,$D$6:$AI$659,O$2,)/VLOOKUP($E79,$D$6:$AI$659,3,))*$F79</f>
        <v>0</v>
      </c>
      <c r="P79" s="147">
        <f t="shared" si="26"/>
        <v>0</v>
      </c>
      <c r="Q79" s="147">
        <f t="shared" si="26"/>
        <v>0</v>
      </c>
      <c r="R79" s="147">
        <f>(VLOOKUP($E79,$D$6:$AI$659,15,)/VLOOKUP($E79,$D$6:$AI$659,3,))*$F79</f>
        <v>0</v>
      </c>
      <c r="S79" s="147">
        <f>(VLOOKUP($E79,$D$6:$AI$659,16,)/VLOOKUP($E79,$D$6:$AI$659,3,))*$F79</f>
        <v>0</v>
      </c>
      <c r="T79" s="147">
        <f>(VLOOKUP($E79,$D$6:$AI$659,17,)/VLOOKUP($E79,$D$6:$AI$659,3,))*$F79</f>
        <v>0</v>
      </c>
      <c r="U79" s="148">
        <f>SUM(G79:M79)</f>
        <v>217677993.6043995</v>
      </c>
      <c r="V79" s="133" t="str">
        <f>IF(ABS(F79-U79)&lt;0.01,"ok","err")</f>
        <v>ok</v>
      </c>
    </row>
    <row r="80" spans="1:22" x14ac:dyDescent="0.25">
      <c r="A80" s="146" t="s">
        <v>679</v>
      </c>
      <c r="C80" s="140" t="s">
        <v>92</v>
      </c>
      <c r="D80" s="140" t="s">
        <v>254</v>
      </c>
      <c r="E80" s="140" t="s">
        <v>684</v>
      </c>
      <c r="F80" s="15">
        <f>VLOOKUP(C80,'Functional Assignment'!$C$1:$AR$730,14,)</f>
        <v>0</v>
      </c>
      <c r="G80" s="15">
        <f t="shared" si="24"/>
        <v>0</v>
      </c>
      <c r="H80" s="15">
        <f t="shared" si="24"/>
        <v>0</v>
      </c>
      <c r="I80" s="15">
        <f t="shared" si="24"/>
        <v>0</v>
      </c>
      <c r="J80" s="15">
        <f t="shared" si="24"/>
        <v>0</v>
      </c>
      <c r="K80" s="15">
        <f>(VLOOKUP($E80,$D$6:$AI$659,8,)/VLOOKUP($E80,$D$6:$AI$659,3,))*$F80</f>
        <v>0</v>
      </c>
      <c r="L80" s="15">
        <f t="shared" si="25"/>
        <v>0</v>
      </c>
      <c r="M80" s="15">
        <f t="shared" si="25"/>
        <v>0</v>
      </c>
      <c r="N80" s="15">
        <f>(VLOOKUP($E80,$D$6:$AI$659,11,)/VLOOKUP($E80,$D$6:$AI$659,3,))*$F80</f>
        <v>0</v>
      </c>
      <c r="O80" s="15">
        <f t="shared" si="26"/>
        <v>0</v>
      </c>
      <c r="P80" s="15">
        <f t="shared" si="26"/>
        <v>0</v>
      </c>
      <c r="Q80" s="15">
        <f t="shared" si="26"/>
        <v>0</v>
      </c>
      <c r="R80" s="15">
        <f>(VLOOKUP($E80,$D$6:$AI$659,15,)/VLOOKUP($E80,$D$6:$AI$659,3,))*$F80</f>
        <v>0</v>
      </c>
      <c r="S80" s="15">
        <f>(VLOOKUP($E80,$D$6:$AI$659,16,)/VLOOKUP($E80,$D$6:$AI$659,3,))*$F80</f>
        <v>0</v>
      </c>
      <c r="T80" s="15">
        <f>(VLOOKUP($E80,$D$6:$AI$659,17,)/VLOOKUP($E80,$D$6:$AI$659,3,))*$F80</f>
        <v>0</v>
      </c>
      <c r="U80" s="148">
        <f>SUM(G80:M80)</f>
        <v>0</v>
      </c>
      <c r="V80" s="133" t="str">
        <f>IF(ABS(F80-U80)&lt;0.01,"ok","err")</f>
        <v>ok</v>
      </c>
    </row>
    <row r="81" spans="1:22" x14ac:dyDescent="0.25">
      <c r="A81" s="146" t="s">
        <v>681</v>
      </c>
      <c r="C81" s="140" t="s">
        <v>92</v>
      </c>
      <c r="D81" s="140" t="s">
        <v>253</v>
      </c>
      <c r="E81" s="140" t="s">
        <v>931</v>
      </c>
      <c r="F81" s="15">
        <f>VLOOKUP(C81,'Functional Assignment'!$C$1:$AR$730,15,)</f>
        <v>23892464.918672029</v>
      </c>
      <c r="G81" s="15">
        <f t="shared" si="24"/>
        <v>11748496.25790485</v>
      </c>
      <c r="H81" s="15">
        <f t="shared" si="24"/>
        <v>5697905.8734741649</v>
      </c>
      <c r="I81" s="15">
        <f t="shared" si="24"/>
        <v>818758.10147830623</v>
      </c>
      <c r="J81" s="15">
        <f t="shared" si="24"/>
        <v>169130.3677472634</v>
      </c>
      <c r="K81" s="15">
        <f>(VLOOKUP($E81,$D$6:$AI$659,8,)/VLOOKUP($E81,$D$6:$AI$659,3,))*$F81</f>
        <v>5458174.3180674464</v>
      </c>
      <c r="L81" s="15">
        <f t="shared" si="25"/>
        <v>0</v>
      </c>
      <c r="M81" s="15">
        <f t="shared" si="25"/>
        <v>0</v>
      </c>
      <c r="N81" s="15">
        <f>(VLOOKUP($E81,$D$6:$AI$659,11,)/VLOOKUP($E81,$D$6:$AI$659,3,))*$F81</f>
        <v>0</v>
      </c>
      <c r="O81" s="15">
        <f t="shared" si="26"/>
        <v>0</v>
      </c>
      <c r="P81" s="15">
        <f t="shared" si="26"/>
        <v>0</v>
      </c>
      <c r="Q81" s="15">
        <f t="shared" si="26"/>
        <v>0</v>
      </c>
      <c r="R81" s="15"/>
      <c r="S81" s="15"/>
      <c r="T81" s="15"/>
      <c r="U81" s="148">
        <f>SUM(G81:M81)</f>
        <v>23892464.918672029</v>
      </c>
      <c r="V81" s="133" t="str">
        <f>IF(ABS(F81-U81)&lt;0.01,"ok","err")</f>
        <v>ok</v>
      </c>
    </row>
    <row r="82" spans="1:22" x14ac:dyDescent="0.25">
      <c r="A82" s="146" t="s">
        <v>678</v>
      </c>
      <c r="C82" s="140" t="s">
        <v>92</v>
      </c>
      <c r="D82" s="140" t="s">
        <v>254</v>
      </c>
      <c r="E82" s="140" t="s">
        <v>319</v>
      </c>
      <c r="F82" s="15">
        <f>VLOOKUP(C82,'Functional Assignment'!$C$1:$AR$730,16,)</f>
        <v>0</v>
      </c>
      <c r="G82" s="15">
        <f t="shared" si="24"/>
        <v>0</v>
      </c>
      <c r="H82" s="15">
        <f t="shared" si="24"/>
        <v>0</v>
      </c>
      <c r="I82" s="15">
        <f t="shared" si="24"/>
        <v>0</v>
      </c>
      <c r="J82" s="15">
        <f t="shared" si="24"/>
        <v>0</v>
      </c>
      <c r="K82" s="15">
        <f>(VLOOKUP($E82,$D$6:$AI$659,8,)/VLOOKUP($E82,$D$6:$AI$659,3,))*$F82</f>
        <v>0</v>
      </c>
      <c r="L82" s="15">
        <f t="shared" si="25"/>
        <v>0</v>
      </c>
      <c r="M82" s="15">
        <f t="shared" si="25"/>
        <v>0</v>
      </c>
      <c r="N82" s="15">
        <f>(VLOOKUP($E82,$D$6:$AI$659,11,)/VLOOKUP($E82,$D$6:$AI$659,3,))*$F82</f>
        <v>0</v>
      </c>
      <c r="O82" s="15">
        <f t="shared" si="26"/>
        <v>0</v>
      </c>
      <c r="P82" s="15">
        <f t="shared" si="26"/>
        <v>0</v>
      </c>
      <c r="Q82" s="15">
        <f t="shared" si="26"/>
        <v>0</v>
      </c>
      <c r="R82" s="15"/>
      <c r="S82" s="15"/>
      <c r="T82" s="15"/>
      <c r="U82" s="148"/>
      <c r="V82" s="133"/>
    </row>
    <row r="83" spans="1:22" x14ac:dyDescent="0.25">
      <c r="A83" s="140" t="s">
        <v>229</v>
      </c>
      <c r="F83" s="147">
        <f>SUM(F79:F82)</f>
        <v>241570458.5230715</v>
      </c>
      <c r="G83" s="147">
        <f t="shared" ref="G83:Q83" si="27">SUM(G79:G82)</f>
        <v>144817652.92837083</v>
      </c>
      <c r="H83" s="147">
        <f t="shared" si="27"/>
        <v>70456800.270100594</v>
      </c>
      <c r="I83" s="147">
        <f t="shared" si="27"/>
        <v>9669332.6624807008</v>
      </c>
      <c r="J83" s="147">
        <f t="shared" si="27"/>
        <v>1823770.2605516189</v>
      </c>
      <c r="K83" s="147">
        <f t="shared" si="27"/>
        <v>14802902.401567774</v>
      </c>
      <c r="L83" s="147">
        <f t="shared" si="27"/>
        <v>0</v>
      </c>
      <c r="M83" s="147">
        <f t="shared" si="27"/>
        <v>0</v>
      </c>
      <c r="N83" s="147">
        <f t="shared" si="27"/>
        <v>0</v>
      </c>
      <c r="O83" s="147">
        <f t="shared" si="27"/>
        <v>0</v>
      </c>
      <c r="P83" s="147">
        <f t="shared" si="27"/>
        <v>0</v>
      </c>
      <c r="Q83" s="147">
        <f t="shared" si="27"/>
        <v>0</v>
      </c>
      <c r="R83" s="147">
        <f>R79+R80</f>
        <v>0</v>
      </c>
      <c r="S83" s="147">
        <f>S79+S80</f>
        <v>0</v>
      </c>
      <c r="T83" s="147">
        <f>T79+T80</f>
        <v>0</v>
      </c>
      <c r="U83" s="148">
        <f>SUM(G83:M83)</f>
        <v>241570458.52307156</v>
      </c>
      <c r="V83" s="133" t="str">
        <f>IF(ABS(F83-U83)&lt;0.01,"ok","err")</f>
        <v>ok</v>
      </c>
    </row>
    <row r="84" spans="1:22" x14ac:dyDescent="0.25">
      <c r="F84" s="15"/>
      <c r="U84" s="148"/>
    </row>
    <row r="85" spans="1:22" x14ac:dyDescent="0.25">
      <c r="A85" s="134" t="s">
        <v>10</v>
      </c>
      <c r="F85" s="15"/>
      <c r="U85" s="148"/>
    </row>
    <row r="86" spans="1:22" x14ac:dyDescent="0.25">
      <c r="A86" s="146" t="s">
        <v>208</v>
      </c>
      <c r="C86" s="140" t="s">
        <v>92</v>
      </c>
      <c r="D86" s="140" t="s">
        <v>248</v>
      </c>
      <c r="E86" s="140" t="s">
        <v>320</v>
      </c>
      <c r="F86" s="147">
        <f>VLOOKUP(C86,'Functional Assignment'!$C$1:$AR$730,17,)</f>
        <v>210374130.08986315</v>
      </c>
      <c r="G86" s="147">
        <f>(VLOOKUP($E86,$D$6:$AI$659,G$2,)/VLOOKUP($E86,$D$6:$AI$659,3,))*$F86</f>
        <v>156498747.8008036</v>
      </c>
      <c r="H86" s="147">
        <f>(VLOOKUP($E86,$D$6:$AI$659,H$2,)/VLOOKUP($E86,$D$6:$AI$659,3,))*$F86</f>
        <v>50510438.016271994</v>
      </c>
      <c r="I86" s="147">
        <f>(VLOOKUP($E86,$D$6:$AI$659,I$2,)/VLOOKUP($E86,$D$6:$AI$659,3,))*$F86</f>
        <v>1409745.6428671444</v>
      </c>
      <c r="J86" s="147">
        <f>(VLOOKUP($E86,$D$6:$AI$659,J$2,)/VLOOKUP($E86,$D$6:$AI$659,3,))*$F86</f>
        <v>31620.463017580809</v>
      </c>
      <c r="K86" s="147">
        <f>(VLOOKUP($E86,$D$6:$AI$659,8,)/VLOOKUP($E86,$D$6:$AI$659,3,))*$F86</f>
        <v>1923578.1669028325</v>
      </c>
      <c r="L86" s="147">
        <f>(VLOOKUP($E86,$D$6:$AI$659,L$2,)/VLOOKUP($E86,$D$6:$AI$659,3,))*$F86</f>
        <v>0</v>
      </c>
      <c r="M86" s="147">
        <f>(VLOOKUP($E86,$D$6:$AI$659,M$2,)/VLOOKUP($E86,$D$6:$AI$659,3,))*$F86</f>
        <v>0</v>
      </c>
      <c r="N86" s="147">
        <f>(VLOOKUP($E86,$D$6:$AI$659,11,)/VLOOKUP($E86,$D$6:$AI$659,3,))*$F86</f>
        <v>0</v>
      </c>
      <c r="O86" s="147">
        <f>(VLOOKUP($E86,$D$6:$AI$659,O$2,)/VLOOKUP($E86,$D$6:$AI$659,3,))*$F86</f>
        <v>0</v>
      </c>
      <c r="P86" s="147">
        <f>(VLOOKUP($E86,$D$6:$AI$659,P$2,)/VLOOKUP($E86,$D$6:$AI$659,3,))*$F86</f>
        <v>0</v>
      </c>
      <c r="Q86" s="147">
        <f>(VLOOKUP($E86,$D$6:$AI$659,Q$2,)/VLOOKUP($E86,$D$6:$AI$659,3,))*$F86</f>
        <v>0</v>
      </c>
      <c r="R86" s="147">
        <f>(VLOOKUP($E86,$D$6:$AI$659,15,)/VLOOKUP($E86,$D$6:$AI$659,3,))*$F86</f>
        <v>0</v>
      </c>
      <c r="S86" s="147">
        <f>(VLOOKUP($E86,$D$6:$AI$659,16,)/VLOOKUP($E86,$D$6:$AI$659,3,))*$F86</f>
        <v>0</v>
      </c>
      <c r="T86" s="147">
        <f>(VLOOKUP($E86,$D$6:$AI$659,17,)/VLOOKUP($E86,$D$6:$AI$659,3,))*$F86</f>
        <v>0</v>
      </c>
      <c r="U86" s="148">
        <f>SUM(G86:M86)</f>
        <v>210374130.08986318</v>
      </c>
      <c r="V86" s="133" t="str">
        <f>IF(ABS(F86-U86)&lt;0.01,"ok","err")</f>
        <v>ok</v>
      </c>
    </row>
    <row r="87" spans="1:22" x14ac:dyDescent="0.25">
      <c r="F87" s="15"/>
      <c r="U87" s="148"/>
    </row>
    <row r="88" spans="1:22" x14ac:dyDescent="0.25">
      <c r="A88" s="134" t="s">
        <v>11</v>
      </c>
      <c r="F88" s="15"/>
      <c r="U88" s="148"/>
    </row>
    <row r="89" spans="1:22" x14ac:dyDescent="0.25">
      <c r="A89" s="146" t="s">
        <v>208</v>
      </c>
      <c r="C89" s="140" t="s">
        <v>92</v>
      </c>
      <c r="D89" s="140" t="s">
        <v>211</v>
      </c>
      <c r="E89" s="140" t="s">
        <v>321</v>
      </c>
      <c r="F89" s="147">
        <f>VLOOKUP(C89,'Functional Assignment'!$C$1:$AR$730,18,)</f>
        <v>53516311.563263133</v>
      </c>
      <c r="G89" s="147">
        <f>(VLOOKUP($E89,$D$6:$AI$659,G$2,)/VLOOKUP($E89,$D$6:$AI$659,3,))*$F89</f>
        <v>35964611.55201783</v>
      </c>
      <c r="H89" s="147">
        <f>(VLOOKUP($E89,$D$6:$AI$659,H$2,)/VLOOKUP($E89,$D$6:$AI$659,3,))*$F89</f>
        <v>14771141.636066463</v>
      </c>
      <c r="I89" s="147">
        <f>(VLOOKUP($E89,$D$6:$AI$659,I$2,)/VLOOKUP($E89,$D$6:$AI$659,3,))*$F89</f>
        <v>1213918.1381656725</v>
      </c>
      <c r="J89" s="147">
        <f>(VLOOKUP($E89,$D$6:$AI$659,J$2,)/VLOOKUP($E89,$D$6:$AI$659,3,))*$F89</f>
        <v>34260.386531103439</v>
      </c>
      <c r="K89" s="147">
        <f>(VLOOKUP($E89,$D$6:$AI$659,8,)/VLOOKUP($E89,$D$6:$AI$659,3,))*$F89</f>
        <v>1532379.8504820548</v>
      </c>
      <c r="L89" s="147">
        <f>(VLOOKUP($E89,$D$6:$AI$659,L$2,)/VLOOKUP($E89,$D$6:$AI$659,3,))*$F89</f>
        <v>0</v>
      </c>
      <c r="M89" s="147">
        <f>(VLOOKUP($E89,$D$6:$AI$659,M$2,)/VLOOKUP($E89,$D$6:$AI$659,3,))*$F89</f>
        <v>0</v>
      </c>
      <c r="N89" s="147">
        <f>(VLOOKUP($E89,$D$6:$AI$659,11,)/VLOOKUP($E89,$D$6:$AI$659,3,))*$F89</f>
        <v>0</v>
      </c>
      <c r="O89" s="147">
        <f>(VLOOKUP($E89,$D$6:$AI$659,O$2,)/VLOOKUP($E89,$D$6:$AI$659,3,))*$F89</f>
        <v>0</v>
      </c>
      <c r="P89" s="147">
        <f>(VLOOKUP($E89,$D$6:$AI$659,P$2,)/VLOOKUP($E89,$D$6:$AI$659,3,))*$F89</f>
        <v>0</v>
      </c>
      <c r="Q89" s="147">
        <f>(VLOOKUP($E89,$D$6:$AI$659,Q$2,)/VLOOKUP($E89,$D$6:$AI$659,3,))*$F89</f>
        <v>0</v>
      </c>
      <c r="R89" s="147">
        <f>(VLOOKUP($E89,$D$6:$AI$659,15,)/VLOOKUP($E89,$D$6:$AI$659,3,))*$F89</f>
        <v>0</v>
      </c>
      <c r="S89" s="147">
        <f>(VLOOKUP($E89,$D$6:$AI$659,16,)/VLOOKUP($E89,$D$6:$AI$659,3,))*$F89</f>
        <v>0</v>
      </c>
      <c r="T89" s="147">
        <f>(VLOOKUP($E89,$D$6:$AI$659,17,)/VLOOKUP($E89,$D$6:$AI$659,3,))*$F89</f>
        <v>0</v>
      </c>
      <c r="U89" s="148">
        <f>SUM(G89:M89)</f>
        <v>53516311.563263126</v>
      </c>
      <c r="V89" s="133" t="str">
        <f>IF(ABS(F89-U89)&lt;0.01,"ok","err")</f>
        <v>ok</v>
      </c>
    </row>
    <row r="90" spans="1:22" x14ac:dyDescent="0.25">
      <c r="F90" s="15"/>
      <c r="U90" s="148"/>
    </row>
    <row r="91" spans="1:22" x14ac:dyDescent="0.25">
      <c r="A91" s="134" t="s">
        <v>12</v>
      </c>
      <c r="F91" s="15"/>
      <c r="U91" s="148"/>
    </row>
    <row r="92" spans="1:22" x14ac:dyDescent="0.25">
      <c r="A92" s="146" t="s">
        <v>208</v>
      </c>
      <c r="C92" s="140" t="s">
        <v>92</v>
      </c>
      <c r="D92" s="140" t="s">
        <v>255</v>
      </c>
      <c r="E92" s="140" t="s">
        <v>322</v>
      </c>
      <c r="F92" s="147">
        <f>VLOOKUP(C92,'Functional Assignment'!$C$1:$AR$730,19,)</f>
        <v>1808349.8864779996</v>
      </c>
      <c r="G92" s="147">
        <f>(VLOOKUP($E92,$D$6:$AI$659,G$2,)/VLOOKUP($E92,$D$6:$AI$659,3,))*$F92</f>
        <v>1542100.8146656158</v>
      </c>
      <c r="H92" s="147">
        <f>(VLOOKUP($E92,$D$6:$AI$659,H$2,)/VLOOKUP($E92,$D$6:$AI$659,3,))*$F92</f>
        <v>259604.59555913016</v>
      </c>
      <c r="I92" s="147">
        <f>(VLOOKUP($E92,$D$6:$AI$659,I$2,)/VLOOKUP($E92,$D$6:$AI$659,3,))*$F92</f>
        <v>2783.7077490139218</v>
      </c>
      <c r="J92" s="147">
        <f>(VLOOKUP($E92,$D$6:$AI$659,J$2,)/VLOOKUP($E92,$D$6:$AI$659,3,))*$F92</f>
        <v>62.438304650779557</v>
      </c>
      <c r="K92" s="147">
        <f>(VLOOKUP($E92,$D$6:$AI$659,8,)/VLOOKUP($E92,$D$6:$AI$659,3,))*$F92</f>
        <v>3798.3301995890902</v>
      </c>
      <c r="L92" s="147">
        <f>(VLOOKUP($E92,$D$6:$AI$659,L$2,)/VLOOKUP($E92,$D$6:$AI$659,3,))*$F92</f>
        <v>0</v>
      </c>
      <c r="M92" s="147">
        <f>(VLOOKUP($E92,$D$6:$AI$659,M$2,)/VLOOKUP($E92,$D$6:$AI$659,3,))*$F92</f>
        <v>0</v>
      </c>
      <c r="N92" s="147">
        <f>(VLOOKUP($E92,$D$6:$AI$659,11,)/VLOOKUP($E92,$D$6:$AI$659,3,))*$F92</f>
        <v>0</v>
      </c>
      <c r="O92" s="147">
        <f>(VLOOKUP($E92,$D$6:$AI$659,O$2,)/VLOOKUP($E92,$D$6:$AI$659,3,))*$F92</f>
        <v>0</v>
      </c>
      <c r="P92" s="147">
        <f>(VLOOKUP($E92,$D$6:$AI$659,P$2,)/VLOOKUP($E92,$D$6:$AI$659,3,))*$F92</f>
        <v>0</v>
      </c>
      <c r="Q92" s="147">
        <f>(VLOOKUP($E92,$D$6:$AI$659,Q$2,)/VLOOKUP($E92,$D$6:$AI$659,3,))*$F92</f>
        <v>0</v>
      </c>
      <c r="R92" s="147">
        <f>(VLOOKUP($E92,$D$6:$AI$659,15,)/VLOOKUP($E92,$D$6:$AI$659,3,))*$F92</f>
        <v>0</v>
      </c>
      <c r="S92" s="147">
        <f>(VLOOKUP($E92,$D$6:$AI$659,16,)/VLOOKUP($E92,$D$6:$AI$659,3,))*$F92</f>
        <v>0</v>
      </c>
      <c r="T92" s="147">
        <f>(VLOOKUP($E92,$D$6:$AI$659,17,)/VLOOKUP($E92,$D$6:$AI$659,3,))*$F92</f>
        <v>0</v>
      </c>
      <c r="U92" s="148">
        <f>SUM(G92:M92)</f>
        <v>1808349.8864779999</v>
      </c>
      <c r="V92" s="133" t="str">
        <f>IF(ABS(F92-U92)&lt;0.1,"ok","err")</f>
        <v>ok</v>
      </c>
    </row>
    <row r="93" spans="1:22" x14ac:dyDescent="0.25">
      <c r="F93" s="15"/>
      <c r="U93" s="148"/>
    </row>
    <row r="94" spans="1:22" x14ac:dyDescent="0.25">
      <c r="A94" s="134" t="s">
        <v>13</v>
      </c>
      <c r="F94" s="15"/>
      <c r="U94" s="148"/>
    </row>
    <row r="95" spans="1:22" x14ac:dyDescent="0.25">
      <c r="A95" s="146" t="s">
        <v>208</v>
      </c>
      <c r="C95" s="140" t="s">
        <v>92</v>
      </c>
      <c r="D95" s="140" t="s">
        <v>210</v>
      </c>
      <c r="E95" s="140" t="s">
        <v>323</v>
      </c>
      <c r="F95" s="147">
        <f>VLOOKUP(C95,'Functional Assignment'!$C$1:$AR$730,20,)</f>
        <v>103640.44087543002</v>
      </c>
      <c r="G95" s="147">
        <f>(VLOOKUP($E95,$D$6:$AI$659,G$2,)/VLOOKUP($E95,$D$6:$AI$659,3,))*$F95</f>
        <v>88381.131052897399</v>
      </c>
      <c r="H95" s="147">
        <f>(VLOOKUP($E95,$D$6:$AI$659,H$2,)/VLOOKUP($E95,$D$6:$AI$659,3,))*$F95</f>
        <v>14878.500525934191</v>
      </c>
      <c r="I95" s="147">
        <f>(VLOOKUP($E95,$D$6:$AI$659,I$2,)/VLOOKUP($E95,$D$6:$AI$659,3,))*$F95</f>
        <v>159.54030828517085</v>
      </c>
      <c r="J95" s="147">
        <f>(VLOOKUP($E95,$D$6:$AI$659,J$2,)/VLOOKUP($E95,$D$6:$AI$659,3,))*$F95</f>
        <v>3.5784742045271969</v>
      </c>
      <c r="K95" s="147">
        <f>(VLOOKUP($E95,$D$6:$AI$659,8,)/VLOOKUP($E95,$D$6:$AI$659,3,))*$F95</f>
        <v>217.69051410873783</v>
      </c>
      <c r="L95" s="147">
        <f>(VLOOKUP($E95,$D$6:$AI$659,L$2,)/VLOOKUP($E95,$D$6:$AI$659,3,))*$F95</f>
        <v>0</v>
      </c>
      <c r="M95" s="147">
        <f>(VLOOKUP($E95,$D$6:$AI$659,M$2,)/VLOOKUP($E95,$D$6:$AI$659,3,))*$F95</f>
        <v>0</v>
      </c>
      <c r="N95" s="147">
        <f>(VLOOKUP($E95,$D$6:$AI$659,11,)/VLOOKUP($E95,$D$6:$AI$659,3,))*$F95</f>
        <v>0</v>
      </c>
      <c r="O95" s="147">
        <f>(VLOOKUP($E95,$D$6:$AI$659,O$2,)/VLOOKUP($E95,$D$6:$AI$659,3,))*$F95</f>
        <v>0</v>
      </c>
      <c r="P95" s="147">
        <f>(VLOOKUP($E95,$D$6:$AI$659,P$2,)/VLOOKUP($E95,$D$6:$AI$659,3,))*$F95</f>
        <v>0</v>
      </c>
      <c r="Q95" s="147">
        <f>(VLOOKUP($E95,$D$6:$AI$659,Q$2,)/VLOOKUP($E95,$D$6:$AI$659,3,))*$F95</f>
        <v>0</v>
      </c>
      <c r="R95" s="147">
        <f>(VLOOKUP($E95,$D$6:$AI$659,15,)/VLOOKUP($E95,$D$6:$AI$659,3,))*$F95</f>
        <v>0</v>
      </c>
      <c r="S95" s="147">
        <f>(VLOOKUP($E95,$D$6:$AI$659,16,)/VLOOKUP($E95,$D$6:$AI$659,3,))*$F95</f>
        <v>0</v>
      </c>
      <c r="T95" s="147">
        <f>(VLOOKUP($E95,$D$6:$AI$659,17,)/VLOOKUP($E95,$D$6:$AI$659,3,))*$F95</f>
        <v>0</v>
      </c>
      <c r="U95" s="148">
        <f>SUM(G95:M95)</f>
        <v>103640.44087543001</v>
      </c>
      <c r="V95" s="133" t="str">
        <f>IF(ABS(F95-U95)&lt;0.01,"ok","err")</f>
        <v>ok</v>
      </c>
    </row>
    <row r="96" spans="1:22" x14ac:dyDescent="0.25">
      <c r="F96" s="15"/>
      <c r="U96" s="148"/>
    </row>
    <row r="97" spans="1:24" x14ac:dyDescent="0.25">
      <c r="A97" s="140" t="s">
        <v>14</v>
      </c>
      <c r="D97" s="140" t="s">
        <v>212</v>
      </c>
      <c r="F97" s="147">
        <f t="shared" ref="F97:T97" si="28">F59+F64+F69+F72+F75+F83+F86+F89+F92+F95</f>
        <v>712384727.09200513</v>
      </c>
      <c r="G97" s="147">
        <f t="shared" si="28"/>
        <v>471078648.23695004</v>
      </c>
      <c r="H97" s="147">
        <f t="shared" si="28"/>
        <v>195659865.6677227</v>
      </c>
      <c r="I97" s="147">
        <f t="shared" si="28"/>
        <v>17524372.844614524</v>
      </c>
      <c r="J97" s="147">
        <f t="shared" si="28"/>
        <v>2084755.6696348684</v>
      </c>
      <c r="K97" s="147">
        <f t="shared" si="28"/>
        <v>26037084.67308291</v>
      </c>
      <c r="L97" s="147">
        <f t="shared" si="28"/>
        <v>0</v>
      </c>
      <c r="M97" s="147">
        <f t="shared" si="28"/>
        <v>0</v>
      </c>
      <c r="N97" s="147">
        <f t="shared" si="28"/>
        <v>1469038.9635557639</v>
      </c>
      <c r="O97" s="147">
        <f t="shared" si="28"/>
        <v>0</v>
      </c>
      <c r="P97" s="147">
        <f t="shared" si="28"/>
        <v>0</v>
      </c>
      <c r="Q97" s="147">
        <f t="shared" si="28"/>
        <v>0</v>
      </c>
      <c r="R97" s="147">
        <f t="shared" si="28"/>
        <v>0</v>
      </c>
      <c r="S97" s="147">
        <f t="shared" si="28"/>
        <v>0</v>
      </c>
      <c r="T97" s="147">
        <f t="shared" si="28"/>
        <v>0</v>
      </c>
      <c r="U97" s="148">
        <f>SUM(G97:M97)</f>
        <v>712384727.09200501</v>
      </c>
      <c r="V97" s="133" t="str">
        <f>IF(ABS(F97-U97)&lt;0.01,"ok","err")</f>
        <v>ok</v>
      </c>
      <c r="W97" s="148"/>
      <c r="X97" s="133"/>
    </row>
    <row r="98" spans="1:24" x14ac:dyDescent="0.25"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8"/>
      <c r="V98" s="133"/>
    </row>
    <row r="99" spans="1:24" x14ac:dyDescent="0.25">
      <c r="F99" s="147"/>
      <c r="G99" s="147"/>
      <c r="H99" s="147">
        <f>H80+H82+H86+H89+H92+H95</f>
        <v>65556062.748423524</v>
      </c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8"/>
      <c r="V99" s="133"/>
    </row>
    <row r="100" spans="1:24" x14ac:dyDescent="0.25"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8"/>
      <c r="V100" s="133"/>
    </row>
    <row r="101" spans="1:24" x14ac:dyDescent="0.25">
      <c r="A101" s="145" t="s">
        <v>171</v>
      </c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8"/>
      <c r="V101" s="133"/>
    </row>
    <row r="102" spans="1:24" x14ac:dyDescent="0.25"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8"/>
      <c r="V102" s="133"/>
    </row>
    <row r="103" spans="1:24" x14ac:dyDescent="0.25">
      <c r="A103" s="134" t="s">
        <v>455</v>
      </c>
      <c r="U103" s="148"/>
    </row>
    <row r="104" spans="1:24" x14ac:dyDescent="0.25">
      <c r="A104" s="146" t="s">
        <v>207</v>
      </c>
      <c r="C104" s="140" t="s">
        <v>90</v>
      </c>
      <c r="D104" s="140" t="s">
        <v>257</v>
      </c>
      <c r="E104" s="140" t="s">
        <v>310</v>
      </c>
      <c r="F104" s="147">
        <f>VLOOKUP(C104,'Functional Assignment'!$C$1:$AR$730,5,)</f>
        <v>124749.13504238133</v>
      </c>
      <c r="G104" s="147">
        <f t="shared" ref="G104:J105" si="29">(VLOOKUP($E104,$D$6:$AI$659,G$2,)/VLOOKUP($E104,$D$6:$AI$659,3,))*$F104</f>
        <v>82487.237401196777</v>
      </c>
      <c r="H104" s="147">
        <f t="shared" si="29"/>
        <v>37698.461172097785</v>
      </c>
      <c r="I104" s="147">
        <f t="shared" si="29"/>
        <v>3729.7607344062285</v>
      </c>
      <c r="J104" s="147">
        <f t="shared" si="29"/>
        <v>833.67573468054127</v>
      </c>
      <c r="K104" s="147">
        <f>(VLOOKUP($E104,$D$6:$AI$659,8,)/VLOOKUP($E104,$D$6:$AI$659,3,))*$F104</f>
        <v>0</v>
      </c>
      <c r="L104" s="147">
        <f>(VLOOKUP($E104,$D$6:$AI$659,L$2,)/VLOOKUP($E104,$D$6:$AI$659,3,))*$F104</f>
        <v>0</v>
      </c>
      <c r="M104" s="147">
        <f>(VLOOKUP($E104,$D$6:$AI$659,M$2,)/VLOOKUP($E104,$D$6:$AI$659,3,))*$F104</f>
        <v>0</v>
      </c>
      <c r="N104" s="147">
        <f>(VLOOKUP($E104,$D$6:$AI$659,11,)/VLOOKUP($E104,$D$6:$AI$659,3,))*$F104</f>
        <v>0</v>
      </c>
      <c r="O104" s="147">
        <f t="shared" ref="O104:Q105" si="30">(VLOOKUP($E104,$D$6:$AI$659,O$2,)/VLOOKUP($E104,$D$6:$AI$659,3,))*$F104</f>
        <v>0</v>
      </c>
      <c r="P104" s="147">
        <f t="shared" si="30"/>
        <v>0</v>
      </c>
      <c r="Q104" s="147">
        <f t="shared" si="30"/>
        <v>0</v>
      </c>
      <c r="R104" s="147">
        <f>(VLOOKUP($E104,$D$6:$AI$659,15,)/VLOOKUP($E104,$D$6:$AI$659,3,))*$F104</f>
        <v>0</v>
      </c>
      <c r="S104" s="147">
        <f>(VLOOKUP($E104,$D$6:$AI$659,16,)/VLOOKUP($E104,$D$6:$AI$659,3,))*$F104</f>
        <v>0</v>
      </c>
      <c r="T104" s="147">
        <f>(VLOOKUP($E104,$D$6:$AI$659,17,)/VLOOKUP($E104,$D$6:$AI$659,3,))*$F104</f>
        <v>0</v>
      </c>
      <c r="U104" s="148">
        <f>SUM(G104:M104)</f>
        <v>124749.13504238133</v>
      </c>
      <c r="V104" s="133" t="str">
        <f>IF(ABS(F104-U104)&lt;0.01,"ok","err")</f>
        <v>ok</v>
      </c>
    </row>
    <row r="105" spans="1:24" x14ac:dyDescent="0.25">
      <c r="A105" s="146" t="s">
        <v>226</v>
      </c>
      <c r="C105" s="140" t="s">
        <v>90</v>
      </c>
      <c r="D105" s="140" t="s">
        <v>267</v>
      </c>
      <c r="E105" s="140" t="s">
        <v>311</v>
      </c>
      <c r="F105" s="15">
        <f>VLOOKUP(C105,'Functional Assignment'!$C$1:$AR$730,6,)</f>
        <v>937849.9709404239</v>
      </c>
      <c r="G105" s="15">
        <f t="shared" si="29"/>
        <v>572211.63282401499</v>
      </c>
      <c r="H105" s="15">
        <f t="shared" si="29"/>
        <v>297239.80127000454</v>
      </c>
      <c r="I105" s="15">
        <f t="shared" si="29"/>
        <v>57136.383207200721</v>
      </c>
      <c r="J105" s="15">
        <f t="shared" si="29"/>
        <v>11262.153639203709</v>
      </c>
      <c r="K105" s="15">
        <f>(VLOOKUP($E105,$D$6:$AI$659,8,)/VLOOKUP($E105,$D$6:$AI$659,3,))*$F105</f>
        <v>0</v>
      </c>
      <c r="L105" s="15">
        <f>(VLOOKUP($E105,$D$6:$AI$659,L$2,)/VLOOKUP($E105,$D$6:$AI$659,3,))*$F105</f>
        <v>0</v>
      </c>
      <c r="M105" s="15">
        <f>(VLOOKUP($E105,$D$6:$AI$659,M$2,)/VLOOKUP($E105,$D$6:$AI$659,3,))*$F105</f>
        <v>0</v>
      </c>
      <c r="N105" s="15">
        <f>(VLOOKUP($E105,$D$6:$AI$659,11,)/VLOOKUP($E105,$D$6:$AI$659,3,))*$F105</f>
        <v>0</v>
      </c>
      <c r="O105" s="15">
        <f t="shared" si="30"/>
        <v>0</v>
      </c>
      <c r="P105" s="15">
        <f t="shared" si="30"/>
        <v>0</v>
      </c>
      <c r="Q105" s="15">
        <f t="shared" si="30"/>
        <v>0</v>
      </c>
      <c r="R105" s="15">
        <f>(VLOOKUP($E105,$D$6:$AI$659,15,)/VLOOKUP($E105,$D$6:$AI$659,3,))*$F105</f>
        <v>0</v>
      </c>
      <c r="S105" s="15">
        <f>(VLOOKUP($E105,$D$6:$AI$659,16,)/VLOOKUP($E105,$D$6:$AI$659,3,))*$F105</f>
        <v>0</v>
      </c>
      <c r="T105" s="15">
        <f>(VLOOKUP($E105,$D$6:$AI$659,17,)/VLOOKUP($E105,$D$6:$AI$659,3,))*$F105</f>
        <v>0</v>
      </c>
      <c r="U105" s="148">
        <f>SUM(G105:M105)</f>
        <v>937849.9709404239</v>
      </c>
      <c r="V105" s="133" t="str">
        <f>IF(ABS(F105-U105)&lt;0.01,"ok","err")</f>
        <v>ok</v>
      </c>
    </row>
    <row r="106" spans="1:24" x14ac:dyDescent="0.25">
      <c r="A106" s="140" t="s">
        <v>658</v>
      </c>
      <c r="D106" s="140" t="s">
        <v>336</v>
      </c>
      <c r="F106" s="147">
        <f t="shared" ref="F106:T106" si="31">F104+F105</f>
        <v>1062599.1059828051</v>
      </c>
      <c r="G106" s="147">
        <f t="shared" si="31"/>
        <v>654698.87022521172</v>
      </c>
      <c r="H106" s="147">
        <f t="shared" si="31"/>
        <v>334938.26244210231</v>
      </c>
      <c r="I106" s="147">
        <f t="shared" si="31"/>
        <v>60866.143941606948</v>
      </c>
      <c r="J106" s="147">
        <f t="shared" si="31"/>
        <v>12095.829373884249</v>
      </c>
      <c r="K106" s="147">
        <f t="shared" si="31"/>
        <v>0</v>
      </c>
      <c r="L106" s="147">
        <f t="shared" si="31"/>
        <v>0</v>
      </c>
      <c r="M106" s="147">
        <f t="shared" si="31"/>
        <v>0</v>
      </c>
      <c r="N106" s="147">
        <f t="shared" si="31"/>
        <v>0</v>
      </c>
      <c r="O106" s="147">
        <f t="shared" si="31"/>
        <v>0</v>
      </c>
      <c r="P106" s="147">
        <f t="shared" si="31"/>
        <v>0</v>
      </c>
      <c r="Q106" s="147">
        <f t="shared" si="31"/>
        <v>0</v>
      </c>
      <c r="R106" s="147">
        <f t="shared" si="31"/>
        <v>0</v>
      </c>
      <c r="S106" s="147">
        <f t="shared" si="31"/>
        <v>0</v>
      </c>
      <c r="T106" s="147">
        <f t="shared" si="31"/>
        <v>0</v>
      </c>
      <c r="U106" s="148">
        <f>SUM(G106:M106)</f>
        <v>1062599.1059828051</v>
      </c>
      <c r="V106" s="133" t="str">
        <f>IF(ABS(F106-U106)&lt;0.01,"ok","err")</f>
        <v>ok</v>
      </c>
    </row>
    <row r="107" spans="1:24" x14ac:dyDescent="0.25">
      <c r="F107" s="15"/>
      <c r="G107" s="15"/>
      <c r="U107" s="148"/>
    </row>
    <row r="108" spans="1:24" x14ac:dyDescent="0.25">
      <c r="A108" s="134" t="s">
        <v>3</v>
      </c>
      <c r="F108" s="15"/>
      <c r="G108" s="15"/>
      <c r="U108" s="148"/>
    </row>
    <row r="109" spans="1:24" x14ac:dyDescent="0.25">
      <c r="A109" s="146" t="s">
        <v>207</v>
      </c>
      <c r="C109" s="140" t="s">
        <v>90</v>
      </c>
      <c r="D109" s="140" t="s">
        <v>258</v>
      </c>
      <c r="E109" s="140" t="s">
        <v>312</v>
      </c>
      <c r="F109" s="147">
        <f>VLOOKUP(C109,'Functional Assignment'!$C$1:$AR$730,7,)</f>
        <v>4193958.3404536862</v>
      </c>
      <c r="G109" s="147">
        <f t="shared" ref="G109:J110" si="32">(VLOOKUP($E109,$D$6:$AI$659,G$2,)/VLOOKUP($E109,$D$6:$AI$659,3,))*$F109</f>
        <v>2793327.103772521</v>
      </c>
      <c r="H109" s="147">
        <f t="shared" si="32"/>
        <v>1257064.9478134511</v>
      </c>
      <c r="I109" s="147">
        <f t="shared" si="32"/>
        <v>106971.23320124878</v>
      </c>
      <c r="J109" s="147">
        <f t="shared" si="32"/>
        <v>0</v>
      </c>
      <c r="K109" s="147">
        <f>(VLOOKUP($E109,$D$6:$AI$659,8,)/VLOOKUP($E109,$D$6:$AI$659,3,))*$F109</f>
        <v>36595.055666465363</v>
      </c>
      <c r="L109" s="147">
        <f>(VLOOKUP($E109,$D$6:$AI$659,L$2,)/VLOOKUP($E109,$D$6:$AI$659,3,))*$F109</f>
        <v>0</v>
      </c>
      <c r="M109" s="147">
        <f>(VLOOKUP($E109,$D$6:$AI$659,M$2,)/VLOOKUP($E109,$D$6:$AI$659,3,))*$F109</f>
        <v>0</v>
      </c>
      <c r="N109" s="147">
        <f>(VLOOKUP($E109,$D$6:$AI$659,11,)/VLOOKUP($E109,$D$6:$AI$659,3,))*$F109</f>
        <v>36595.055666465363</v>
      </c>
      <c r="O109" s="147">
        <f t="shared" ref="O109:Q110" si="33">(VLOOKUP($E109,$D$6:$AI$659,O$2,)/VLOOKUP($E109,$D$6:$AI$659,3,))*$F109</f>
        <v>0</v>
      </c>
      <c r="P109" s="147">
        <f t="shared" si="33"/>
        <v>0</v>
      </c>
      <c r="Q109" s="147">
        <f t="shared" si="33"/>
        <v>0</v>
      </c>
      <c r="R109" s="147">
        <f>(VLOOKUP($E109,$D$6:$AI$659,15,)/VLOOKUP($E109,$D$6:$AI$659,3,))*$F109</f>
        <v>0</v>
      </c>
      <c r="S109" s="147">
        <f>(VLOOKUP($E109,$D$6:$AI$659,16,)/VLOOKUP($E109,$D$6:$AI$659,3,))*$F109</f>
        <v>0</v>
      </c>
      <c r="T109" s="147">
        <f>(VLOOKUP($E109,$D$6:$AI$659,17,)/VLOOKUP($E109,$D$6:$AI$659,3,))*$F109</f>
        <v>0</v>
      </c>
      <c r="U109" s="148">
        <f>SUM(G109:M109)</f>
        <v>4193958.3404536862</v>
      </c>
      <c r="V109" s="133" t="str">
        <f>IF(ABS(F109-U109)&lt;0.01,"ok","err")</f>
        <v>ok</v>
      </c>
    </row>
    <row r="110" spans="1:24" x14ac:dyDescent="0.25">
      <c r="A110" s="140" t="s">
        <v>226</v>
      </c>
      <c r="C110" s="140" t="s">
        <v>90</v>
      </c>
      <c r="D110" s="140" t="s">
        <v>259</v>
      </c>
      <c r="E110" s="140" t="s">
        <v>313</v>
      </c>
      <c r="F110" s="15">
        <f>VLOOKUP(C110,'Functional Assignment'!$C$1:$AR$730,8,)</f>
        <v>10209228.805707246</v>
      </c>
      <c r="G110" s="15">
        <f t="shared" si="32"/>
        <v>6622765.794084698</v>
      </c>
      <c r="H110" s="15">
        <f t="shared" si="32"/>
        <v>3151698.52228643</v>
      </c>
      <c r="I110" s="15">
        <f t="shared" si="32"/>
        <v>434764.48933611775</v>
      </c>
      <c r="J110" s="15">
        <f t="shared" si="32"/>
        <v>0</v>
      </c>
      <c r="K110" s="15">
        <f>(VLOOKUP($E110,$D$6:$AI$659,8,)/VLOOKUP($E110,$D$6:$AI$659,3,))*$F110</f>
        <v>0</v>
      </c>
      <c r="L110" s="15">
        <f>(VLOOKUP($E110,$D$6:$AI$659,L$2,)/VLOOKUP($E110,$D$6:$AI$659,3,))*$F110</f>
        <v>0</v>
      </c>
      <c r="M110" s="15">
        <f>(VLOOKUP($E110,$D$6:$AI$659,M$2,)/VLOOKUP($E110,$D$6:$AI$659,3,))*$F110</f>
        <v>0</v>
      </c>
      <c r="N110" s="15">
        <f>(VLOOKUP($E110,$D$6:$AI$659,11,)/VLOOKUP($E110,$D$6:$AI$659,3,))*$F110</f>
        <v>0</v>
      </c>
      <c r="O110" s="15">
        <f t="shared" si="33"/>
        <v>0</v>
      </c>
      <c r="P110" s="15">
        <f t="shared" si="33"/>
        <v>0</v>
      </c>
      <c r="Q110" s="15">
        <f t="shared" si="33"/>
        <v>0</v>
      </c>
      <c r="R110" s="15">
        <f>(VLOOKUP($E110,$D$6:$AI$659,15,)/VLOOKUP($E110,$D$6:$AI$659,3,))*$F110</f>
        <v>0</v>
      </c>
      <c r="S110" s="15">
        <f>(VLOOKUP($E110,$D$6:$AI$659,16,)/VLOOKUP($E110,$D$6:$AI$659,3,))*$F110</f>
        <v>0</v>
      </c>
      <c r="T110" s="15">
        <f>(VLOOKUP($E110,$D$6:$AI$659,17,)/VLOOKUP($E110,$D$6:$AI$659,3,))*$F110</f>
        <v>0</v>
      </c>
      <c r="U110" s="148">
        <f>SUM(G110:M110)</f>
        <v>10209228.805707246</v>
      </c>
      <c r="V110" s="133" t="str">
        <f>IF(ABS(F110-U110)&lt;0.01,"ok","err")</f>
        <v>ok</v>
      </c>
    </row>
    <row r="111" spans="1:24" x14ac:dyDescent="0.25">
      <c r="A111" s="140" t="s">
        <v>227</v>
      </c>
      <c r="D111" s="140" t="s">
        <v>337</v>
      </c>
      <c r="F111" s="147">
        <f>SUM(F109:F110)</f>
        <v>14403187.146160932</v>
      </c>
      <c r="G111" s="147">
        <f t="shared" ref="G111:T111" si="34">G109+G110</f>
        <v>9416092.897857219</v>
      </c>
      <c r="H111" s="147">
        <f t="shared" si="34"/>
        <v>4408763.4700998813</v>
      </c>
      <c r="I111" s="147">
        <f t="shared" si="34"/>
        <v>541735.72253736656</v>
      </c>
      <c r="J111" s="147">
        <f t="shared" si="34"/>
        <v>0</v>
      </c>
      <c r="K111" s="147">
        <f t="shared" si="34"/>
        <v>36595.055666465363</v>
      </c>
      <c r="L111" s="147">
        <f t="shared" si="34"/>
        <v>0</v>
      </c>
      <c r="M111" s="147">
        <f t="shared" si="34"/>
        <v>0</v>
      </c>
      <c r="N111" s="147">
        <f t="shared" si="34"/>
        <v>36595.055666465363</v>
      </c>
      <c r="O111" s="147">
        <f t="shared" si="34"/>
        <v>0</v>
      </c>
      <c r="P111" s="147">
        <f t="shared" si="34"/>
        <v>0</v>
      </c>
      <c r="Q111" s="147">
        <f t="shared" si="34"/>
        <v>0</v>
      </c>
      <c r="R111" s="147">
        <f t="shared" si="34"/>
        <v>0</v>
      </c>
      <c r="S111" s="147">
        <f t="shared" si="34"/>
        <v>0</v>
      </c>
      <c r="T111" s="147">
        <f t="shared" si="34"/>
        <v>0</v>
      </c>
      <c r="U111" s="148">
        <f>SUM(G111:M111)</f>
        <v>14403187.146160932</v>
      </c>
      <c r="V111" s="133" t="str">
        <f>IF(ABS(F111-U111)&lt;0.01,"ok","err")</f>
        <v>ok</v>
      </c>
    </row>
    <row r="112" spans="1:24" x14ac:dyDescent="0.25">
      <c r="F112" s="15"/>
      <c r="G112" s="15"/>
      <c r="U112" s="148"/>
    </row>
    <row r="113" spans="1:22" x14ac:dyDescent="0.25">
      <c r="A113" s="134" t="s">
        <v>4</v>
      </c>
      <c r="F113" s="15"/>
      <c r="G113" s="15"/>
      <c r="U113" s="148"/>
    </row>
    <row r="114" spans="1:22" x14ac:dyDescent="0.25">
      <c r="A114" s="146" t="s">
        <v>870</v>
      </c>
      <c r="C114" s="140" t="s">
        <v>90</v>
      </c>
      <c r="D114" s="140" t="s">
        <v>260</v>
      </c>
      <c r="E114" s="140" t="s">
        <v>317</v>
      </c>
      <c r="F114" s="147">
        <f>VLOOKUP(C114,'Functional Assignment'!$C$1:$AR$730,9,)</f>
        <v>1098159.0525348058</v>
      </c>
      <c r="G114" s="147">
        <f t="shared" ref="G114:J115" si="35">(VLOOKUP($E114,$D$6:$AI$659,G$2,)/VLOOKUP($E114,$D$6:$AI$659,3,))*$F114</f>
        <v>596199.85007524432</v>
      </c>
      <c r="H114" s="147">
        <f t="shared" si="35"/>
        <v>272476.29581235099</v>
      </c>
      <c r="I114" s="147">
        <f t="shared" si="35"/>
        <v>26957.901133894247</v>
      </c>
      <c r="J114" s="147">
        <f t="shared" si="35"/>
        <v>6025.6272811082972</v>
      </c>
      <c r="K114" s="147">
        <f>(VLOOKUP($E114,$D$6:$AI$659,8,)/VLOOKUP($E114,$D$6:$AI$659,3,))*$F114</f>
        <v>196499.37823220796</v>
      </c>
      <c r="L114" s="147">
        <f>(VLOOKUP($E114,$D$6:$AI$659,L$2,)/VLOOKUP($E114,$D$6:$AI$659,3,))*$F114</f>
        <v>0</v>
      </c>
      <c r="M114" s="147">
        <f>(VLOOKUP($E114,$D$6:$AI$659,M$2,)/VLOOKUP($E114,$D$6:$AI$659,3,))*$F114</f>
        <v>0</v>
      </c>
      <c r="N114" s="147">
        <f>(VLOOKUP($E114,$D$6:$AI$659,11,)/VLOOKUP($E114,$D$6:$AI$659,3,))*$F114</f>
        <v>0</v>
      </c>
      <c r="O114" s="147">
        <f t="shared" ref="O114:Q115" si="36">(VLOOKUP($E114,$D$6:$AI$659,O$2,)/VLOOKUP($E114,$D$6:$AI$659,3,))*$F114</f>
        <v>0</v>
      </c>
      <c r="P114" s="147">
        <f t="shared" si="36"/>
        <v>0</v>
      </c>
      <c r="Q114" s="147">
        <f t="shared" si="36"/>
        <v>0</v>
      </c>
      <c r="R114" s="147">
        <f>(VLOOKUP($E114,$D$6:$AI$659,15,)/VLOOKUP($E114,$D$6:$AI$659,3,))*$F114</f>
        <v>0</v>
      </c>
      <c r="S114" s="147">
        <f>(VLOOKUP($E114,$D$6:$AI$659,16,)/VLOOKUP($E114,$D$6:$AI$659,3,))*$F114</f>
        <v>0</v>
      </c>
      <c r="T114" s="147">
        <f>(VLOOKUP($E114,$D$6:$AI$659,17,)/VLOOKUP($E114,$D$6:$AI$659,3,))*$F114</f>
        <v>0</v>
      </c>
      <c r="U114" s="148">
        <f>SUM(G114:M114)</f>
        <v>1098159.0525348058</v>
      </c>
      <c r="V114" s="133" t="str">
        <f>IF(ABS(F114-U114)&lt;0.01,"ok","err")</f>
        <v>ok</v>
      </c>
    </row>
    <row r="115" spans="1:22" x14ac:dyDescent="0.25">
      <c r="A115" s="140" t="s">
        <v>865</v>
      </c>
      <c r="C115" s="140" t="s">
        <v>90</v>
      </c>
      <c r="D115" s="140" t="s">
        <v>261</v>
      </c>
      <c r="E115" s="140" t="s">
        <v>314</v>
      </c>
      <c r="F115" s="15">
        <f>VLOOKUP(C115,'Functional Assignment'!$C$1:$AR$730,10,)</f>
        <v>5202594.5817444324</v>
      </c>
      <c r="G115" s="15">
        <f t="shared" si="35"/>
        <v>3465115.1192776775</v>
      </c>
      <c r="H115" s="15">
        <f t="shared" si="35"/>
        <v>1559385.8487606333</v>
      </c>
      <c r="I115" s="15">
        <f t="shared" si="35"/>
        <v>132697.54086187083</v>
      </c>
      <c r="J115" s="15">
        <f t="shared" si="35"/>
        <v>0</v>
      </c>
      <c r="K115" s="15">
        <f>(VLOOKUP($E115,$D$6:$AI$659,8,)/VLOOKUP($E115,$D$6:$AI$659,3,))*$F115</f>
        <v>45396.072844250761</v>
      </c>
      <c r="L115" s="15">
        <f>(VLOOKUP($E115,$D$6:$AI$659,L$2,)/VLOOKUP($E115,$D$6:$AI$659,3,))*$F115</f>
        <v>0</v>
      </c>
      <c r="M115" s="15">
        <f>(VLOOKUP($E115,$D$6:$AI$659,M$2,)/VLOOKUP($E115,$D$6:$AI$659,3,))*$F115</f>
        <v>0</v>
      </c>
      <c r="N115" s="15">
        <f>(VLOOKUP($E115,$D$6:$AI$659,11,)/VLOOKUP($E115,$D$6:$AI$659,3,))*$F115</f>
        <v>45396.072844250761</v>
      </c>
      <c r="O115" s="15">
        <f t="shared" si="36"/>
        <v>0</v>
      </c>
      <c r="P115" s="15">
        <f t="shared" si="36"/>
        <v>0</v>
      </c>
      <c r="Q115" s="15">
        <f t="shared" si="36"/>
        <v>0</v>
      </c>
      <c r="R115" s="15">
        <f>(VLOOKUP($E115,$D$6:$AI$659,15,)/VLOOKUP($E115,$D$6:$AI$659,3,))*$F115</f>
        <v>0</v>
      </c>
      <c r="S115" s="15">
        <f>(VLOOKUP($E115,$D$6:$AI$659,16,)/VLOOKUP($E115,$D$6:$AI$659,3,))*$F115</f>
        <v>0</v>
      </c>
      <c r="T115" s="15">
        <f>(VLOOKUP($E115,$D$6:$AI$659,17,)/VLOOKUP($E115,$D$6:$AI$659,3,))*$F115</f>
        <v>0</v>
      </c>
      <c r="U115" s="148">
        <f>SUM(G115:M115)</f>
        <v>5202594.5817444334</v>
      </c>
      <c r="V115" s="133" t="str">
        <f>IF(ABS(F115-U115)&lt;0.01,"ok","err")</f>
        <v>ok</v>
      </c>
    </row>
    <row r="116" spans="1:22" x14ac:dyDescent="0.25">
      <c r="A116" s="140" t="s">
        <v>228</v>
      </c>
      <c r="D116" s="140" t="s">
        <v>664</v>
      </c>
      <c r="F116" s="147">
        <f>SUM(F114:F115)</f>
        <v>6300753.6342792381</v>
      </c>
      <c r="G116" s="147">
        <f t="shared" ref="G116:T116" si="37">G114+G115</f>
        <v>4061314.9693529219</v>
      </c>
      <c r="H116" s="147">
        <f t="shared" si="37"/>
        <v>1831862.1445729842</v>
      </c>
      <c r="I116" s="147">
        <f t="shared" si="37"/>
        <v>159655.44199576508</v>
      </c>
      <c r="J116" s="147">
        <f t="shared" si="37"/>
        <v>6025.6272811082972</v>
      </c>
      <c r="K116" s="147">
        <f t="shared" si="37"/>
        <v>241895.45107645873</v>
      </c>
      <c r="L116" s="147">
        <f t="shared" si="37"/>
        <v>0</v>
      </c>
      <c r="M116" s="147">
        <f t="shared" si="37"/>
        <v>0</v>
      </c>
      <c r="N116" s="147">
        <f t="shared" si="37"/>
        <v>45396.072844250761</v>
      </c>
      <c r="O116" s="147">
        <f t="shared" si="37"/>
        <v>0</v>
      </c>
      <c r="P116" s="147">
        <f t="shared" si="37"/>
        <v>0</v>
      </c>
      <c r="Q116" s="147">
        <f t="shared" si="37"/>
        <v>0</v>
      </c>
      <c r="R116" s="147">
        <f t="shared" si="37"/>
        <v>0</v>
      </c>
      <c r="S116" s="147">
        <f t="shared" si="37"/>
        <v>0</v>
      </c>
      <c r="T116" s="147">
        <f t="shared" si="37"/>
        <v>0</v>
      </c>
      <c r="U116" s="148">
        <f>SUM(G116:M116)</f>
        <v>6300753.6342792381</v>
      </c>
      <c r="V116" s="133" t="str">
        <f>IF(ABS(F116-U116)&lt;0.01,"ok","err")</f>
        <v>ok</v>
      </c>
    </row>
    <row r="117" spans="1:22" x14ac:dyDescent="0.25">
      <c r="F117" s="15"/>
      <c r="U117" s="148"/>
    </row>
    <row r="118" spans="1:22" x14ac:dyDescent="0.25">
      <c r="A118" s="134" t="s">
        <v>6</v>
      </c>
      <c r="F118" s="15"/>
      <c r="U118" s="148"/>
    </row>
    <row r="119" spans="1:22" x14ac:dyDescent="0.25">
      <c r="A119" s="140" t="s">
        <v>226</v>
      </c>
      <c r="C119" s="140" t="s">
        <v>90</v>
      </c>
      <c r="D119" s="140" t="s">
        <v>262</v>
      </c>
      <c r="E119" s="140" t="s">
        <v>316</v>
      </c>
      <c r="F119" s="147">
        <f>VLOOKUP(C119,'Functional Assignment'!$C$1:$AR$730,11,)</f>
        <v>1690883.1189900769</v>
      </c>
      <c r="G119" s="147">
        <f>(VLOOKUP($E119,$D$6:$AI$659,G$2,)/VLOOKUP($E119,$D$6:$AI$659,3,))*$F119</f>
        <v>744900.5500137856</v>
      </c>
      <c r="H119" s="147">
        <f>(VLOOKUP($E119,$D$6:$AI$659,H$2,)/VLOOKUP($E119,$D$6:$AI$659,3,))*$F119</f>
        <v>386944.40789202059</v>
      </c>
      <c r="I119" s="147">
        <f>(VLOOKUP($E119,$D$6:$AI$659,I$2,)/VLOOKUP($E119,$D$6:$AI$659,3,))*$F119</f>
        <v>74379.68897415261</v>
      </c>
      <c r="J119" s="147">
        <f>(VLOOKUP($E119,$D$6:$AI$659,J$2,)/VLOOKUP($E119,$D$6:$AI$659,3,))*$F119</f>
        <v>14660.981984549613</v>
      </c>
      <c r="K119" s="147">
        <f>(VLOOKUP($E119,$D$6:$AI$659,8,)/VLOOKUP($E119,$D$6:$AI$659,3,))*$F119</f>
        <v>469997.49012556858</v>
      </c>
      <c r="L119" s="147">
        <f>(VLOOKUP($E119,$D$6:$AI$659,L$2,)/VLOOKUP($E119,$D$6:$AI$659,3,))*$F119</f>
        <v>0</v>
      </c>
      <c r="M119" s="147">
        <f>(VLOOKUP($E119,$D$6:$AI$659,M$2,)/VLOOKUP($E119,$D$6:$AI$659,3,))*$F119</f>
        <v>0</v>
      </c>
      <c r="N119" s="147">
        <f>(VLOOKUP($E119,$D$6:$AI$659,11,)/VLOOKUP($E119,$D$6:$AI$659,3,))*$F119</f>
        <v>0</v>
      </c>
      <c r="O119" s="147">
        <f>(VLOOKUP($E119,$D$6:$AI$659,O$2,)/VLOOKUP($E119,$D$6:$AI$659,3,))*$F119</f>
        <v>0</v>
      </c>
      <c r="P119" s="147">
        <f>(VLOOKUP($E119,$D$6:$AI$659,P$2,)/VLOOKUP($E119,$D$6:$AI$659,3,))*$F119</f>
        <v>0</v>
      </c>
      <c r="Q119" s="147">
        <f>(VLOOKUP($E119,$D$6:$AI$659,Q$2,)/VLOOKUP($E119,$D$6:$AI$659,3,))*$F119</f>
        <v>0</v>
      </c>
      <c r="R119" s="147">
        <f>(VLOOKUP($E119,$D$6:$AI$659,15,)/VLOOKUP($E119,$D$6:$AI$659,3,))*$F119</f>
        <v>0</v>
      </c>
      <c r="S119" s="147">
        <f>(VLOOKUP($E119,$D$6:$AI$659,16,)/VLOOKUP($E119,$D$6:$AI$659,3,))*$F119</f>
        <v>0</v>
      </c>
      <c r="T119" s="147">
        <f>(VLOOKUP($E119,$D$6:$AI$659,17,)/VLOOKUP($E119,$D$6:$AI$659,3,))*$F119</f>
        <v>0</v>
      </c>
      <c r="U119" s="148">
        <f>SUM(G119:M119)</f>
        <v>1690883.1189900769</v>
      </c>
      <c r="V119" s="133" t="str">
        <f>IF(ABS(F119-U119)&lt;0.01,"ok","err")</f>
        <v>ok</v>
      </c>
    </row>
    <row r="120" spans="1:22" x14ac:dyDescent="0.25">
      <c r="A120" s="146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48"/>
      <c r="V120" s="133"/>
    </row>
    <row r="121" spans="1:22" x14ac:dyDescent="0.25">
      <c r="A121" s="134" t="s">
        <v>7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48"/>
      <c r="V121" s="133"/>
    </row>
    <row r="122" spans="1:22" x14ac:dyDescent="0.25">
      <c r="A122" s="146" t="s">
        <v>207</v>
      </c>
      <c r="C122" s="140" t="s">
        <v>90</v>
      </c>
      <c r="D122" s="140" t="s">
        <v>263</v>
      </c>
      <c r="E122" s="140" t="s">
        <v>317</v>
      </c>
      <c r="F122" s="147">
        <f>VLOOKUP(C122,'Functional Assignment'!$C$1:$AR$730,12,)</f>
        <v>3418587.2024662588</v>
      </c>
      <c r="G122" s="147">
        <f>(VLOOKUP($E122,$D$6:$AI$659,G$2,)/VLOOKUP($E122,$D$6:$AI$659,3,))*$F122</f>
        <v>1855979.9446855932</v>
      </c>
      <c r="H122" s="147">
        <f>(VLOOKUP($E122,$D$6:$AI$659,H$2,)/VLOOKUP($E122,$D$6:$AI$659,3,))*$F122</f>
        <v>848223.19288761739</v>
      </c>
      <c r="I122" s="147">
        <f>(VLOOKUP($E122,$D$6:$AI$659,I$2,)/VLOOKUP($E122,$D$6:$AI$659,3,))*$F122</f>
        <v>83920.389864254743</v>
      </c>
      <c r="J122" s="147">
        <f>(VLOOKUP($E122,$D$6:$AI$659,J$2,)/VLOOKUP($E122,$D$6:$AI$659,3,))*$F122</f>
        <v>18757.876887214839</v>
      </c>
      <c r="K122" s="147">
        <f>(VLOOKUP($E122,$D$6:$AI$659,8,)/VLOOKUP($E122,$D$6:$AI$659,3,))*$F122</f>
        <v>611705.79814157856</v>
      </c>
      <c r="L122" s="147">
        <f>(VLOOKUP($E122,$D$6:$AI$659,L$2,)/VLOOKUP($E122,$D$6:$AI$659,3,))*$F122</f>
        <v>0</v>
      </c>
      <c r="M122" s="147">
        <f>(VLOOKUP($E122,$D$6:$AI$659,M$2,)/VLOOKUP($E122,$D$6:$AI$659,3,))*$F122</f>
        <v>0</v>
      </c>
      <c r="N122" s="147">
        <f>(VLOOKUP($E122,$D$6:$AI$659,11,)/VLOOKUP($E122,$D$6:$AI$659,3,))*$F122</f>
        <v>0</v>
      </c>
      <c r="O122" s="147">
        <f>(VLOOKUP($E122,$D$6:$AI$659,O$2,)/VLOOKUP($E122,$D$6:$AI$659,3,))*$F122</f>
        <v>0</v>
      </c>
      <c r="P122" s="147">
        <f>(VLOOKUP($E122,$D$6:$AI$659,P$2,)/VLOOKUP($E122,$D$6:$AI$659,3,))*$F122</f>
        <v>0</v>
      </c>
      <c r="Q122" s="147">
        <f>(VLOOKUP($E122,$D$6:$AI$659,Q$2,)/VLOOKUP($E122,$D$6:$AI$659,3,))*$F122</f>
        <v>0</v>
      </c>
      <c r="R122" s="147">
        <f>(VLOOKUP($E122,$D$6:$AI$659,15,)/VLOOKUP($E122,$D$6:$AI$659,3,))*$F122</f>
        <v>0</v>
      </c>
      <c r="S122" s="147">
        <f>(VLOOKUP($E122,$D$6:$AI$659,16,)/VLOOKUP($E122,$D$6:$AI$659,3,))*$F122</f>
        <v>0</v>
      </c>
      <c r="T122" s="147">
        <f>(VLOOKUP($E122,$D$6:$AI$659,17,)/VLOOKUP($E122,$D$6:$AI$659,3,))*$F122</f>
        <v>0</v>
      </c>
      <c r="U122" s="148">
        <f>SUM(G122:M122)</f>
        <v>3418587.2024662588</v>
      </c>
      <c r="V122" s="133" t="str">
        <f>IF(ABS(F122-U122)&lt;0.01,"ok","err")</f>
        <v>ok</v>
      </c>
    </row>
    <row r="123" spans="1:22" x14ac:dyDescent="0.25">
      <c r="F123" s="15"/>
      <c r="U123" s="148"/>
    </row>
    <row r="124" spans="1:22" x14ac:dyDescent="0.25">
      <c r="A124" s="134" t="s">
        <v>8</v>
      </c>
      <c r="F124" s="15"/>
      <c r="U124" s="148"/>
    </row>
    <row r="125" spans="1:22" x14ac:dyDescent="0.25">
      <c r="A125" s="146" t="s">
        <v>680</v>
      </c>
      <c r="C125" s="140" t="s">
        <v>90</v>
      </c>
      <c r="D125" s="140" t="s">
        <v>264</v>
      </c>
      <c r="E125" s="140" t="s">
        <v>932</v>
      </c>
      <c r="F125" s="147">
        <f>VLOOKUP(C125,'Functional Assignment'!$C$1:$AR$730,13,)</f>
        <v>18338574.260588713</v>
      </c>
      <c r="G125" s="147">
        <f t="shared" ref="G125:J128" si="38">(VLOOKUP($E125,$D$6:$AI$659,G$2,)/VLOOKUP($E125,$D$6:$AI$659,3,))*$F125</f>
        <v>11210589.416908029</v>
      </c>
      <c r="H125" s="147">
        <f t="shared" si="38"/>
        <v>5455699.8356224922</v>
      </c>
      <c r="I125" s="147">
        <f t="shared" si="38"/>
        <v>745628.51369712094</v>
      </c>
      <c r="J125" s="147">
        <f t="shared" si="38"/>
        <v>139397.35499340779</v>
      </c>
      <c r="K125" s="147">
        <f>(VLOOKUP($E125,$D$6:$AI$659,8,)/VLOOKUP($E125,$D$6:$AI$659,3,))*$F125</f>
        <v>787259.13936766493</v>
      </c>
      <c r="L125" s="147">
        <f t="shared" ref="L125:M128" si="39">(VLOOKUP($E125,$D$6:$AI$659,L$2,)/VLOOKUP($E125,$D$6:$AI$659,3,))*$F125</f>
        <v>0</v>
      </c>
      <c r="M125" s="147">
        <f t="shared" si="39"/>
        <v>0</v>
      </c>
      <c r="N125" s="147">
        <f>(VLOOKUP($E125,$D$6:$AI$659,11,)/VLOOKUP($E125,$D$6:$AI$659,3,))*$F125</f>
        <v>0</v>
      </c>
      <c r="O125" s="147">
        <f t="shared" ref="O125:Q128" si="40">(VLOOKUP($E125,$D$6:$AI$659,O$2,)/VLOOKUP($E125,$D$6:$AI$659,3,))*$F125</f>
        <v>0</v>
      </c>
      <c r="P125" s="147">
        <f t="shared" si="40"/>
        <v>0</v>
      </c>
      <c r="Q125" s="147">
        <f t="shared" si="40"/>
        <v>0</v>
      </c>
      <c r="R125" s="147">
        <f>(VLOOKUP($E125,$D$6:$AI$659,15,)/VLOOKUP($E125,$D$6:$AI$659,3,))*$F125</f>
        <v>0</v>
      </c>
      <c r="S125" s="147">
        <f>(VLOOKUP($E125,$D$6:$AI$659,16,)/VLOOKUP($E125,$D$6:$AI$659,3,))*$F125</f>
        <v>0</v>
      </c>
      <c r="T125" s="147">
        <f>(VLOOKUP($E125,$D$6:$AI$659,17,)/VLOOKUP($E125,$D$6:$AI$659,3,))*$F125</f>
        <v>0</v>
      </c>
      <c r="U125" s="148">
        <f>SUM(G125:M125)</f>
        <v>18338574.260588717</v>
      </c>
      <c r="V125" s="133" t="str">
        <f>IF(ABS(F125-U125)&lt;0.01,"ok","err")</f>
        <v>ok</v>
      </c>
    </row>
    <row r="126" spans="1:22" x14ac:dyDescent="0.25">
      <c r="A126" s="146" t="s">
        <v>679</v>
      </c>
      <c r="C126" s="140" t="s">
        <v>90</v>
      </c>
      <c r="D126" s="140" t="s">
        <v>265</v>
      </c>
      <c r="E126" s="140" t="s">
        <v>684</v>
      </c>
      <c r="F126" s="15">
        <f>VLOOKUP(C126,'Functional Assignment'!$C$1:$AR$730,14,)</f>
        <v>0</v>
      </c>
      <c r="G126" s="15">
        <f t="shared" si="38"/>
        <v>0</v>
      </c>
      <c r="H126" s="15">
        <f t="shared" si="38"/>
        <v>0</v>
      </c>
      <c r="I126" s="15">
        <f t="shared" si="38"/>
        <v>0</v>
      </c>
      <c r="J126" s="15">
        <f t="shared" si="38"/>
        <v>0</v>
      </c>
      <c r="K126" s="15">
        <f>(VLOOKUP($E126,$D$6:$AI$659,8,)/VLOOKUP($E126,$D$6:$AI$659,3,))*$F126</f>
        <v>0</v>
      </c>
      <c r="L126" s="15">
        <f t="shared" si="39"/>
        <v>0</v>
      </c>
      <c r="M126" s="15">
        <f t="shared" si="39"/>
        <v>0</v>
      </c>
      <c r="N126" s="15">
        <f>(VLOOKUP($E126,$D$6:$AI$659,11,)/VLOOKUP($E126,$D$6:$AI$659,3,))*$F126</f>
        <v>0</v>
      </c>
      <c r="O126" s="15">
        <f t="shared" si="40"/>
        <v>0</v>
      </c>
      <c r="P126" s="15">
        <f t="shared" si="40"/>
        <v>0</v>
      </c>
      <c r="Q126" s="15">
        <f t="shared" si="40"/>
        <v>0</v>
      </c>
      <c r="R126" s="15">
        <f>(VLOOKUP($E126,$D$6:$AI$659,15,)/VLOOKUP($E126,$D$6:$AI$659,3,))*$F126</f>
        <v>0</v>
      </c>
      <c r="S126" s="15">
        <f>(VLOOKUP($E126,$D$6:$AI$659,16,)/VLOOKUP($E126,$D$6:$AI$659,3,))*$F126</f>
        <v>0</v>
      </c>
      <c r="T126" s="15">
        <f>(VLOOKUP($E126,$D$6:$AI$659,17,)/VLOOKUP($E126,$D$6:$AI$659,3,))*$F126</f>
        <v>0</v>
      </c>
      <c r="U126" s="148">
        <f>SUM(G126:M126)</f>
        <v>0</v>
      </c>
      <c r="V126" s="133" t="str">
        <f>IF(ABS(F126-U126)&lt;0.01,"ok","err")</f>
        <v>ok</v>
      </c>
    </row>
    <row r="127" spans="1:22" x14ac:dyDescent="0.25">
      <c r="A127" s="146" t="s">
        <v>681</v>
      </c>
      <c r="C127" s="140" t="s">
        <v>90</v>
      </c>
      <c r="D127" s="140" t="s">
        <v>264</v>
      </c>
      <c r="E127" s="140" t="s">
        <v>931</v>
      </c>
      <c r="F127" s="15">
        <f>VLOOKUP(C127,'Functional Assignment'!$C$1:$AR$730,15,)</f>
        <v>2012852.7230725172</v>
      </c>
      <c r="G127" s="15">
        <f t="shared" si="38"/>
        <v>989767.81027938565</v>
      </c>
      <c r="H127" s="15">
        <f t="shared" si="38"/>
        <v>480027.71552759589</v>
      </c>
      <c r="I127" s="15">
        <f t="shared" si="38"/>
        <v>68977.373398185708</v>
      </c>
      <c r="J127" s="15">
        <f t="shared" si="38"/>
        <v>14248.61446624056</v>
      </c>
      <c r="K127" s="15">
        <f>(VLOOKUP($E127,$D$6:$AI$659,8,)/VLOOKUP($E127,$D$6:$AI$659,3,))*$F127</f>
        <v>459831.20940110943</v>
      </c>
      <c r="L127" s="15">
        <f t="shared" si="39"/>
        <v>0</v>
      </c>
      <c r="M127" s="15">
        <f t="shared" si="39"/>
        <v>0</v>
      </c>
      <c r="N127" s="15">
        <f>(VLOOKUP($E127,$D$6:$AI$659,11,)/VLOOKUP($E127,$D$6:$AI$659,3,))*$F127</f>
        <v>0</v>
      </c>
      <c r="O127" s="15">
        <f t="shared" si="40"/>
        <v>0</v>
      </c>
      <c r="P127" s="15">
        <f t="shared" si="40"/>
        <v>0</v>
      </c>
      <c r="Q127" s="15">
        <f t="shared" si="40"/>
        <v>0</v>
      </c>
      <c r="R127" s="15"/>
      <c r="S127" s="15"/>
      <c r="T127" s="15"/>
      <c r="U127" s="148">
        <f>SUM(G127:M127)</f>
        <v>2012852.7230725174</v>
      </c>
      <c r="V127" s="133" t="str">
        <f>IF(ABS(F127-U127)&lt;0.01,"ok","err")</f>
        <v>ok</v>
      </c>
    </row>
    <row r="128" spans="1:22" x14ac:dyDescent="0.25">
      <c r="A128" s="146" t="s">
        <v>678</v>
      </c>
      <c r="C128" s="140" t="s">
        <v>90</v>
      </c>
      <c r="D128" s="140" t="s">
        <v>264</v>
      </c>
      <c r="E128" s="140" t="s">
        <v>319</v>
      </c>
      <c r="F128" s="15">
        <f>VLOOKUP(C128,'Functional Assignment'!$C$1:$AR$730,16,)</f>
        <v>0</v>
      </c>
      <c r="G128" s="15">
        <f t="shared" si="38"/>
        <v>0</v>
      </c>
      <c r="H128" s="15">
        <f t="shared" si="38"/>
        <v>0</v>
      </c>
      <c r="I128" s="15">
        <f t="shared" si="38"/>
        <v>0</v>
      </c>
      <c r="J128" s="15">
        <f t="shared" si="38"/>
        <v>0</v>
      </c>
      <c r="K128" s="15">
        <f>(VLOOKUP($E128,$D$6:$AI$659,8,)/VLOOKUP($E128,$D$6:$AI$659,3,))*$F128</f>
        <v>0</v>
      </c>
      <c r="L128" s="15">
        <f t="shared" si="39"/>
        <v>0</v>
      </c>
      <c r="M128" s="15">
        <f t="shared" si="39"/>
        <v>0</v>
      </c>
      <c r="N128" s="15">
        <f>(VLOOKUP($E128,$D$6:$AI$659,11,)/VLOOKUP($E128,$D$6:$AI$659,3,))*$F128</f>
        <v>0</v>
      </c>
      <c r="O128" s="15">
        <f t="shared" si="40"/>
        <v>0</v>
      </c>
      <c r="P128" s="15">
        <f t="shared" si="40"/>
        <v>0</v>
      </c>
      <c r="Q128" s="15">
        <f t="shared" si="40"/>
        <v>0</v>
      </c>
      <c r="R128" s="15"/>
      <c r="S128" s="15"/>
      <c r="T128" s="15"/>
      <c r="U128" s="148"/>
      <c r="V128" s="133"/>
    </row>
    <row r="129" spans="1:24" x14ac:dyDescent="0.25">
      <c r="A129" s="140" t="s">
        <v>229</v>
      </c>
      <c r="F129" s="147">
        <f>SUM(F125:F128)</f>
        <v>20351426.983661231</v>
      </c>
      <c r="G129" s="147">
        <f t="shared" ref="G129:Q129" si="41">SUM(G125:G128)</f>
        <v>12200357.227187416</v>
      </c>
      <c r="H129" s="147">
        <f t="shared" si="41"/>
        <v>5935727.5511500882</v>
      </c>
      <c r="I129" s="147">
        <f t="shared" si="41"/>
        <v>814605.88709530665</v>
      </c>
      <c r="J129" s="147">
        <f t="shared" si="41"/>
        <v>153645.96945964836</v>
      </c>
      <c r="K129" s="147">
        <f t="shared" si="41"/>
        <v>1247090.3487687744</v>
      </c>
      <c r="L129" s="147">
        <f t="shared" si="41"/>
        <v>0</v>
      </c>
      <c r="M129" s="147">
        <f t="shared" si="41"/>
        <v>0</v>
      </c>
      <c r="N129" s="147">
        <f t="shared" si="41"/>
        <v>0</v>
      </c>
      <c r="O129" s="147">
        <f t="shared" si="41"/>
        <v>0</v>
      </c>
      <c r="P129" s="147">
        <f t="shared" si="41"/>
        <v>0</v>
      </c>
      <c r="Q129" s="147">
        <f t="shared" si="41"/>
        <v>0</v>
      </c>
      <c r="R129" s="147">
        <f>R125+R126</f>
        <v>0</v>
      </c>
      <c r="S129" s="147">
        <f>S125+S126</f>
        <v>0</v>
      </c>
      <c r="T129" s="147">
        <f>T125+T126</f>
        <v>0</v>
      </c>
      <c r="U129" s="148">
        <f>SUM(G129:M129)</f>
        <v>20351426.983661234</v>
      </c>
      <c r="V129" s="133" t="str">
        <f>IF(ABS(F129-U129)&lt;0.01,"ok","err")</f>
        <v>ok</v>
      </c>
    </row>
    <row r="130" spans="1:24" x14ac:dyDescent="0.25">
      <c r="F130" s="15"/>
      <c r="U130" s="148"/>
    </row>
    <row r="131" spans="1:24" x14ac:dyDescent="0.25">
      <c r="A131" s="134" t="s">
        <v>10</v>
      </c>
      <c r="F131" s="15"/>
      <c r="U131" s="148"/>
    </row>
    <row r="132" spans="1:24" x14ac:dyDescent="0.25">
      <c r="A132" s="146" t="s">
        <v>208</v>
      </c>
      <c r="C132" s="140" t="s">
        <v>90</v>
      </c>
      <c r="D132" s="140" t="s">
        <v>259</v>
      </c>
      <c r="E132" s="140" t="s">
        <v>320</v>
      </c>
      <c r="F132" s="147">
        <f>VLOOKUP(C132,'Functional Assignment'!$C$1:$AR$730,17,)</f>
        <v>6891421.6790118357</v>
      </c>
      <c r="G132" s="147">
        <f>(VLOOKUP($E132,$D$6:$AI$659,G$2,)/VLOOKUP($E132,$D$6:$AI$659,3,))*$F132</f>
        <v>5126575.5103632445</v>
      </c>
      <c r="H132" s="147">
        <f>(VLOOKUP($E132,$D$6:$AI$659,H$2,)/VLOOKUP($E132,$D$6:$AI$659,3,))*$F132</f>
        <v>1654617.5492824675</v>
      </c>
      <c r="I132" s="147">
        <f>(VLOOKUP($E132,$D$6:$AI$659,I$2,)/VLOOKUP($E132,$D$6:$AI$659,3,))*$F132</f>
        <v>46180.353454092496</v>
      </c>
      <c r="J132" s="147">
        <f>(VLOOKUP($E132,$D$6:$AI$659,J$2,)/VLOOKUP($E132,$D$6:$AI$659,3,))*$F132</f>
        <v>1035.8210120544111</v>
      </c>
      <c r="K132" s="147">
        <f>(VLOOKUP($E132,$D$6:$AI$659,8,)/VLOOKUP($E132,$D$6:$AI$659,3,))*$F132</f>
        <v>63012.444899976676</v>
      </c>
      <c r="L132" s="147">
        <f>(VLOOKUP($E132,$D$6:$AI$659,L$2,)/VLOOKUP($E132,$D$6:$AI$659,3,))*$F132</f>
        <v>0</v>
      </c>
      <c r="M132" s="147">
        <f>(VLOOKUP($E132,$D$6:$AI$659,M$2,)/VLOOKUP($E132,$D$6:$AI$659,3,))*$F132</f>
        <v>0</v>
      </c>
      <c r="N132" s="147">
        <f>(VLOOKUP($E132,$D$6:$AI$659,11,)/VLOOKUP($E132,$D$6:$AI$659,3,))*$F132</f>
        <v>0</v>
      </c>
      <c r="O132" s="147">
        <f>(VLOOKUP($E132,$D$6:$AI$659,O$2,)/VLOOKUP($E132,$D$6:$AI$659,3,))*$F132</f>
        <v>0</v>
      </c>
      <c r="P132" s="147">
        <f>(VLOOKUP($E132,$D$6:$AI$659,P$2,)/VLOOKUP($E132,$D$6:$AI$659,3,))*$F132</f>
        <v>0</v>
      </c>
      <c r="Q132" s="147">
        <f>(VLOOKUP($E132,$D$6:$AI$659,Q$2,)/VLOOKUP($E132,$D$6:$AI$659,3,))*$F132</f>
        <v>0</v>
      </c>
      <c r="R132" s="147">
        <f>(VLOOKUP($E132,$D$6:$AI$659,15,)/VLOOKUP($E132,$D$6:$AI$659,3,))*$F132</f>
        <v>0</v>
      </c>
      <c r="S132" s="147">
        <f>(VLOOKUP($E132,$D$6:$AI$659,16,)/VLOOKUP($E132,$D$6:$AI$659,3,))*$F132</f>
        <v>0</v>
      </c>
      <c r="T132" s="147">
        <f>(VLOOKUP($E132,$D$6:$AI$659,17,)/VLOOKUP($E132,$D$6:$AI$659,3,))*$F132</f>
        <v>0</v>
      </c>
      <c r="U132" s="148">
        <f>SUM(G132:M132)</f>
        <v>6891421.6790118357</v>
      </c>
      <c r="V132" s="133" t="str">
        <f>IF(ABS(F132-U132)&lt;0.01,"ok","err")</f>
        <v>ok</v>
      </c>
    </row>
    <row r="133" spans="1:24" x14ac:dyDescent="0.25">
      <c r="F133" s="15"/>
      <c r="U133" s="148"/>
    </row>
    <row r="134" spans="1:24" x14ac:dyDescent="0.25">
      <c r="A134" s="134" t="s">
        <v>11</v>
      </c>
      <c r="F134" s="15"/>
      <c r="U134" s="148"/>
    </row>
    <row r="135" spans="1:24" x14ac:dyDescent="0.25">
      <c r="A135" s="146" t="s">
        <v>208</v>
      </c>
      <c r="C135" s="140" t="s">
        <v>90</v>
      </c>
      <c r="D135" s="140" t="s">
        <v>214</v>
      </c>
      <c r="E135" s="140" t="s">
        <v>321</v>
      </c>
      <c r="F135" s="147">
        <f>VLOOKUP(C135,'Functional Assignment'!$C$1:$AR$730,18,)</f>
        <v>4417995.9522568574</v>
      </c>
      <c r="G135" s="147">
        <f>(VLOOKUP($E135,$D$6:$AI$659,G$2,)/VLOOKUP($E135,$D$6:$AI$659,3,))*$F135</f>
        <v>2969029.509320254</v>
      </c>
      <c r="H135" s="147">
        <f>(VLOOKUP($E135,$D$6:$AI$659,H$2,)/VLOOKUP($E135,$D$6:$AI$659,3,))*$F135</f>
        <v>1219419.6881675983</v>
      </c>
      <c r="I135" s="147">
        <f>(VLOOKUP($E135,$D$6:$AI$659,I$2,)/VLOOKUP($E135,$D$6:$AI$659,3,))*$F135</f>
        <v>100214.03314477808</v>
      </c>
      <c r="J135" s="147">
        <f>(VLOOKUP($E135,$D$6:$AI$659,J$2,)/VLOOKUP($E135,$D$6:$AI$659,3,))*$F135</f>
        <v>2828.3385867921934</v>
      </c>
      <c r="K135" s="147">
        <f>(VLOOKUP($E135,$D$6:$AI$659,8,)/VLOOKUP($E135,$D$6:$AI$659,3,))*$F135</f>
        <v>126504.38303743378</v>
      </c>
      <c r="L135" s="147">
        <f>(VLOOKUP($E135,$D$6:$AI$659,L$2,)/VLOOKUP($E135,$D$6:$AI$659,3,))*$F135</f>
        <v>0</v>
      </c>
      <c r="M135" s="147">
        <f>(VLOOKUP($E135,$D$6:$AI$659,M$2,)/VLOOKUP($E135,$D$6:$AI$659,3,))*$F135</f>
        <v>0</v>
      </c>
      <c r="N135" s="147">
        <f>(VLOOKUP($E135,$D$6:$AI$659,11,)/VLOOKUP($E135,$D$6:$AI$659,3,))*$F135</f>
        <v>0</v>
      </c>
      <c r="O135" s="147">
        <f>(VLOOKUP($E135,$D$6:$AI$659,O$2,)/VLOOKUP($E135,$D$6:$AI$659,3,))*$F135</f>
        <v>0</v>
      </c>
      <c r="P135" s="147">
        <f>(VLOOKUP($E135,$D$6:$AI$659,P$2,)/VLOOKUP($E135,$D$6:$AI$659,3,))*$F135</f>
        <v>0</v>
      </c>
      <c r="Q135" s="147">
        <f>(VLOOKUP($E135,$D$6:$AI$659,Q$2,)/VLOOKUP($E135,$D$6:$AI$659,3,))*$F135</f>
        <v>0</v>
      </c>
      <c r="R135" s="147">
        <f>(VLOOKUP($E135,$D$6:$AI$659,15,)/VLOOKUP($E135,$D$6:$AI$659,3,))*$F135</f>
        <v>0</v>
      </c>
      <c r="S135" s="147">
        <f>(VLOOKUP($E135,$D$6:$AI$659,16,)/VLOOKUP($E135,$D$6:$AI$659,3,))*$F135</f>
        <v>0</v>
      </c>
      <c r="T135" s="147">
        <f>(VLOOKUP($E135,$D$6:$AI$659,17,)/VLOOKUP($E135,$D$6:$AI$659,3,))*$F135</f>
        <v>0</v>
      </c>
      <c r="U135" s="148">
        <f>SUM(G135:M135)</f>
        <v>4417995.9522568565</v>
      </c>
      <c r="V135" s="133" t="str">
        <f>IF(ABS(F135-U135)&lt;0.01,"ok","err")</f>
        <v>ok</v>
      </c>
    </row>
    <row r="136" spans="1:24" x14ac:dyDescent="0.25">
      <c r="F136" s="15"/>
      <c r="U136" s="148"/>
    </row>
    <row r="137" spans="1:24" x14ac:dyDescent="0.25">
      <c r="A137" s="134" t="s">
        <v>12</v>
      </c>
      <c r="F137" s="15"/>
      <c r="U137" s="148"/>
    </row>
    <row r="138" spans="1:24" x14ac:dyDescent="0.25">
      <c r="A138" s="146" t="s">
        <v>208</v>
      </c>
      <c r="C138" s="140" t="s">
        <v>90</v>
      </c>
      <c r="D138" s="140" t="s">
        <v>266</v>
      </c>
      <c r="E138" s="140" t="s">
        <v>322</v>
      </c>
      <c r="F138" s="147">
        <f>VLOOKUP(C138,'Functional Assignment'!$C$1:$AR$730,19,)</f>
        <v>13198203.404747136</v>
      </c>
      <c r="G138" s="147">
        <f>(VLOOKUP($E138,$D$6:$AI$659,G$2,)/VLOOKUP($E138,$D$6:$AI$659,3,))*$F138</f>
        <v>11254990.184572712</v>
      </c>
      <c r="H138" s="147">
        <f>(VLOOKUP($E138,$D$6:$AI$659,H$2,)/VLOOKUP($E138,$D$6:$AI$659,3,))*$F138</f>
        <v>1894718.650752767</v>
      </c>
      <c r="I138" s="147">
        <f>(VLOOKUP($E138,$D$6:$AI$659,I$2,)/VLOOKUP($E138,$D$6:$AI$659,3,))*$F138</f>
        <v>20316.832138282942</v>
      </c>
      <c r="J138" s="147">
        <f>(VLOOKUP($E138,$D$6:$AI$659,J$2,)/VLOOKUP($E138,$D$6:$AI$659,3,))*$F138</f>
        <v>455.70464609232766</v>
      </c>
      <c r="K138" s="147">
        <f>(VLOOKUP($E138,$D$6:$AI$659,8,)/VLOOKUP($E138,$D$6:$AI$659,3,))*$F138</f>
        <v>27722.032637283268</v>
      </c>
      <c r="L138" s="147">
        <f>(VLOOKUP($E138,$D$6:$AI$659,L$2,)/VLOOKUP($E138,$D$6:$AI$659,3,))*$F138</f>
        <v>0</v>
      </c>
      <c r="M138" s="147">
        <f>(VLOOKUP($E138,$D$6:$AI$659,M$2,)/VLOOKUP($E138,$D$6:$AI$659,3,))*$F138</f>
        <v>0</v>
      </c>
      <c r="N138" s="147">
        <f>(VLOOKUP($E138,$D$6:$AI$659,11,)/VLOOKUP($E138,$D$6:$AI$659,3,))*$F138</f>
        <v>0</v>
      </c>
      <c r="O138" s="147">
        <f>(VLOOKUP($E138,$D$6:$AI$659,O$2,)/VLOOKUP($E138,$D$6:$AI$659,3,))*$F138</f>
        <v>0</v>
      </c>
      <c r="P138" s="147">
        <f>(VLOOKUP($E138,$D$6:$AI$659,P$2,)/VLOOKUP($E138,$D$6:$AI$659,3,))*$F138</f>
        <v>0</v>
      </c>
      <c r="Q138" s="147">
        <f>(VLOOKUP($E138,$D$6:$AI$659,Q$2,)/VLOOKUP($E138,$D$6:$AI$659,3,))*$F138</f>
        <v>0</v>
      </c>
      <c r="R138" s="147">
        <f>(VLOOKUP($E138,$D$6:$AI$659,15,)/VLOOKUP($E138,$D$6:$AI$659,3,))*$F138</f>
        <v>0</v>
      </c>
      <c r="S138" s="147">
        <f>(VLOOKUP($E138,$D$6:$AI$659,16,)/VLOOKUP($E138,$D$6:$AI$659,3,))*$F138</f>
        <v>0</v>
      </c>
      <c r="T138" s="147">
        <f>(VLOOKUP($E138,$D$6:$AI$659,17,)/VLOOKUP($E138,$D$6:$AI$659,3,))*$F138</f>
        <v>0</v>
      </c>
      <c r="U138" s="148">
        <f>SUM(G138:M138)</f>
        <v>13198203.404747138</v>
      </c>
      <c r="V138" s="133" t="str">
        <f>IF(ABS(F138-U138)&lt;0.01,"ok","err")</f>
        <v>ok</v>
      </c>
    </row>
    <row r="139" spans="1:24" x14ac:dyDescent="0.25">
      <c r="F139" s="15"/>
      <c r="U139" s="148"/>
    </row>
    <row r="140" spans="1:24" x14ac:dyDescent="0.25">
      <c r="A140" s="134" t="s">
        <v>13</v>
      </c>
      <c r="F140" s="15"/>
      <c r="U140" s="148"/>
    </row>
    <row r="141" spans="1:24" x14ac:dyDescent="0.25">
      <c r="A141" s="146" t="s">
        <v>208</v>
      </c>
      <c r="C141" s="140" t="s">
        <v>90</v>
      </c>
      <c r="D141" s="140" t="s">
        <v>213</v>
      </c>
      <c r="E141" s="140" t="s">
        <v>323</v>
      </c>
      <c r="F141" s="147">
        <f>VLOOKUP(C141,'Functional Assignment'!$C$1:$AR$730,20,)</f>
        <v>756417.56601411779</v>
      </c>
      <c r="G141" s="147">
        <f>(VLOOKUP($E141,$D$6:$AI$659,G$2,)/VLOOKUP($E141,$D$6:$AI$659,3,))*$F141</f>
        <v>645047.81596752384</v>
      </c>
      <c r="H141" s="147">
        <f>(VLOOKUP($E141,$D$6:$AI$659,H$2,)/VLOOKUP($E141,$D$6:$AI$659,3,))*$F141</f>
        <v>108590.42144845774</v>
      </c>
      <c r="I141" s="147">
        <f>(VLOOKUP($E141,$D$6:$AI$659,I$2,)/VLOOKUP($E141,$D$6:$AI$659,3,))*$F141</f>
        <v>1164.401566173</v>
      </c>
      <c r="J141" s="147">
        <f>(VLOOKUP($E141,$D$6:$AI$659,J$2,)/VLOOKUP($E141,$D$6:$AI$659,3,))*$F141</f>
        <v>26.117418306684112</v>
      </c>
      <c r="K141" s="147">
        <f>(VLOOKUP($E141,$D$6:$AI$659,8,)/VLOOKUP($E141,$D$6:$AI$659,3,))*$F141</f>
        <v>1588.8096136566171</v>
      </c>
      <c r="L141" s="147">
        <f>(VLOOKUP($E141,$D$6:$AI$659,L$2,)/VLOOKUP($E141,$D$6:$AI$659,3,))*$F141</f>
        <v>0</v>
      </c>
      <c r="M141" s="147">
        <f>(VLOOKUP($E141,$D$6:$AI$659,M$2,)/VLOOKUP($E141,$D$6:$AI$659,3,))*$F141</f>
        <v>0</v>
      </c>
      <c r="N141" s="147">
        <f>(VLOOKUP($E141,$D$6:$AI$659,11,)/VLOOKUP($E141,$D$6:$AI$659,3,))*$F141</f>
        <v>0</v>
      </c>
      <c r="O141" s="147">
        <f>(VLOOKUP($E141,$D$6:$AI$659,O$2,)/VLOOKUP($E141,$D$6:$AI$659,3,))*$F141</f>
        <v>0</v>
      </c>
      <c r="P141" s="147">
        <f>(VLOOKUP($E141,$D$6:$AI$659,P$2,)/VLOOKUP($E141,$D$6:$AI$659,3,))*$F141</f>
        <v>0</v>
      </c>
      <c r="Q141" s="147">
        <f>(VLOOKUP($E141,$D$6:$AI$659,Q$2,)/VLOOKUP($E141,$D$6:$AI$659,3,))*$F141</f>
        <v>0</v>
      </c>
      <c r="R141" s="147">
        <f>(VLOOKUP($E141,$D$6:$AI$659,15,)/VLOOKUP($E141,$D$6:$AI$659,3,))*$F141</f>
        <v>0</v>
      </c>
      <c r="S141" s="147">
        <f>(VLOOKUP($E141,$D$6:$AI$659,16,)/VLOOKUP($E141,$D$6:$AI$659,3,))*$F141</f>
        <v>0</v>
      </c>
      <c r="T141" s="147">
        <f>(VLOOKUP($E141,$D$6:$AI$659,17,)/VLOOKUP($E141,$D$6:$AI$659,3,))*$F141</f>
        <v>0</v>
      </c>
      <c r="U141" s="148">
        <f>SUM(G141:M141)</f>
        <v>756417.56601411779</v>
      </c>
      <c r="V141" s="133" t="str">
        <f>IF(ABS(F141-U141)&lt;0.01,"ok","err")</f>
        <v>ok</v>
      </c>
    </row>
    <row r="142" spans="1:24" x14ac:dyDescent="0.25">
      <c r="F142" s="15"/>
      <c r="U142" s="148"/>
    </row>
    <row r="143" spans="1:24" x14ac:dyDescent="0.25">
      <c r="A143" s="140" t="s">
        <v>14</v>
      </c>
      <c r="D143" s="140" t="s">
        <v>296</v>
      </c>
      <c r="F143" s="147">
        <f>F106+F111+F116+F119+F122+F129+F132+F135+F138+F141</f>
        <v>72491475.793570489</v>
      </c>
      <c r="G143" s="147">
        <f t="shared" ref="G143:T143" si="42">G106+G111+G116+G119+G122+G129+G132+G135+G138+G141</f>
        <v>48928987.479545876</v>
      </c>
      <c r="H143" s="147">
        <f t="shared" si="42"/>
        <v>18623805.338695984</v>
      </c>
      <c r="I143" s="147">
        <f t="shared" si="42"/>
        <v>1903038.8947117792</v>
      </c>
      <c r="J143" s="147">
        <f t="shared" si="42"/>
        <v>209532.26664965096</v>
      </c>
      <c r="K143" s="147">
        <f t="shared" si="42"/>
        <v>2826111.8139671963</v>
      </c>
      <c r="L143" s="147">
        <f t="shared" si="42"/>
        <v>0</v>
      </c>
      <c r="M143" s="147">
        <f t="shared" si="42"/>
        <v>0</v>
      </c>
      <c r="N143" s="147">
        <f t="shared" si="42"/>
        <v>81991.128510716124</v>
      </c>
      <c r="O143" s="147">
        <f t="shared" si="42"/>
        <v>0</v>
      </c>
      <c r="P143" s="147">
        <f t="shared" si="42"/>
        <v>0</v>
      </c>
      <c r="Q143" s="147">
        <f t="shared" si="42"/>
        <v>0</v>
      </c>
      <c r="R143" s="147">
        <f t="shared" si="42"/>
        <v>0</v>
      </c>
      <c r="S143" s="147">
        <f t="shared" si="42"/>
        <v>0</v>
      </c>
      <c r="T143" s="147">
        <f t="shared" si="42"/>
        <v>0</v>
      </c>
      <c r="U143" s="148">
        <f>SUM(G143:M143)</f>
        <v>72491475.793570489</v>
      </c>
      <c r="V143" s="133" t="str">
        <f>IF(ABS(F143-U143)&lt;0.01,"ok","err")</f>
        <v>ok</v>
      </c>
      <c r="W143" s="148"/>
      <c r="X143" s="133"/>
    </row>
    <row r="144" spans="1:24" x14ac:dyDescent="0.25">
      <c r="U144" s="148"/>
    </row>
    <row r="145" spans="1:23" x14ac:dyDescent="0.25">
      <c r="U145" s="148"/>
    </row>
    <row r="146" spans="1:23" x14ac:dyDescent="0.25">
      <c r="U146" s="148"/>
    </row>
    <row r="147" spans="1:23" x14ac:dyDescent="0.25">
      <c r="A147" s="145" t="s">
        <v>345</v>
      </c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8"/>
      <c r="V147" s="133"/>
    </row>
    <row r="148" spans="1:23" x14ac:dyDescent="0.25"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8"/>
      <c r="V148" s="133"/>
    </row>
    <row r="149" spans="1:23" x14ac:dyDescent="0.25">
      <c r="A149" s="134" t="s">
        <v>455</v>
      </c>
      <c r="U149" s="148"/>
    </row>
    <row r="150" spans="1:23" x14ac:dyDescent="0.25">
      <c r="A150" s="146" t="s">
        <v>207</v>
      </c>
      <c r="C150" s="140" t="s">
        <v>344</v>
      </c>
      <c r="D150" s="140" t="s">
        <v>361</v>
      </c>
      <c r="E150" s="140" t="s">
        <v>310</v>
      </c>
      <c r="F150" s="147">
        <f>VLOOKUP(C150,'Functional Assignment'!$C$1:$AR$730,5,)</f>
        <v>91252.440902000861</v>
      </c>
      <c r="G150" s="147">
        <f t="shared" ref="G150:J151" si="43">(VLOOKUP($E150,$D$6:$AI$659,G$2,)/VLOOKUP($E150,$D$6:$AI$659,3,))*$F150</f>
        <v>60338.388346859501</v>
      </c>
      <c r="H150" s="147">
        <f t="shared" si="43"/>
        <v>27575.955528946324</v>
      </c>
      <c r="I150" s="147">
        <f t="shared" si="43"/>
        <v>2728.2735938760602</v>
      </c>
      <c r="J150" s="147">
        <f t="shared" si="43"/>
        <v>609.8234323189746</v>
      </c>
      <c r="K150" s="147">
        <f>(VLOOKUP($E150,$D$6:$AI$659,8,)/VLOOKUP($E150,$D$6:$AI$659,3,))*$F150</f>
        <v>0</v>
      </c>
      <c r="L150" s="147">
        <f>(VLOOKUP($E150,$D$6:$AI$659,L$2,)/VLOOKUP($E150,$D$6:$AI$659,3,))*$F150</f>
        <v>0</v>
      </c>
      <c r="M150" s="147">
        <f>(VLOOKUP($E150,$D$6:$AI$659,M$2,)/VLOOKUP($E150,$D$6:$AI$659,3,))*$F150</f>
        <v>0</v>
      </c>
      <c r="N150" s="147">
        <f>(VLOOKUP($E150,$D$6:$AI$659,11,)/VLOOKUP($E150,$D$6:$AI$659,3,))*$F150</f>
        <v>0</v>
      </c>
      <c r="O150" s="147">
        <f t="shared" ref="O150:Q151" si="44">(VLOOKUP($E150,$D$6:$AI$659,O$2,)/VLOOKUP($E150,$D$6:$AI$659,3,))*$F150</f>
        <v>0</v>
      </c>
      <c r="P150" s="147">
        <f t="shared" si="44"/>
        <v>0</v>
      </c>
      <c r="Q150" s="147">
        <f t="shared" si="44"/>
        <v>0</v>
      </c>
      <c r="R150" s="147">
        <f>(VLOOKUP($E150,$D$6:$AI$659,15,)/VLOOKUP($E150,$D$6:$AI$659,3,))*$F150</f>
        <v>0</v>
      </c>
      <c r="S150" s="147">
        <f>(VLOOKUP($E150,$D$6:$AI$659,16,)/VLOOKUP($E150,$D$6:$AI$659,3,))*$F150</f>
        <v>0</v>
      </c>
      <c r="T150" s="147">
        <f>(VLOOKUP($E150,$D$6:$AI$659,17,)/VLOOKUP($E150,$D$6:$AI$659,3,))*$F150</f>
        <v>0</v>
      </c>
      <c r="U150" s="148">
        <f>SUM(G150:M150)</f>
        <v>91252.440902000846</v>
      </c>
      <c r="V150" s="133" t="str">
        <f>IF(ABS(F150-U150)&lt;0.01,"ok","err")</f>
        <v>ok</v>
      </c>
    </row>
    <row r="151" spans="1:23" x14ac:dyDescent="0.25">
      <c r="A151" s="146" t="s">
        <v>226</v>
      </c>
      <c r="C151" s="140" t="s">
        <v>344</v>
      </c>
      <c r="D151" s="140" t="s">
        <v>346</v>
      </c>
      <c r="E151" s="140" t="s">
        <v>311</v>
      </c>
      <c r="F151" s="15">
        <f>VLOOKUP(C151,'Functional Assignment'!$C$1:$AR$730,6,)</f>
        <v>686025.59063122631</v>
      </c>
      <c r="G151" s="15">
        <f t="shared" si="43"/>
        <v>418565.69338113227</v>
      </c>
      <c r="H151" s="15">
        <f t="shared" si="43"/>
        <v>217427.21815184306</v>
      </c>
      <c r="I151" s="15">
        <f t="shared" si="43"/>
        <v>41794.55376742973</v>
      </c>
      <c r="J151" s="15">
        <f t="shared" si="43"/>
        <v>8238.1253308213145</v>
      </c>
      <c r="K151" s="15">
        <f>(VLOOKUP($E151,$D$6:$AI$659,8,)/VLOOKUP($E151,$D$6:$AI$659,3,))*$F151</f>
        <v>0</v>
      </c>
      <c r="L151" s="15">
        <f>(VLOOKUP($E151,$D$6:$AI$659,L$2,)/VLOOKUP($E151,$D$6:$AI$659,3,))*$F151</f>
        <v>0</v>
      </c>
      <c r="M151" s="15">
        <f>(VLOOKUP($E151,$D$6:$AI$659,M$2,)/VLOOKUP($E151,$D$6:$AI$659,3,))*$F151</f>
        <v>0</v>
      </c>
      <c r="N151" s="15">
        <f>(VLOOKUP($E151,$D$6:$AI$659,11,)/VLOOKUP($E151,$D$6:$AI$659,3,))*$F151</f>
        <v>0</v>
      </c>
      <c r="O151" s="15">
        <f t="shared" si="44"/>
        <v>0</v>
      </c>
      <c r="P151" s="15">
        <f t="shared" si="44"/>
        <v>0</v>
      </c>
      <c r="Q151" s="15">
        <f t="shared" si="44"/>
        <v>0</v>
      </c>
      <c r="R151" s="15">
        <f>(VLOOKUP($E151,$D$6:$AI$659,15,)/VLOOKUP($E151,$D$6:$AI$659,3,))*$F151</f>
        <v>0</v>
      </c>
      <c r="S151" s="15">
        <f>(VLOOKUP($E151,$D$6:$AI$659,16,)/VLOOKUP($E151,$D$6:$AI$659,3,))*$F151</f>
        <v>0</v>
      </c>
      <c r="T151" s="15">
        <f>(VLOOKUP($E151,$D$6:$AI$659,17,)/VLOOKUP($E151,$D$6:$AI$659,3,))*$F151</f>
        <v>0</v>
      </c>
      <c r="U151" s="148">
        <f>SUM(G151:M151)</f>
        <v>686025.59063122631</v>
      </c>
      <c r="V151" s="133" t="str">
        <f>IF(ABS(F151-U151)&lt;0.01,"ok","err")</f>
        <v>ok</v>
      </c>
    </row>
    <row r="152" spans="1:23" x14ac:dyDescent="0.25">
      <c r="A152" s="140" t="s">
        <v>658</v>
      </c>
      <c r="D152" s="140" t="s">
        <v>347</v>
      </c>
      <c r="F152" s="147">
        <f t="shared" ref="F152:T152" si="45">F150+F151</f>
        <v>777278.03153322719</v>
      </c>
      <c r="G152" s="147">
        <f t="shared" si="45"/>
        <v>478904.08172799175</v>
      </c>
      <c r="H152" s="147">
        <f t="shared" si="45"/>
        <v>245003.17368078939</v>
      </c>
      <c r="I152" s="147">
        <f t="shared" si="45"/>
        <v>44522.82736130579</v>
      </c>
      <c r="J152" s="147">
        <f t="shared" si="45"/>
        <v>8847.9487631402899</v>
      </c>
      <c r="K152" s="147">
        <f t="shared" si="45"/>
        <v>0</v>
      </c>
      <c r="L152" s="147">
        <f t="shared" si="45"/>
        <v>0</v>
      </c>
      <c r="M152" s="147">
        <f t="shared" si="45"/>
        <v>0</v>
      </c>
      <c r="N152" s="147">
        <f t="shared" si="45"/>
        <v>0</v>
      </c>
      <c r="O152" s="147">
        <f t="shared" si="45"/>
        <v>0</v>
      </c>
      <c r="P152" s="147">
        <f t="shared" si="45"/>
        <v>0</v>
      </c>
      <c r="Q152" s="147">
        <f t="shared" si="45"/>
        <v>0</v>
      </c>
      <c r="R152" s="147">
        <f t="shared" si="45"/>
        <v>0</v>
      </c>
      <c r="S152" s="147">
        <f t="shared" si="45"/>
        <v>0</v>
      </c>
      <c r="T152" s="147">
        <f t="shared" si="45"/>
        <v>0</v>
      </c>
      <c r="U152" s="148">
        <f>SUM(G152:M152)</f>
        <v>777278.03153322719</v>
      </c>
      <c r="V152" s="133" t="str">
        <f>IF(ABS(F152-U152)&lt;0.01,"ok","err")</f>
        <v>ok</v>
      </c>
    </row>
    <row r="153" spans="1:23" x14ac:dyDescent="0.25">
      <c r="F153" s="15"/>
      <c r="G153" s="15"/>
      <c r="U153" s="148"/>
    </row>
    <row r="154" spans="1:23" x14ac:dyDescent="0.25">
      <c r="A154" s="134" t="s">
        <v>3</v>
      </c>
      <c r="F154" s="15"/>
      <c r="G154" s="15"/>
      <c r="U154" s="148"/>
    </row>
    <row r="155" spans="1:23" x14ac:dyDescent="0.25">
      <c r="A155" s="146" t="s">
        <v>207</v>
      </c>
      <c r="C155" s="140" t="s">
        <v>344</v>
      </c>
      <c r="D155" s="140" t="s">
        <v>348</v>
      </c>
      <c r="E155" s="140" t="s">
        <v>312</v>
      </c>
      <c r="F155" s="147">
        <f>VLOOKUP(C155,'Functional Assignment'!$C$1:$AR$730,7,)</f>
        <v>1608721.3532455715</v>
      </c>
      <c r="G155" s="147">
        <f t="shared" ref="G155:J156" si="46">(VLOOKUP($E155,$D$6:$AI$659,G$2,)/VLOOKUP($E155,$D$6:$AI$659,3,))*$F155</f>
        <v>1071466.2840337974</v>
      </c>
      <c r="H155" s="147">
        <f t="shared" si="46"/>
        <v>482185.81583365647</v>
      </c>
      <c r="I155" s="147">
        <f t="shared" si="46"/>
        <v>41032.09738016731</v>
      </c>
      <c r="J155" s="147">
        <f t="shared" si="46"/>
        <v>0</v>
      </c>
      <c r="K155" s="147">
        <f>(VLOOKUP($E155,$D$6:$AI$659,8,)/VLOOKUP($E155,$D$6:$AI$659,3,))*$F155</f>
        <v>14037.155997950307</v>
      </c>
      <c r="L155" s="147">
        <f>(VLOOKUP($E155,$D$6:$AI$659,L$2,)/VLOOKUP($E155,$D$6:$AI$659,3,))*$F155</f>
        <v>0</v>
      </c>
      <c r="M155" s="147">
        <f>(VLOOKUP($E155,$D$6:$AI$659,M$2,)/VLOOKUP($E155,$D$6:$AI$659,3,))*$F155</f>
        <v>0</v>
      </c>
      <c r="N155" s="147">
        <f>(VLOOKUP($E155,$D$6:$AI$659,11,)/VLOOKUP($E155,$D$6:$AI$659,3,))*$F155</f>
        <v>14037.155997950307</v>
      </c>
      <c r="O155" s="147">
        <f t="shared" ref="O155:Q156" si="47">(VLOOKUP($E155,$D$6:$AI$659,O$2,)/VLOOKUP($E155,$D$6:$AI$659,3,))*$F155</f>
        <v>0</v>
      </c>
      <c r="P155" s="147">
        <f t="shared" si="47"/>
        <v>0</v>
      </c>
      <c r="Q155" s="147">
        <f t="shared" si="47"/>
        <v>0</v>
      </c>
      <c r="R155" s="147">
        <f>(VLOOKUP($E155,$D$6:$AI$659,15,)/VLOOKUP($E155,$D$6:$AI$659,3,))*$F155</f>
        <v>0</v>
      </c>
      <c r="S155" s="147">
        <f>(VLOOKUP($E155,$D$6:$AI$659,16,)/VLOOKUP($E155,$D$6:$AI$659,3,))*$F155</f>
        <v>0</v>
      </c>
      <c r="T155" s="147">
        <f>(VLOOKUP($E155,$D$6:$AI$659,17,)/VLOOKUP($E155,$D$6:$AI$659,3,))*$F155</f>
        <v>0</v>
      </c>
      <c r="U155" s="148">
        <f>SUM(G155:M155)</f>
        <v>1608721.3532455715</v>
      </c>
      <c r="V155" s="133" t="str">
        <f>IF(ABS(F155-U155)&lt;0.01,"ok","err")</f>
        <v>ok</v>
      </c>
    </row>
    <row r="156" spans="1:23" x14ac:dyDescent="0.25">
      <c r="A156" s="140" t="s">
        <v>226</v>
      </c>
      <c r="C156" s="140" t="s">
        <v>344</v>
      </c>
      <c r="D156" s="140" t="s">
        <v>349</v>
      </c>
      <c r="E156" s="140" t="s">
        <v>313</v>
      </c>
      <c r="F156" s="15">
        <f>VLOOKUP(C156,'Functional Assignment'!$C$1:$AR$730,8,)</f>
        <v>3465024.569444913</v>
      </c>
      <c r="G156" s="15">
        <f t="shared" si="46"/>
        <v>2247774.6978649576</v>
      </c>
      <c r="H156" s="15">
        <f t="shared" si="46"/>
        <v>1069690.2795538013</v>
      </c>
      <c r="I156" s="15">
        <f t="shared" si="46"/>
        <v>147559.59202615384</v>
      </c>
      <c r="J156" s="15">
        <f t="shared" si="46"/>
        <v>0</v>
      </c>
      <c r="K156" s="15">
        <f>(VLOOKUP($E156,$D$6:$AI$659,8,)/VLOOKUP($E156,$D$6:$AI$659,3,))*$F156</f>
        <v>0</v>
      </c>
      <c r="L156" s="15">
        <f>(VLOOKUP($E156,$D$6:$AI$659,L$2,)/VLOOKUP($E156,$D$6:$AI$659,3,))*$F156</f>
        <v>0</v>
      </c>
      <c r="M156" s="15">
        <f>(VLOOKUP($E156,$D$6:$AI$659,M$2,)/VLOOKUP($E156,$D$6:$AI$659,3,))*$F156</f>
        <v>0</v>
      </c>
      <c r="N156" s="15">
        <f>(VLOOKUP($E156,$D$6:$AI$659,11,)/VLOOKUP($E156,$D$6:$AI$659,3,))*$F156</f>
        <v>0</v>
      </c>
      <c r="O156" s="15">
        <f t="shared" si="47"/>
        <v>0</v>
      </c>
      <c r="P156" s="15">
        <f t="shared" si="47"/>
        <v>0</v>
      </c>
      <c r="Q156" s="15">
        <f t="shared" si="47"/>
        <v>0</v>
      </c>
      <c r="R156" s="15">
        <f>(VLOOKUP($E156,$D$6:$AI$659,15,)/VLOOKUP($E156,$D$6:$AI$659,3,))*$F156</f>
        <v>0</v>
      </c>
      <c r="S156" s="15">
        <f>(VLOOKUP($E156,$D$6:$AI$659,16,)/VLOOKUP($E156,$D$6:$AI$659,3,))*$F156</f>
        <v>0</v>
      </c>
      <c r="T156" s="15">
        <f>(VLOOKUP($E156,$D$6:$AI$659,17,)/VLOOKUP($E156,$D$6:$AI$659,3,))*$F156</f>
        <v>0</v>
      </c>
      <c r="U156" s="148">
        <f>SUM(G156:M156)</f>
        <v>3465024.569444913</v>
      </c>
      <c r="V156" s="133" t="str">
        <f>IF(ABS(F156-U156)&lt;0.01,"ok","err")</f>
        <v>ok</v>
      </c>
      <c r="W156" s="149"/>
    </row>
    <row r="157" spans="1:23" x14ac:dyDescent="0.25">
      <c r="A157" s="140" t="s">
        <v>227</v>
      </c>
      <c r="D157" s="140" t="s">
        <v>350</v>
      </c>
      <c r="F157" s="147">
        <f>SUM(F155:F156)</f>
        <v>5073745.9226904847</v>
      </c>
      <c r="G157" s="147">
        <f t="shared" ref="G157:T157" si="48">G155+G156</f>
        <v>3319240.9818987548</v>
      </c>
      <c r="H157" s="147">
        <f t="shared" si="48"/>
        <v>1551876.0953874579</v>
      </c>
      <c r="I157" s="147">
        <f t="shared" si="48"/>
        <v>188591.68940632115</v>
      </c>
      <c r="J157" s="147">
        <f t="shared" si="48"/>
        <v>0</v>
      </c>
      <c r="K157" s="147">
        <f t="shared" si="48"/>
        <v>14037.155997950307</v>
      </c>
      <c r="L157" s="147">
        <f t="shared" si="48"/>
        <v>0</v>
      </c>
      <c r="M157" s="147">
        <f t="shared" si="48"/>
        <v>0</v>
      </c>
      <c r="N157" s="147">
        <f t="shared" si="48"/>
        <v>14037.155997950307</v>
      </c>
      <c r="O157" s="147">
        <f t="shared" si="48"/>
        <v>0</v>
      </c>
      <c r="P157" s="147">
        <f t="shared" si="48"/>
        <v>0</v>
      </c>
      <c r="Q157" s="147">
        <f t="shared" si="48"/>
        <v>0</v>
      </c>
      <c r="R157" s="147">
        <f t="shared" si="48"/>
        <v>0</v>
      </c>
      <c r="S157" s="147">
        <f t="shared" si="48"/>
        <v>0</v>
      </c>
      <c r="T157" s="147">
        <f t="shared" si="48"/>
        <v>0</v>
      </c>
      <c r="U157" s="148">
        <f>SUM(G157:M157)</f>
        <v>5073745.9226904847</v>
      </c>
      <c r="V157" s="133" t="str">
        <f>IF(ABS(F157-U157)&lt;0.01,"ok","err")</f>
        <v>ok</v>
      </c>
    </row>
    <row r="158" spans="1:23" x14ac:dyDescent="0.25">
      <c r="F158" s="15"/>
      <c r="G158" s="15"/>
      <c r="U158" s="148"/>
    </row>
    <row r="159" spans="1:23" x14ac:dyDescent="0.25">
      <c r="A159" s="134" t="s">
        <v>4</v>
      </c>
      <c r="F159" s="15"/>
      <c r="G159" s="15"/>
      <c r="U159" s="148"/>
    </row>
    <row r="160" spans="1:23" x14ac:dyDescent="0.25">
      <c r="A160" s="146" t="s">
        <v>870</v>
      </c>
      <c r="C160" s="140" t="s">
        <v>344</v>
      </c>
      <c r="D160" s="140" t="s">
        <v>351</v>
      </c>
      <c r="E160" s="140" t="s">
        <v>317</v>
      </c>
      <c r="F160" s="147">
        <f>VLOOKUP(C160,'Functional Assignment'!$C$1:$AR$730,9,)</f>
        <v>460511.73104535323</v>
      </c>
      <c r="G160" s="147">
        <f t="shared" ref="G160:J161" si="49">(VLOOKUP($E160,$D$6:$AI$659,G$2,)/VLOOKUP($E160,$D$6:$AI$659,3,))*$F160</f>
        <v>250015.71891921258</v>
      </c>
      <c r="H160" s="147">
        <f t="shared" si="49"/>
        <v>114262.62012204692</v>
      </c>
      <c r="I160" s="147">
        <f t="shared" si="49"/>
        <v>11304.7647222538</v>
      </c>
      <c r="J160" s="147">
        <f t="shared" si="49"/>
        <v>2526.8398447859067</v>
      </c>
      <c r="K160" s="147">
        <f>(VLOOKUP($E160,$D$6:$AI$659,8,)/VLOOKUP($E160,$D$6:$AI$659,3,))*$F160</f>
        <v>82401.787437053994</v>
      </c>
      <c r="L160" s="147">
        <f>(VLOOKUP($E160,$D$6:$AI$659,L$2,)/VLOOKUP($E160,$D$6:$AI$659,3,))*$F160</f>
        <v>0</v>
      </c>
      <c r="M160" s="147">
        <f>(VLOOKUP($E160,$D$6:$AI$659,M$2,)/VLOOKUP($E160,$D$6:$AI$659,3,))*$F160</f>
        <v>0</v>
      </c>
      <c r="N160" s="147">
        <f>(VLOOKUP($E160,$D$6:$AI$659,11,)/VLOOKUP($E160,$D$6:$AI$659,3,))*$F160</f>
        <v>0</v>
      </c>
      <c r="O160" s="147">
        <f t="shared" ref="O160:Q161" si="50">(VLOOKUP($E160,$D$6:$AI$659,O$2,)/VLOOKUP($E160,$D$6:$AI$659,3,))*$F160</f>
        <v>0</v>
      </c>
      <c r="P160" s="147">
        <f t="shared" si="50"/>
        <v>0</v>
      </c>
      <c r="Q160" s="147">
        <f t="shared" si="50"/>
        <v>0</v>
      </c>
      <c r="R160" s="147">
        <f>(VLOOKUP($E160,$D$6:$AI$659,15,)/VLOOKUP($E160,$D$6:$AI$659,3,))*$F160</f>
        <v>0</v>
      </c>
      <c r="S160" s="147">
        <f>(VLOOKUP($E160,$D$6:$AI$659,16,)/VLOOKUP($E160,$D$6:$AI$659,3,))*$F160</f>
        <v>0</v>
      </c>
      <c r="T160" s="147">
        <f>(VLOOKUP($E160,$D$6:$AI$659,17,)/VLOOKUP($E160,$D$6:$AI$659,3,))*$F160</f>
        <v>0</v>
      </c>
      <c r="U160" s="148">
        <f>SUM(G160:M160)</f>
        <v>460511.73104535317</v>
      </c>
      <c r="V160" s="133" t="str">
        <f>IF(ABS(F160-U160)&lt;0.01,"ok","err")</f>
        <v>ok</v>
      </c>
    </row>
    <row r="161" spans="1:23" x14ac:dyDescent="0.25">
      <c r="A161" s="140" t="s">
        <v>865</v>
      </c>
      <c r="C161" s="140" t="s">
        <v>344</v>
      </c>
      <c r="D161" s="140" t="s">
        <v>352</v>
      </c>
      <c r="E161" s="140" t="s">
        <v>314</v>
      </c>
      <c r="F161" s="15">
        <f>VLOOKUP(C161,'Functional Assignment'!$C$1:$AR$730,10,)</f>
        <v>2181702.0323568918</v>
      </c>
      <c r="G161" s="15">
        <f t="shared" si="49"/>
        <v>1453092.0253916618</v>
      </c>
      <c r="H161" s="15">
        <f t="shared" si="49"/>
        <v>653926.65563591139</v>
      </c>
      <c r="I161" s="15">
        <f t="shared" si="49"/>
        <v>55646.560584014143</v>
      </c>
      <c r="J161" s="15">
        <f t="shared" si="49"/>
        <v>0</v>
      </c>
      <c r="K161" s="15">
        <f>(VLOOKUP($E161,$D$6:$AI$659,8,)/VLOOKUP($E161,$D$6:$AI$659,3,))*$F161</f>
        <v>19036.790745304432</v>
      </c>
      <c r="L161" s="15">
        <f>(VLOOKUP($E161,$D$6:$AI$659,L$2,)/VLOOKUP($E161,$D$6:$AI$659,3,))*$F161</f>
        <v>0</v>
      </c>
      <c r="M161" s="15">
        <f>(VLOOKUP($E161,$D$6:$AI$659,M$2,)/VLOOKUP($E161,$D$6:$AI$659,3,))*$F161</f>
        <v>0</v>
      </c>
      <c r="N161" s="15">
        <f>(VLOOKUP($E161,$D$6:$AI$659,11,)/VLOOKUP($E161,$D$6:$AI$659,3,))*$F161</f>
        <v>19036.790745304432</v>
      </c>
      <c r="O161" s="15">
        <f t="shared" si="50"/>
        <v>0</v>
      </c>
      <c r="P161" s="15">
        <f t="shared" si="50"/>
        <v>0</v>
      </c>
      <c r="Q161" s="15">
        <f t="shared" si="50"/>
        <v>0</v>
      </c>
      <c r="R161" s="15">
        <f>(VLOOKUP($E161,$D$6:$AI$659,15,)/VLOOKUP($E161,$D$6:$AI$659,3,))*$F161</f>
        <v>0</v>
      </c>
      <c r="S161" s="15">
        <f>(VLOOKUP($E161,$D$6:$AI$659,16,)/VLOOKUP($E161,$D$6:$AI$659,3,))*$F161</f>
        <v>0</v>
      </c>
      <c r="T161" s="15">
        <f>(VLOOKUP($E161,$D$6:$AI$659,17,)/VLOOKUP($E161,$D$6:$AI$659,3,))*$F161</f>
        <v>0</v>
      </c>
      <c r="U161" s="148">
        <f>SUM(G161:M161)</f>
        <v>2181702.0323568918</v>
      </c>
      <c r="V161" s="133" t="str">
        <f>IF(ABS(F161-U161)&lt;0.01,"ok","err")</f>
        <v>ok</v>
      </c>
    </row>
    <row r="162" spans="1:23" x14ac:dyDescent="0.25">
      <c r="A162" s="140" t="s">
        <v>228</v>
      </c>
      <c r="D162" s="140" t="s">
        <v>665</v>
      </c>
      <c r="F162" s="147">
        <f>SUM(F160:F161)</f>
        <v>2642213.763402245</v>
      </c>
      <c r="G162" s="147">
        <f t="shared" ref="G162:T162" si="51">G160+G161</f>
        <v>1703107.7443108745</v>
      </c>
      <c r="H162" s="147">
        <f t="shared" si="51"/>
        <v>768189.2757579583</v>
      </c>
      <c r="I162" s="147">
        <f t="shared" si="51"/>
        <v>66951.325306267943</v>
      </c>
      <c r="J162" s="147">
        <f t="shared" si="51"/>
        <v>2526.8398447859067</v>
      </c>
      <c r="K162" s="147">
        <f t="shared" si="51"/>
        <v>101438.57818235843</v>
      </c>
      <c r="L162" s="147">
        <f t="shared" si="51"/>
        <v>0</v>
      </c>
      <c r="M162" s="147">
        <f t="shared" si="51"/>
        <v>0</v>
      </c>
      <c r="N162" s="147">
        <f t="shared" si="51"/>
        <v>19036.790745304432</v>
      </c>
      <c r="O162" s="147">
        <f t="shared" si="51"/>
        <v>0</v>
      </c>
      <c r="P162" s="147">
        <f t="shared" si="51"/>
        <v>0</v>
      </c>
      <c r="Q162" s="147">
        <f t="shared" si="51"/>
        <v>0</v>
      </c>
      <c r="R162" s="147">
        <f t="shared" si="51"/>
        <v>0</v>
      </c>
      <c r="S162" s="147">
        <f t="shared" si="51"/>
        <v>0</v>
      </c>
      <c r="T162" s="147">
        <f t="shared" si="51"/>
        <v>0</v>
      </c>
      <c r="U162" s="148">
        <f>SUM(G162:M162)</f>
        <v>2642213.763402245</v>
      </c>
      <c r="V162" s="133" t="str">
        <f>IF(ABS(F162-U162)&lt;0.01,"ok","err")</f>
        <v>ok</v>
      </c>
    </row>
    <row r="163" spans="1:23" x14ac:dyDescent="0.25">
      <c r="F163" s="15"/>
      <c r="U163" s="148"/>
    </row>
    <row r="164" spans="1:23" x14ac:dyDescent="0.25">
      <c r="A164" s="134" t="s">
        <v>6</v>
      </c>
      <c r="F164" s="15"/>
      <c r="U164" s="148"/>
    </row>
    <row r="165" spans="1:23" x14ac:dyDescent="0.25">
      <c r="A165" s="140" t="s">
        <v>226</v>
      </c>
      <c r="C165" s="140" t="s">
        <v>344</v>
      </c>
      <c r="D165" s="140" t="s">
        <v>354</v>
      </c>
      <c r="E165" s="140" t="s">
        <v>316</v>
      </c>
      <c r="F165" s="147">
        <f>VLOOKUP(C165,'Functional Assignment'!$C$1:$AR$730,11,)</f>
        <v>857353.31358232303</v>
      </c>
      <c r="G165" s="147">
        <f>(VLOOKUP($E165,$D$6:$AI$659,G$2,)/VLOOKUP($E165,$D$6:$AI$659,3,))*$F165</f>
        <v>377697.87140879367</v>
      </c>
      <c r="H165" s="147">
        <f>(VLOOKUP($E165,$D$6:$AI$659,H$2,)/VLOOKUP($E165,$D$6:$AI$659,3,))*$F165</f>
        <v>196198.10887728233</v>
      </c>
      <c r="I165" s="147">
        <f>(VLOOKUP($E165,$D$6:$AI$659,I$2,)/VLOOKUP($E165,$D$6:$AI$659,3,))*$F165</f>
        <v>37713.826632381533</v>
      </c>
      <c r="J165" s="147">
        <f>(VLOOKUP($E165,$D$6:$AI$659,J$2,)/VLOOKUP($E165,$D$6:$AI$659,3,))*$F165</f>
        <v>7433.7731234385328</v>
      </c>
      <c r="K165" s="147">
        <f>(VLOOKUP($E165,$D$6:$AI$659,8,)/VLOOKUP($E165,$D$6:$AI$659,3,))*$F165</f>
        <v>238309.73354042703</v>
      </c>
      <c r="L165" s="147">
        <f>(VLOOKUP($E165,$D$6:$AI$659,L$2,)/VLOOKUP($E165,$D$6:$AI$659,3,))*$F165</f>
        <v>0</v>
      </c>
      <c r="M165" s="147">
        <f>(VLOOKUP($E165,$D$6:$AI$659,M$2,)/VLOOKUP($E165,$D$6:$AI$659,3,))*$F165</f>
        <v>0</v>
      </c>
      <c r="N165" s="147">
        <f>(VLOOKUP($E165,$D$6:$AI$659,11,)/VLOOKUP($E165,$D$6:$AI$659,3,))*$F165</f>
        <v>0</v>
      </c>
      <c r="O165" s="147">
        <f>(VLOOKUP($E165,$D$6:$AI$659,O$2,)/VLOOKUP($E165,$D$6:$AI$659,3,))*$F165</f>
        <v>0</v>
      </c>
      <c r="P165" s="147">
        <f>(VLOOKUP($E165,$D$6:$AI$659,P$2,)/VLOOKUP($E165,$D$6:$AI$659,3,))*$F165</f>
        <v>0</v>
      </c>
      <c r="Q165" s="147">
        <f>(VLOOKUP($E165,$D$6:$AI$659,Q$2,)/VLOOKUP($E165,$D$6:$AI$659,3,))*$F165</f>
        <v>0</v>
      </c>
      <c r="R165" s="147">
        <f>(VLOOKUP($E165,$D$6:$AI$659,15,)/VLOOKUP($E165,$D$6:$AI$659,3,))*$F165</f>
        <v>0</v>
      </c>
      <c r="S165" s="147">
        <f>(VLOOKUP($E165,$D$6:$AI$659,16,)/VLOOKUP($E165,$D$6:$AI$659,3,))*$F165</f>
        <v>0</v>
      </c>
      <c r="T165" s="147">
        <f>(VLOOKUP($E165,$D$6:$AI$659,17,)/VLOOKUP($E165,$D$6:$AI$659,3,))*$F165</f>
        <v>0</v>
      </c>
      <c r="U165" s="148">
        <f>SUM(G165:M165)</f>
        <v>857353.31358232314</v>
      </c>
      <c r="V165" s="133" t="str">
        <f>IF(ABS(F165-U165)&lt;0.01,"ok","err")</f>
        <v>ok</v>
      </c>
    </row>
    <row r="166" spans="1:23" x14ac:dyDescent="0.25">
      <c r="A166" s="146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48"/>
      <c r="V166" s="133"/>
    </row>
    <row r="167" spans="1:23" x14ac:dyDescent="0.25">
      <c r="A167" s="134" t="s">
        <v>7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48"/>
      <c r="V167" s="133"/>
    </row>
    <row r="168" spans="1:23" x14ac:dyDescent="0.25">
      <c r="A168" s="146" t="s">
        <v>207</v>
      </c>
      <c r="C168" s="140" t="s">
        <v>344</v>
      </c>
      <c r="D168" s="140" t="s">
        <v>355</v>
      </c>
      <c r="E168" s="140" t="s">
        <v>317</v>
      </c>
      <c r="F168" s="147">
        <f>VLOOKUP(C168,'Functional Assignment'!$C$1:$AR$730,12,)</f>
        <v>1337042.8627925699</v>
      </c>
      <c r="G168" s="147">
        <f>(VLOOKUP($E168,$D$6:$AI$659,G$2,)/VLOOKUP($E168,$D$6:$AI$659,3,))*$F168</f>
        <v>725891.89380273339</v>
      </c>
      <c r="H168" s="147">
        <f>(VLOOKUP($E168,$D$6:$AI$659,H$2,)/VLOOKUP($E168,$D$6:$AI$659,3,))*$F168</f>
        <v>331748.37994108704</v>
      </c>
      <c r="I168" s="147">
        <f>(VLOOKUP($E168,$D$6:$AI$659,I$2,)/VLOOKUP($E168,$D$6:$AI$659,3,))*$F168</f>
        <v>32822.084582140829</v>
      </c>
      <c r="J168" s="147">
        <f>(VLOOKUP($E168,$D$6:$AI$659,J$2,)/VLOOKUP($E168,$D$6:$AI$659,3,))*$F168</f>
        <v>7336.3889606498487</v>
      </c>
      <c r="K168" s="147">
        <f>(VLOOKUP($E168,$D$6:$AI$659,8,)/VLOOKUP($E168,$D$6:$AI$659,3,))*$F168</f>
        <v>239244.11550595876</v>
      </c>
      <c r="L168" s="147">
        <f>(VLOOKUP($E168,$D$6:$AI$659,L$2,)/VLOOKUP($E168,$D$6:$AI$659,3,))*$F168</f>
        <v>0</v>
      </c>
      <c r="M168" s="147">
        <f>(VLOOKUP($E168,$D$6:$AI$659,M$2,)/VLOOKUP($E168,$D$6:$AI$659,3,))*$F168</f>
        <v>0</v>
      </c>
      <c r="N168" s="147">
        <f>(VLOOKUP($E168,$D$6:$AI$659,11,)/VLOOKUP($E168,$D$6:$AI$659,3,))*$F168</f>
        <v>0</v>
      </c>
      <c r="O168" s="147">
        <f>(VLOOKUP($E168,$D$6:$AI$659,O$2,)/VLOOKUP($E168,$D$6:$AI$659,3,))*$F168</f>
        <v>0</v>
      </c>
      <c r="P168" s="147">
        <f>(VLOOKUP($E168,$D$6:$AI$659,P$2,)/VLOOKUP($E168,$D$6:$AI$659,3,))*$F168</f>
        <v>0</v>
      </c>
      <c r="Q168" s="147">
        <f>(VLOOKUP($E168,$D$6:$AI$659,Q$2,)/VLOOKUP($E168,$D$6:$AI$659,3,))*$F168</f>
        <v>0</v>
      </c>
      <c r="R168" s="147">
        <f>(VLOOKUP($E168,$D$6:$AI$659,15,)/VLOOKUP($E168,$D$6:$AI$659,3,))*$F168</f>
        <v>0</v>
      </c>
      <c r="S168" s="147">
        <f>(VLOOKUP($E168,$D$6:$AI$659,16,)/VLOOKUP($E168,$D$6:$AI$659,3,))*$F168</f>
        <v>0</v>
      </c>
      <c r="T168" s="147">
        <f>(VLOOKUP($E168,$D$6:$AI$659,17,)/VLOOKUP($E168,$D$6:$AI$659,3,))*$F168</f>
        <v>0</v>
      </c>
      <c r="U168" s="148">
        <f>SUM(G168:M168)</f>
        <v>1337042.8627925699</v>
      </c>
      <c r="V168" s="133" t="str">
        <f>IF(ABS(F168-U168)&lt;0.01,"ok","err")</f>
        <v>ok</v>
      </c>
    </row>
    <row r="169" spans="1:23" x14ac:dyDescent="0.25">
      <c r="F169" s="15"/>
      <c r="U169" s="148"/>
    </row>
    <row r="170" spans="1:23" x14ac:dyDescent="0.25">
      <c r="A170" s="134" t="s">
        <v>8</v>
      </c>
      <c r="F170" s="15"/>
      <c r="U170" s="148"/>
    </row>
    <row r="171" spans="1:23" x14ac:dyDescent="0.25">
      <c r="A171" s="146" t="s">
        <v>680</v>
      </c>
      <c r="C171" s="140" t="s">
        <v>344</v>
      </c>
      <c r="D171" s="140" t="s">
        <v>356</v>
      </c>
      <c r="E171" s="140" t="s">
        <v>932</v>
      </c>
      <c r="F171" s="147">
        <f>VLOOKUP(C171,'Functional Assignment'!$C$1:$AR$730,13,)</f>
        <v>5969542.8843289698</v>
      </c>
      <c r="G171" s="147">
        <f t="shared" ref="G171:J174" si="52">(VLOOKUP($E171,$D$6:$AI$659,G$2,)/VLOOKUP($E171,$D$6:$AI$659,3,))*$F171</f>
        <v>3649252.8444077973</v>
      </c>
      <c r="H171" s="147">
        <f t="shared" si="52"/>
        <v>1775930.5423631917</v>
      </c>
      <c r="I171" s="147">
        <f t="shared" si="52"/>
        <v>242715.78177476834</v>
      </c>
      <c r="J171" s="147">
        <f t="shared" si="52"/>
        <v>45376.400409900962</v>
      </c>
      <c r="K171" s="147">
        <f>(VLOOKUP($E171,$D$6:$AI$659,8,)/VLOOKUP($E171,$D$6:$AI$659,3,))*$F171</f>
        <v>256267.31537331216</v>
      </c>
      <c r="L171" s="147">
        <f t="shared" ref="L171:M174" si="53">(VLOOKUP($E171,$D$6:$AI$659,L$2,)/VLOOKUP($E171,$D$6:$AI$659,3,))*$F171</f>
        <v>0</v>
      </c>
      <c r="M171" s="147">
        <f t="shared" si="53"/>
        <v>0</v>
      </c>
      <c r="N171" s="147">
        <f>(VLOOKUP($E171,$D$6:$AI$659,11,)/VLOOKUP($E171,$D$6:$AI$659,3,))*$F171</f>
        <v>0</v>
      </c>
      <c r="O171" s="147">
        <f t="shared" ref="O171:Q174" si="54">(VLOOKUP($E171,$D$6:$AI$659,O$2,)/VLOOKUP($E171,$D$6:$AI$659,3,))*$F171</f>
        <v>0</v>
      </c>
      <c r="P171" s="147">
        <f t="shared" si="54"/>
        <v>0</v>
      </c>
      <c r="Q171" s="147">
        <f t="shared" si="54"/>
        <v>0</v>
      </c>
      <c r="R171" s="147">
        <f>(VLOOKUP($E171,$D$6:$AI$659,15,)/VLOOKUP($E171,$D$6:$AI$659,3,))*$F171</f>
        <v>0</v>
      </c>
      <c r="S171" s="147">
        <f>(VLOOKUP($E171,$D$6:$AI$659,16,)/VLOOKUP($E171,$D$6:$AI$659,3,))*$F171</f>
        <v>0</v>
      </c>
      <c r="T171" s="147">
        <f>(VLOOKUP($E171,$D$6:$AI$659,17,)/VLOOKUP($E171,$D$6:$AI$659,3,))*$F171</f>
        <v>0</v>
      </c>
      <c r="U171" s="148">
        <f>SUM(G171:M171)</f>
        <v>5969542.8843289698</v>
      </c>
      <c r="V171" s="133" t="str">
        <f>IF(ABS(F171-U171)&lt;0.01,"ok","err")</f>
        <v>ok</v>
      </c>
    </row>
    <row r="172" spans="1:23" x14ac:dyDescent="0.25">
      <c r="A172" s="146" t="s">
        <v>679</v>
      </c>
      <c r="C172" s="140" t="s">
        <v>344</v>
      </c>
      <c r="D172" s="140" t="s">
        <v>357</v>
      </c>
      <c r="E172" s="140" t="s">
        <v>684</v>
      </c>
      <c r="F172" s="15">
        <f>VLOOKUP(C172,'Functional Assignment'!$C$1:$AR$730,14,)</f>
        <v>0</v>
      </c>
      <c r="G172" s="15">
        <f t="shared" si="52"/>
        <v>0</v>
      </c>
      <c r="H172" s="15">
        <f t="shared" si="52"/>
        <v>0</v>
      </c>
      <c r="I172" s="15">
        <f t="shared" si="52"/>
        <v>0</v>
      </c>
      <c r="J172" s="15">
        <f t="shared" si="52"/>
        <v>0</v>
      </c>
      <c r="K172" s="15">
        <f>(VLOOKUP($E172,$D$6:$AI$659,8,)/VLOOKUP($E172,$D$6:$AI$659,3,))*$F172</f>
        <v>0</v>
      </c>
      <c r="L172" s="15">
        <f t="shared" si="53"/>
        <v>0</v>
      </c>
      <c r="M172" s="15">
        <f t="shared" si="53"/>
        <v>0</v>
      </c>
      <c r="N172" s="15">
        <f>(VLOOKUP($E172,$D$6:$AI$659,11,)/VLOOKUP($E172,$D$6:$AI$659,3,))*$F172</f>
        <v>0</v>
      </c>
      <c r="O172" s="15">
        <f t="shared" si="54"/>
        <v>0</v>
      </c>
      <c r="P172" s="15">
        <f t="shared" si="54"/>
        <v>0</v>
      </c>
      <c r="Q172" s="15">
        <f t="shared" si="54"/>
        <v>0</v>
      </c>
      <c r="R172" s="15">
        <f>(VLOOKUP($E172,$D$6:$AI$659,15,)/VLOOKUP($E172,$D$6:$AI$659,3,))*$F172</f>
        <v>0</v>
      </c>
      <c r="S172" s="15">
        <f>(VLOOKUP($E172,$D$6:$AI$659,16,)/VLOOKUP($E172,$D$6:$AI$659,3,))*$F172</f>
        <v>0</v>
      </c>
      <c r="T172" s="15">
        <f>(VLOOKUP($E172,$D$6:$AI$659,17,)/VLOOKUP($E172,$D$6:$AI$659,3,))*$F172</f>
        <v>0</v>
      </c>
      <c r="U172" s="148">
        <f>SUM(G172:M172)</f>
        <v>0</v>
      </c>
      <c r="V172" s="133" t="str">
        <f>IF(ABS(F172-U172)&lt;0.01,"ok","err")</f>
        <v>ok</v>
      </c>
      <c r="W172" s="149"/>
    </row>
    <row r="173" spans="1:23" x14ac:dyDescent="0.25">
      <c r="A173" s="146" t="s">
        <v>681</v>
      </c>
      <c r="C173" s="140" t="s">
        <v>344</v>
      </c>
      <c r="D173" s="140" t="s">
        <v>357</v>
      </c>
      <c r="E173" s="140" t="s">
        <v>931</v>
      </c>
      <c r="F173" s="15">
        <f>VLOOKUP(C173,'Functional Assignment'!$C$1:$AR$730,15,)</f>
        <v>655220.54656357993</v>
      </c>
      <c r="G173" s="15">
        <f t="shared" si="52"/>
        <v>322187.60875478748</v>
      </c>
      <c r="H173" s="15">
        <f t="shared" si="52"/>
        <v>156257.84168329669</v>
      </c>
      <c r="I173" s="15">
        <f t="shared" si="52"/>
        <v>22453.402467265914</v>
      </c>
      <c r="J173" s="15">
        <f t="shared" si="52"/>
        <v>4638.1858202188614</v>
      </c>
      <c r="K173" s="15">
        <f>(VLOOKUP($E173,$D$6:$AI$659,8,)/VLOOKUP($E173,$D$6:$AI$659,3,))*$F173</f>
        <v>149683.50783801099</v>
      </c>
      <c r="L173" s="15">
        <f t="shared" si="53"/>
        <v>0</v>
      </c>
      <c r="M173" s="15">
        <f t="shared" si="53"/>
        <v>0</v>
      </c>
      <c r="N173" s="15">
        <f>(VLOOKUP($E173,$D$6:$AI$659,11,)/VLOOKUP($E173,$D$6:$AI$659,3,))*$F173</f>
        <v>0</v>
      </c>
      <c r="O173" s="15">
        <f t="shared" si="54"/>
        <v>0</v>
      </c>
      <c r="P173" s="15">
        <f t="shared" si="54"/>
        <v>0</v>
      </c>
      <c r="Q173" s="15">
        <f t="shared" si="54"/>
        <v>0</v>
      </c>
      <c r="R173" s="15"/>
      <c r="S173" s="15"/>
      <c r="T173" s="15"/>
      <c r="U173" s="148">
        <f>SUM(G173:M173)</f>
        <v>655220.54656357993</v>
      </c>
      <c r="V173" s="133" t="str">
        <f>IF(ABS(F173-U173)&lt;0.01,"ok","err")</f>
        <v>ok</v>
      </c>
    </row>
    <row r="174" spans="1:23" x14ac:dyDescent="0.25">
      <c r="A174" s="146" t="s">
        <v>678</v>
      </c>
      <c r="C174" s="140" t="s">
        <v>344</v>
      </c>
      <c r="D174" s="140" t="s">
        <v>357</v>
      </c>
      <c r="E174" s="140" t="s">
        <v>319</v>
      </c>
      <c r="F174" s="15">
        <f>VLOOKUP(C174,'Functional Assignment'!$C$1:$AR$730,16,)</f>
        <v>0</v>
      </c>
      <c r="G174" s="15">
        <f t="shared" si="52"/>
        <v>0</v>
      </c>
      <c r="H174" s="15">
        <f t="shared" si="52"/>
        <v>0</v>
      </c>
      <c r="I174" s="15">
        <f t="shared" si="52"/>
        <v>0</v>
      </c>
      <c r="J174" s="15">
        <f t="shared" si="52"/>
        <v>0</v>
      </c>
      <c r="K174" s="15">
        <f>(VLOOKUP($E174,$D$6:$AI$659,8,)/VLOOKUP($E174,$D$6:$AI$659,3,))*$F174</f>
        <v>0</v>
      </c>
      <c r="L174" s="15">
        <f t="shared" si="53"/>
        <v>0</v>
      </c>
      <c r="M174" s="15">
        <f t="shared" si="53"/>
        <v>0</v>
      </c>
      <c r="N174" s="15">
        <f>(VLOOKUP($E174,$D$6:$AI$659,11,)/VLOOKUP($E174,$D$6:$AI$659,3,))*$F174</f>
        <v>0</v>
      </c>
      <c r="O174" s="15">
        <f t="shared" si="54"/>
        <v>0</v>
      </c>
      <c r="P174" s="15">
        <f t="shared" si="54"/>
        <v>0</v>
      </c>
      <c r="Q174" s="15">
        <f t="shared" si="54"/>
        <v>0</v>
      </c>
      <c r="R174" s="15"/>
      <c r="S174" s="15"/>
      <c r="T174" s="15"/>
      <c r="U174" s="148"/>
      <c r="V174" s="133"/>
    </row>
    <row r="175" spans="1:23" x14ac:dyDescent="0.25">
      <c r="A175" s="140" t="s">
        <v>229</v>
      </c>
      <c r="F175" s="147">
        <f>SUM(F171:F174)</f>
        <v>6624763.4308925495</v>
      </c>
      <c r="G175" s="147">
        <f t="shared" ref="G175:Q175" si="55">SUM(G171:G174)</f>
        <v>3971440.4531625849</v>
      </c>
      <c r="H175" s="147">
        <f t="shared" si="55"/>
        <v>1932188.3840464884</v>
      </c>
      <c r="I175" s="147">
        <f t="shared" si="55"/>
        <v>265169.18424203427</v>
      </c>
      <c r="J175" s="147">
        <f t="shared" si="55"/>
        <v>50014.586230119821</v>
      </c>
      <c r="K175" s="147">
        <f t="shared" si="55"/>
        <v>405950.82321132312</v>
      </c>
      <c r="L175" s="147">
        <f t="shared" si="55"/>
        <v>0</v>
      </c>
      <c r="M175" s="147">
        <f t="shared" si="55"/>
        <v>0</v>
      </c>
      <c r="N175" s="147">
        <f t="shared" si="55"/>
        <v>0</v>
      </c>
      <c r="O175" s="147">
        <f t="shared" si="55"/>
        <v>0</v>
      </c>
      <c r="P175" s="147">
        <f t="shared" si="55"/>
        <v>0</v>
      </c>
      <c r="Q175" s="147">
        <f t="shared" si="55"/>
        <v>0</v>
      </c>
      <c r="R175" s="147">
        <f>R171+R172</f>
        <v>0</v>
      </c>
      <c r="S175" s="147">
        <f>S171+S172</f>
        <v>0</v>
      </c>
      <c r="T175" s="147">
        <f>T171+T172</f>
        <v>0</v>
      </c>
      <c r="U175" s="148">
        <f>SUM(G175:M175)</f>
        <v>6624763.4308925513</v>
      </c>
      <c r="V175" s="133" t="str">
        <f>IF(ABS(F175-U175)&lt;0.01,"ok","err")</f>
        <v>ok</v>
      </c>
      <c r="W175" s="149"/>
    </row>
    <row r="176" spans="1:23" x14ac:dyDescent="0.25">
      <c r="F176" s="15"/>
      <c r="U176" s="148"/>
    </row>
    <row r="177" spans="1:24" x14ac:dyDescent="0.25">
      <c r="A177" s="134" t="s">
        <v>10</v>
      </c>
      <c r="F177" s="15"/>
      <c r="U177" s="148"/>
    </row>
    <row r="178" spans="1:24" x14ac:dyDescent="0.25">
      <c r="A178" s="146" t="s">
        <v>208</v>
      </c>
      <c r="C178" s="140" t="s">
        <v>344</v>
      </c>
      <c r="D178" s="140" t="s">
        <v>349</v>
      </c>
      <c r="E178" s="140" t="s">
        <v>320</v>
      </c>
      <c r="F178" s="147">
        <f>VLOOKUP(C178,'Functional Assignment'!$C$1:$AR$730,17,)</f>
        <v>2235072.6827005357</v>
      </c>
      <c r="G178" s="147">
        <f>(VLOOKUP($E178,$D$6:$AI$659,G$2,)/VLOOKUP($E178,$D$6:$AI$659,3,))*$F178</f>
        <v>1662685.7871592981</v>
      </c>
      <c r="H178" s="147">
        <f>(VLOOKUP($E178,$D$6:$AI$659,H$2,)/VLOOKUP($E178,$D$6:$AI$659,3,))*$F178</f>
        <v>536636.80107998208</v>
      </c>
      <c r="I178" s="147">
        <f>(VLOOKUP($E178,$D$6:$AI$659,I$2,)/VLOOKUP($E178,$D$6:$AI$659,3,))*$F178</f>
        <v>14977.525870612191</v>
      </c>
      <c r="J178" s="147">
        <f>(VLOOKUP($E178,$D$6:$AI$659,J$2,)/VLOOKUP($E178,$D$6:$AI$659,3,))*$F178</f>
        <v>335.9445055090585</v>
      </c>
      <c r="K178" s="147">
        <f>(VLOOKUP($E178,$D$6:$AI$659,8,)/VLOOKUP($E178,$D$6:$AI$659,3,))*$F178</f>
        <v>20436.62408513439</v>
      </c>
      <c r="L178" s="147">
        <f>(VLOOKUP($E178,$D$6:$AI$659,L$2,)/VLOOKUP($E178,$D$6:$AI$659,3,))*$F178</f>
        <v>0</v>
      </c>
      <c r="M178" s="147">
        <f>(VLOOKUP($E178,$D$6:$AI$659,M$2,)/VLOOKUP($E178,$D$6:$AI$659,3,))*$F178</f>
        <v>0</v>
      </c>
      <c r="N178" s="147">
        <f>(VLOOKUP($E178,$D$6:$AI$659,11,)/VLOOKUP($E178,$D$6:$AI$659,3,))*$F178</f>
        <v>0</v>
      </c>
      <c r="O178" s="147">
        <f>(VLOOKUP($E178,$D$6:$AI$659,O$2,)/VLOOKUP($E178,$D$6:$AI$659,3,))*$F178</f>
        <v>0</v>
      </c>
      <c r="P178" s="147">
        <f>(VLOOKUP($E178,$D$6:$AI$659,P$2,)/VLOOKUP($E178,$D$6:$AI$659,3,))*$F178</f>
        <v>0</v>
      </c>
      <c r="Q178" s="147">
        <f>(VLOOKUP($E178,$D$6:$AI$659,Q$2,)/VLOOKUP($E178,$D$6:$AI$659,3,))*$F178</f>
        <v>0</v>
      </c>
      <c r="R178" s="147">
        <f>(VLOOKUP($E178,$D$6:$AI$659,15,)/VLOOKUP($E178,$D$6:$AI$659,3,))*$F178</f>
        <v>0</v>
      </c>
      <c r="S178" s="147">
        <f>(VLOOKUP($E178,$D$6:$AI$659,16,)/VLOOKUP($E178,$D$6:$AI$659,3,))*$F178</f>
        <v>0</v>
      </c>
      <c r="T178" s="147">
        <f>(VLOOKUP($E178,$D$6:$AI$659,17,)/VLOOKUP($E178,$D$6:$AI$659,3,))*$F178</f>
        <v>0</v>
      </c>
      <c r="U178" s="148">
        <f>SUM(G178:M178)</f>
        <v>2235072.6827005357</v>
      </c>
      <c r="V178" s="133" t="str">
        <f>IF(ABS(F178-U178)&lt;0.01,"ok","err")</f>
        <v>ok</v>
      </c>
      <c r="W178" s="149"/>
    </row>
    <row r="179" spans="1:24" x14ac:dyDescent="0.25">
      <c r="F179" s="15"/>
      <c r="U179" s="148"/>
    </row>
    <row r="180" spans="1:24" x14ac:dyDescent="0.25">
      <c r="A180" s="134" t="s">
        <v>11</v>
      </c>
      <c r="F180" s="15"/>
      <c r="U180" s="148"/>
    </row>
    <row r="181" spans="1:24" x14ac:dyDescent="0.25">
      <c r="A181" s="146" t="s">
        <v>208</v>
      </c>
      <c r="C181" s="140" t="s">
        <v>344</v>
      </c>
      <c r="D181" s="140" t="s">
        <v>358</v>
      </c>
      <c r="E181" s="140" t="s">
        <v>321</v>
      </c>
      <c r="F181" s="147">
        <f>VLOOKUP(C181,'Functional Assignment'!$C$1:$AR$730,18,)</f>
        <v>1767171.4971826903</v>
      </c>
      <c r="G181" s="147">
        <f>(VLOOKUP($E181,$D$6:$AI$659,G$2,)/VLOOKUP($E181,$D$6:$AI$659,3,))*$F181</f>
        <v>1187593.7370392636</v>
      </c>
      <c r="H181" s="147">
        <f>(VLOOKUP($E181,$D$6:$AI$659,H$2,)/VLOOKUP($E181,$D$6:$AI$659,3,))*$F181</f>
        <v>487760.45503898175</v>
      </c>
      <c r="I181" s="147">
        <f>(VLOOKUP($E181,$D$6:$AI$659,I$2,)/VLOOKUP($E181,$D$6:$AI$659,3,))*$F181</f>
        <v>40085.003450649856</v>
      </c>
      <c r="J181" s="147">
        <f>(VLOOKUP($E181,$D$6:$AI$659,J$2,)/VLOOKUP($E181,$D$6:$AI$659,3,))*$F181</f>
        <v>1131.3182241391396</v>
      </c>
      <c r="K181" s="147">
        <f>(VLOOKUP($E181,$D$6:$AI$659,8,)/VLOOKUP($E181,$D$6:$AI$659,3,))*$F181</f>
        <v>50600.983429655513</v>
      </c>
      <c r="L181" s="147">
        <f>(VLOOKUP($E181,$D$6:$AI$659,L$2,)/VLOOKUP($E181,$D$6:$AI$659,3,))*$F181</f>
        <v>0</v>
      </c>
      <c r="M181" s="147">
        <f>(VLOOKUP($E181,$D$6:$AI$659,M$2,)/VLOOKUP($E181,$D$6:$AI$659,3,))*$F181</f>
        <v>0</v>
      </c>
      <c r="N181" s="147">
        <f>(VLOOKUP($E181,$D$6:$AI$659,11,)/VLOOKUP($E181,$D$6:$AI$659,3,))*$F181</f>
        <v>0</v>
      </c>
      <c r="O181" s="147">
        <f>(VLOOKUP($E181,$D$6:$AI$659,O$2,)/VLOOKUP($E181,$D$6:$AI$659,3,))*$F181</f>
        <v>0</v>
      </c>
      <c r="P181" s="147">
        <f>(VLOOKUP($E181,$D$6:$AI$659,P$2,)/VLOOKUP($E181,$D$6:$AI$659,3,))*$F181</f>
        <v>0</v>
      </c>
      <c r="Q181" s="147">
        <f>(VLOOKUP($E181,$D$6:$AI$659,Q$2,)/VLOOKUP($E181,$D$6:$AI$659,3,))*$F181</f>
        <v>0</v>
      </c>
      <c r="R181" s="147">
        <f>(VLOOKUP($E181,$D$6:$AI$659,15,)/VLOOKUP($E181,$D$6:$AI$659,3,))*$F181</f>
        <v>0</v>
      </c>
      <c r="S181" s="147">
        <f>(VLOOKUP($E181,$D$6:$AI$659,16,)/VLOOKUP($E181,$D$6:$AI$659,3,))*$F181</f>
        <v>0</v>
      </c>
      <c r="T181" s="147">
        <f>(VLOOKUP($E181,$D$6:$AI$659,17,)/VLOOKUP($E181,$D$6:$AI$659,3,))*$F181</f>
        <v>0</v>
      </c>
      <c r="U181" s="148">
        <f>SUM(G181:M181)</f>
        <v>1767171.4971826896</v>
      </c>
      <c r="V181" s="133" t="str">
        <f>IF(ABS(F181-U181)&lt;0.01,"ok","err")</f>
        <v>ok</v>
      </c>
    </row>
    <row r="182" spans="1:24" x14ac:dyDescent="0.25">
      <c r="F182" s="15"/>
      <c r="U182" s="148"/>
    </row>
    <row r="183" spans="1:24" x14ac:dyDescent="0.25">
      <c r="A183" s="134" t="s">
        <v>12</v>
      </c>
      <c r="F183" s="15"/>
      <c r="U183" s="148"/>
    </row>
    <row r="184" spans="1:24" x14ac:dyDescent="0.25">
      <c r="A184" s="146" t="s">
        <v>208</v>
      </c>
      <c r="C184" s="140" t="s">
        <v>344</v>
      </c>
      <c r="D184" s="140" t="s">
        <v>359</v>
      </c>
      <c r="E184" s="140" t="s">
        <v>322</v>
      </c>
      <c r="F184" s="147">
        <f>VLOOKUP(C184,'Functional Assignment'!$C$1:$AR$730,19,)</f>
        <v>4272293.9381651804</v>
      </c>
      <c r="G184" s="147">
        <f>(VLOOKUP($E184,$D$6:$AI$659,G$2,)/VLOOKUP($E184,$D$6:$AI$659,3,))*$F184</f>
        <v>3643270.5925992546</v>
      </c>
      <c r="H184" s="147">
        <f>(VLOOKUP($E184,$D$6:$AI$659,H$2,)/VLOOKUP($E184,$D$6:$AI$659,3,))*$F184</f>
        <v>613325.5230198995</v>
      </c>
      <c r="I184" s="147">
        <f>(VLOOKUP($E184,$D$6:$AI$659,I$2,)/VLOOKUP($E184,$D$6:$AI$659,3,))*$F184</f>
        <v>6576.6132044824872</v>
      </c>
      <c r="J184" s="147">
        <f>(VLOOKUP($E184,$D$6:$AI$659,J$2,)/VLOOKUP($E184,$D$6:$AI$659,3,))*$F184</f>
        <v>147.51281953979409</v>
      </c>
      <c r="K184" s="147">
        <f>(VLOOKUP($E184,$D$6:$AI$659,8,)/VLOOKUP($E184,$D$6:$AI$659,3,))*$F184</f>
        <v>8973.696522004142</v>
      </c>
      <c r="L184" s="147">
        <f>(VLOOKUP($E184,$D$6:$AI$659,L$2,)/VLOOKUP($E184,$D$6:$AI$659,3,))*$F184</f>
        <v>0</v>
      </c>
      <c r="M184" s="147">
        <f>(VLOOKUP($E184,$D$6:$AI$659,M$2,)/VLOOKUP($E184,$D$6:$AI$659,3,))*$F184</f>
        <v>0</v>
      </c>
      <c r="N184" s="147">
        <f>(VLOOKUP($E184,$D$6:$AI$659,11,)/VLOOKUP($E184,$D$6:$AI$659,3,))*$F184</f>
        <v>0</v>
      </c>
      <c r="O184" s="147">
        <f>(VLOOKUP($E184,$D$6:$AI$659,O$2,)/VLOOKUP($E184,$D$6:$AI$659,3,))*$F184</f>
        <v>0</v>
      </c>
      <c r="P184" s="147">
        <f>(VLOOKUP($E184,$D$6:$AI$659,P$2,)/VLOOKUP($E184,$D$6:$AI$659,3,))*$F184</f>
        <v>0</v>
      </c>
      <c r="Q184" s="147">
        <f>(VLOOKUP($E184,$D$6:$AI$659,Q$2,)/VLOOKUP($E184,$D$6:$AI$659,3,))*$F184</f>
        <v>0</v>
      </c>
      <c r="R184" s="147">
        <f>(VLOOKUP($E184,$D$6:$AI$659,15,)/VLOOKUP($E184,$D$6:$AI$659,3,))*$F184</f>
        <v>0</v>
      </c>
      <c r="S184" s="147">
        <f>(VLOOKUP($E184,$D$6:$AI$659,16,)/VLOOKUP($E184,$D$6:$AI$659,3,))*$F184</f>
        <v>0</v>
      </c>
      <c r="T184" s="147">
        <f>(VLOOKUP($E184,$D$6:$AI$659,17,)/VLOOKUP($E184,$D$6:$AI$659,3,))*$F184</f>
        <v>0</v>
      </c>
      <c r="U184" s="148">
        <f>SUM(G184:M184)</f>
        <v>4272293.9381651804</v>
      </c>
      <c r="V184" s="133" t="str">
        <f>IF(ABS(F184-U184)&lt;0.01,"ok","err")</f>
        <v>ok</v>
      </c>
    </row>
    <row r="185" spans="1:24" x14ac:dyDescent="0.25">
      <c r="F185" s="15"/>
      <c r="U185" s="148"/>
    </row>
    <row r="186" spans="1:24" x14ac:dyDescent="0.25">
      <c r="A186" s="134" t="s">
        <v>13</v>
      </c>
      <c r="F186" s="15"/>
      <c r="U186" s="148"/>
    </row>
    <row r="187" spans="1:24" x14ac:dyDescent="0.25">
      <c r="A187" s="146" t="s">
        <v>208</v>
      </c>
      <c r="C187" s="140" t="s">
        <v>344</v>
      </c>
      <c r="D187" s="140" t="s">
        <v>360</v>
      </c>
      <c r="E187" s="140" t="s">
        <v>323</v>
      </c>
      <c r="F187" s="147">
        <f>VLOOKUP(C187,'Functional Assignment'!$C$1:$AR$730,20,)</f>
        <v>283429.39705819398</v>
      </c>
      <c r="G187" s="147">
        <f>(VLOOKUP($E187,$D$6:$AI$659,G$2,)/VLOOKUP($E187,$D$6:$AI$659,3,))*$F187</f>
        <v>241699.19072181868</v>
      </c>
      <c r="H187" s="147">
        <f>(VLOOKUP($E187,$D$6:$AI$659,H$2,)/VLOOKUP($E187,$D$6:$AI$659,3,))*$F187</f>
        <v>40688.792884084236</v>
      </c>
      <c r="I187" s="147">
        <f>(VLOOKUP($E187,$D$6:$AI$659,I$2,)/VLOOKUP($E187,$D$6:$AI$659,3,))*$F187</f>
        <v>436.30085902562257</v>
      </c>
      <c r="J187" s="147">
        <f>(VLOOKUP($E187,$D$6:$AI$659,J$2,)/VLOOKUP($E187,$D$6:$AI$659,3,))*$F187</f>
        <v>9.7861874921634975</v>
      </c>
      <c r="K187" s="147">
        <f>(VLOOKUP($E187,$D$6:$AI$659,8,)/VLOOKUP($E187,$D$6:$AI$659,3,))*$F187</f>
        <v>595.32640577327948</v>
      </c>
      <c r="L187" s="147">
        <f>(VLOOKUP($E187,$D$6:$AI$659,L$2,)/VLOOKUP($E187,$D$6:$AI$659,3,))*$F187</f>
        <v>0</v>
      </c>
      <c r="M187" s="147">
        <f>(VLOOKUP($E187,$D$6:$AI$659,M$2,)/VLOOKUP($E187,$D$6:$AI$659,3,))*$F187</f>
        <v>0</v>
      </c>
      <c r="N187" s="147">
        <f>(VLOOKUP($E187,$D$6:$AI$659,11,)/VLOOKUP($E187,$D$6:$AI$659,3,))*$F187</f>
        <v>0</v>
      </c>
      <c r="O187" s="147">
        <f>(VLOOKUP($E187,$D$6:$AI$659,O$2,)/VLOOKUP($E187,$D$6:$AI$659,3,))*$F187</f>
        <v>0</v>
      </c>
      <c r="P187" s="147">
        <f>(VLOOKUP($E187,$D$6:$AI$659,P$2,)/VLOOKUP($E187,$D$6:$AI$659,3,))*$F187</f>
        <v>0</v>
      </c>
      <c r="Q187" s="147">
        <f>(VLOOKUP($E187,$D$6:$AI$659,Q$2,)/VLOOKUP($E187,$D$6:$AI$659,3,))*$F187</f>
        <v>0</v>
      </c>
      <c r="R187" s="147">
        <f>(VLOOKUP($E187,$D$6:$AI$659,15,)/VLOOKUP($E187,$D$6:$AI$659,3,))*$F187</f>
        <v>0</v>
      </c>
      <c r="S187" s="147">
        <f>(VLOOKUP($E187,$D$6:$AI$659,16,)/VLOOKUP($E187,$D$6:$AI$659,3,))*$F187</f>
        <v>0</v>
      </c>
      <c r="T187" s="147">
        <f>(VLOOKUP($E187,$D$6:$AI$659,17,)/VLOOKUP($E187,$D$6:$AI$659,3,))*$F187</f>
        <v>0</v>
      </c>
      <c r="U187" s="148">
        <f>SUM(G187:M187)</f>
        <v>283429.39705819398</v>
      </c>
      <c r="V187" s="133" t="str">
        <f>IF(ABS(F187-U187)&lt;0.01,"ok","err")</f>
        <v>ok</v>
      </c>
    </row>
    <row r="188" spans="1:24" x14ac:dyDescent="0.25">
      <c r="F188" s="15"/>
      <c r="U188" s="148"/>
    </row>
    <row r="189" spans="1:24" x14ac:dyDescent="0.25">
      <c r="A189" s="140" t="s">
        <v>14</v>
      </c>
      <c r="D189" s="140" t="s">
        <v>353</v>
      </c>
      <c r="F189" s="147">
        <f>F152+F157+F162+F165+F168+F175+F178+F181+F184+F187</f>
        <v>25870364.84</v>
      </c>
      <c r="G189" s="147">
        <f t="shared" ref="G189:T189" si="56">G152+G157+G162+G165+G168+G175+G178+G181+G184+G187</f>
        <v>17311532.333831366</v>
      </c>
      <c r="H189" s="147">
        <f t="shared" si="56"/>
        <v>6703614.9897140106</v>
      </c>
      <c r="I189" s="147">
        <f t="shared" si="56"/>
        <v>697846.38091522187</v>
      </c>
      <c r="J189" s="147">
        <f t="shared" si="56"/>
        <v>77784.098658814561</v>
      </c>
      <c r="K189" s="147">
        <f t="shared" si="56"/>
        <v>1079587.0368805849</v>
      </c>
      <c r="L189" s="147">
        <f t="shared" si="56"/>
        <v>0</v>
      </c>
      <c r="M189" s="147">
        <f t="shared" si="56"/>
        <v>0</v>
      </c>
      <c r="N189" s="147">
        <f t="shared" si="56"/>
        <v>33073.946743254739</v>
      </c>
      <c r="O189" s="147">
        <f t="shared" si="56"/>
        <v>0</v>
      </c>
      <c r="P189" s="147">
        <f t="shared" si="56"/>
        <v>0</v>
      </c>
      <c r="Q189" s="147">
        <f t="shared" si="56"/>
        <v>0</v>
      </c>
      <c r="R189" s="147">
        <f t="shared" si="56"/>
        <v>0</v>
      </c>
      <c r="S189" s="147">
        <f t="shared" si="56"/>
        <v>0</v>
      </c>
      <c r="T189" s="147">
        <f t="shared" si="56"/>
        <v>0</v>
      </c>
      <c r="U189" s="148">
        <f>SUM(G189:M189)</f>
        <v>25870364.84</v>
      </c>
      <c r="V189" s="133" t="str">
        <f>IF(ABS(F189-U189)&lt;0.01,"ok","err")</f>
        <v>ok</v>
      </c>
      <c r="W189" s="148"/>
      <c r="X189" s="133"/>
    </row>
    <row r="190" spans="1:24" x14ac:dyDescent="0.25">
      <c r="U190" s="148"/>
    </row>
    <row r="191" spans="1:24" x14ac:dyDescent="0.25">
      <c r="U191" s="148"/>
    </row>
    <row r="192" spans="1:24" x14ac:dyDescent="0.25"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8"/>
      <c r="V192" s="133"/>
    </row>
    <row r="193" spans="1:22" x14ac:dyDescent="0.25">
      <c r="U193" s="148"/>
    </row>
    <row r="194" spans="1:22" x14ac:dyDescent="0.25">
      <c r="A194" s="145" t="s">
        <v>173</v>
      </c>
      <c r="U194" s="148"/>
    </row>
    <row r="195" spans="1:22" x14ac:dyDescent="0.25">
      <c r="U195" s="148"/>
    </row>
    <row r="196" spans="1:22" x14ac:dyDescent="0.25">
      <c r="A196" s="134" t="s">
        <v>455</v>
      </c>
      <c r="U196" s="148"/>
    </row>
    <row r="197" spans="1:22" x14ac:dyDescent="0.25">
      <c r="A197" s="146" t="s">
        <v>207</v>
      </c>
      <c r="C197" s="140" t="s">
        <v>203</v>
      </c>
      <c r="D197" s="140" t="s">
        <v>280</v>
      </c>
      <c r="E197" s="140" t="s">
        <v>310</v>
      </c>
      <c r="F197" s="147">
        <f>VLOOKUP(C197,'Functional Assignment'!$C$1:$AR$730,5,)</f>
        <v>0</v>
      </c>
      <c r="G197" s="147">
        <f t="shared" ref="G197:J198" si="57">(VLOOKUP($E197,$D$6:$AI$659,G$2,)/VLOOKUP($E197,$D$6:$AI$659,3,))*$F197</f>
        <v>0</v>
      </c>
      <c r="H197" s="147">
        <f t="shared" si="57"/>
        <v>0</v>
      </c>
      <c r="I197" s="147">
        <f t="shared" si="57"/>
        <v>0</v>
      </c>
      <c r="J197" s="147">
        <f t="shared" si="57"/>
        <v>0</v>
      </c>
      <c r="K197" s="147">
        <f>(VLOOKUP($E197,$D$6:$AI$659,8,)/VLOOKUP($E197,$D$6:$AI$659,3,))*$F197</f>
        <v>0</v>
      </c>
      <c r="L197" s="147">
        <f>(VLOOKUP($E197,$D$6:$AI$659,L$2,)/VLOOKUP($E197,$D$6:$AI$659,3,))*$F197</f>
        <v>0</v>
      </c>
      <c r="M197" s="147">
        <f>(VLOOKUP($E197,$D$6:$AI$659,M$2,)/VLOOKUP($E197,$D$6:$AI$659,3,))*$F197</f>
        <v>0</v>
      </c>
      <c r="N197" s="147">
        <f>(VLOOKUP($E197,$D$6:$AI$659,11,)/VLOOKUP($E197,$D$6:$AI$659,3,))*$F197</f>
        <v>0</v>
      </c>
      <c r="O197" s="147">
        <f t="shared" ref="O197:Q198" si="58">(VLOOKUP($E197,$D$6:$AI$659,O$2,)/VLOOKUP($E197,$D$6:$AI$659,3,))*$F197</f>
        <v>0</v>
      </c>
      <c r="P197" s="147">
        <f t="shared" si="58"/>
        <v>0</v>
      </c>
      <c r="Q197" s="147">
        <f t="shared" si="58"/>
        <v>0</v>
      </c>
      <c r="R197" s="147">
        <f>(VLOOKUP($E197,$D$6:$AI$659,15,)/VLOOKUP($E197,$D$6:$AI$659,3,))*$F197</f>
        <v>0</v>
      </c>
      <c r="S197" s="147">
        <f>(VLOOKUP($E197,$D$6:$AI$659,16,)/VLOOKUP($E197,$D$6:$AI$659,3,))*$F197</f>
        <v>0</v>
      </c>
      <c r="T197" s="147">
        <f>(VLOOKUP($E197,$D$6:$AI$659,17,)/VLOOKUP($E197,$D$6:$AI$659,3,))*$F197</f>
        <v>0</v>
      </c>
      <c r="U197" s="148">
        <f>SUM(G197:M197)</f>
        <v>0</v>
      </c>
      <c r="V197" s="133" t="str">
        <f>IF(ABS(F197-U197)&lt;0.01,"ok","err")</f>
        <v>ok</v>
      </c>
    </row>
    <row r="198" spans="1:22" x14ac:dyDescent="0.25">
      <c r="A198" s="146" t="s">
        <v>226</v>
      </c>
      <c r="C198" s="140" t="s">
        <v>203</v>
      </c>
      <c r="D198" s="140" t="s">
        <v>268</v>
      </c>
      <c r="E198" s="140" t="s">
        <v>311</v>
      </c>
      <c r="F198" s="15">
        <f>VLOOKUP(C198,'Functional Assignment'!$C$1:$AR$730,6,)</f>
        <v>0</v>
      </c>
      <c r="G198" s="15">
        <f t="shared" si="57"/>
        <v>0</v>
      </c>
      <c r="H198" s="15">
        <f t="shared" si="57"/>
        <v>0</v>
      </c>
      <c r="I198" s="15">
        <f t="shared" si="57"/>
        <v>0</v>
      </c>
      <c r="J198" s="15">
        <f t="shared" si="57"/>
        <v>0</v>
      </c>
      <c r="K198" s="15">
        <f>(VLOOKUP($E198,$D$6:$AI$659,8,)/VLOOKUP($E198,$D$6:$AI$659,3,))*$F198</f>
        <v>0</v>
      </c>
      <c r="L198" s="15">
        <f>(VLOOKUP($E198,$D$6:$AI$659,L$2,)/VLOOKUP($E198,$D$6:$AI$659,3,))*$F198</f>
        <v>0</v>
      </c>
      <c r="M198" s="15">
        <f>(VLOOKUP($E198,$D$6:$AI$659,M$2,)/VLOOKUP($E198,$D$6:$AI$659,3,))*$F198</f>
        <v>0</v>
      </c>
      <c r="N198" s="15">
        <f>(VLOOKUP($E198,$D$6:$AI$659,11,)/VLOOKUP($E198,$D$6:$AI$659,3,))*$F198</f>
        <v>0</v>
      </c>
      <c r="O198" s="15">
        <f t="shared" si="58"/>
        <v>0</v>
      </c>
      <c r="P198" s="15">
        <f t="shared" si="58"/>
        <v>0</v>
      </c>
      <c r="Q198" s="15">
        <f t="shared" si="58"/>
        <v>0</v>
      </c>
      <c r="R198" s="15">
        <f>(VLOOKUP($E198,$D$6:$AI$659,15,)/VLOOKUP($E198,$D$6:$AI$659,3,))*$F198</f>
        <v>0</v>
      </c>
      <c r="S198" s="15">
        <f>(VLOOKUP($E198,$D$6:$AI$659,16,)/VLOOKUP($E198,$D$6:$AI$659,3,))*$F198</f>
        <v>0</v>
      </c>
      <c r="T198" s="15">
        <f>(VLOOKUP($E198,$D$6:$AI$659,17,)/VLOOKUP($E198,$D$6:$AI$659,3,))*$F198</f>
        <v>0</v>
      </c>
      <c r="U198" s="148">
        <f>SUM(G198:M198)</f>
        <v>0</v>
      </c>
      <c r="V198" s="133" t="str">
        <f>IF(ABS(F198-U198)&lt;0.01,"ok","err")</f>
        <v>ok</v>
      </c>
    </row>
    <row r="199" spans="1:22" x14ac:dyDescent="0.25">
      <c r="A199" s="140" t="s">
        <v>658</v>
      </c>
      <c r="D199" s="140" t="s">
        <v>338</v>
      </c>
      <c r="F199" s="147">
        <f t="shared" ref="F199:T199" si="59">F197+F198</f>
        <v>0</v>
      </c>
      <c r="G199" s="147">
        <f t="shared" si="59"/>
        <v>0</v>
      </c>
      <c r="H199" s="147">
        <f t="shared" si="59"/>
        <v>0</v>
      </c>
      <c r="I199" s="147">
        <f t="shared" si="59"/>
        <v>0</v>
      </c>
      <c r="J199" s="147">
        <f t="shared" si="59"/>
        <v>0</v>
      </c>
      <c r="K199" s="147">
        <f t="shared" si="59"/>
        <v>0</v>
      </c>
      <c r="L199" s="147">
        <f t="shared" si="59"/>
        <v>0</v>
      </c>
      <c r="M199" s="147">
        <f t="shared" si="59"/>
        <v>0</v>
      </c>
      <c r="N199" s="147">
        <f t="shared" si="59"/>
        <v>0</v>
      </c>
      <c r="O199" s="147">
        <f t="shared" si="59"/>
        <v>0</v>
      </c>
      <c r="P199" s="147">
        <f t="shared" si="59"/>
        <v>0</v>
      </c>
      <c r="Q199" s="147">
        <f t="shared" si="59"/>
        <v>0</v>
      </c>
      <c r="R199" s="147">
        <f t="shared" si="59"/>
        <v>0</v>
      </c>
      <c r="S199" s="147">
        <f t="shared" si="59"/>
        <v>0</v>
      </c>
      <c r="T199" s="147">
        <f t="shared" si="59"/>
        <v>0</v>
      </c>
      <c r="U199" s="148">
        <f>SUM(G199:M199)</f>
        <v>0</v>
      </c>
      <c r="V199" s="133" t="str">
        <f>IF(ABS(F199-U199)&lt;0.01,"ok","err")</f>
        <v>ok</v>
      </c>
    </row>
    <row r="200" spans="1:22" x14ac:dyDescent="0.25">
      <c r="F200" s="15"/>
      <c r="G200" s="15"/>
      <c r="U200" s="148"/>
    </row>
    <row r="201" spans="1:22" x14ac:dyDescent="0.25">
      <c r="A201" s="134" t="s">
        <v>3</v>
      </c>
      <c r="F201" s="15"/>
      <c r="G201" s="15"/>
      <c r="U201" s="148"/>
    </row>
    <row r="202" spans="1:22" x14ac:dyDescent="0.25">
      <c r="A202" s="146" t="s">
        <v>207</v>
      </c>
      <c r="C202" s="140" t="s">
        <v>203</v>
      </c>
      <c r="D202" s="140" t="s">
        <v>269</v>
      </c>
      <c r="E202" s="140" t="s">
        <v>312</v>
      </c>
      <c r="F202" s="147">
        <f>VLOOKUP(C202,'Functional Assignment'!$C$1:$AR$730,7,)</f>
        <v>4776553.1633104794</v>
      </c>
      <c r="G202" s="147">
        <f t="shared" ref="G202:J203" si="60">(VLOOKUP($E202,$D$6:$AI$659,G$2,)/VLOOKUP($E202,$D$6:$AI$659,3,))*$F202</f>
        <v>3181356.2106680814</v>
      </c>
      <c r="H202" s="147">
        <f t="shared" si="60"/>
        <v>1431687.4574189321</v>
      </c>
      <c r="I202" s="147">
        <f t="shared" si="60"/>
        <v>121830.91505753364</v>
      </c>
      <c r="J202" s="147">
        <f t="shared" si="60"/>
        <v>0</v>
      </c>
      <c r="K202" s="147">
        <f>(VLOOKUP($E202,$D$6:$AI$659,8,)/VLOOKUP($E202,$D$6:$AI$659,3,))*$F202</f>
        <v>41678.580165932028</v>
      </c>
      <c r="L202" s="147">
        <f>(VLOOKUP($E202,$D$6:$AI$659,L$2,)/VLOOKUP($E202,$D$6:$AI$659,3,))*$F202</f>
        <v>0</v>
      </c>
      <c r="M202" s="147">
        <f>(VLOOKUP($E202,$D$6:$AI$659,M$2,)/VLOOKUP($E202,$D$6:$AI$659,3,))*$F202</f>
        <v>0</v>
      </c>
      <c r="N202" s="147">
        <f>(VLOOKUP($E202,$D$6:$AI$659,11,)/VLOOKUP($E202,$D$6:$AI$659,3,))*$F202</f>
        <v>41678.580165932028</v>
      </c>
      <c r="O202" s="147">
        <f t="shared" ref="O202:Q203" si="61">(VLOOKUP($E202,$D$6:$AI$659,O$2,)/VLOOKUP($E202,$D$6:$AI$659,3,))*$F202</f>
        <v>0</v>
      </c>
      <c r="P202" s="147">
        <f t="shared" si="61"/>
        <v>0</v>
      </c>
      <c r="Q202" s="147">
        <f t="shared" si="61"/>
        <v>0</v>
      </c>
      <c r="R202" s="147">
        <f>(VLOOKUP($E202,$D$6:$AI$659,15,)/VLOOKUP($E202,$D$6:$AI$659,3,))*$F202</f>
        <v>0</v>
      </c>
      <c r="S202" s="147">
        <f>(VLOOKUP($E202,$D$6:$AI$659,16,)/VLOOKUP($E202,$D$6:$AI$659,3,))*$F202</f>
        <v>0</v>
      </c>
      <c r="T202" s="147">
        <f>(VLOOKUP($E202,$D$6:$AI$659,17,)/VLOOKUP($E202,$D$6:$AI$659,3,))*$F202</f>
        <v>0</v>
      </c>
      <c r="U202" s="148">
        <f>SUM(G202:M202)</f>
        <v>4776553.1633104784</v>
      </c>
      <c r="V202" s="133" t="str">
        <f>IF(ABS(F202-U202)&lt;0.01,"ok","err")</f>
        <v>ok</v>
      </c>
    </row>
    <row r="203" spans="1:22" x14ac:dyDescent="0.25">
      <c r="A203" s="140" t="s">
        <v>226</v>
      </c>
      <c r="C203" s="140" t="s">
        <v>203</v>
      </c>
      <c r="D203" s="140" t="s">
        <v>270</v>
      </c>
      <c r="E203" s="140" t="s">
        <v>313</v>
      </c>
      <c r="F203" s="15">
        <f>VLOOKUP(C203,'Functional Assignment'!$C$1:$AR$730,8,)</f>
        <v>0</v>
      </c>
      <c r="G203" s="15">
        <f t="shared" si="60"/>
        <v>0</v>
      </c>
      <c r="H203" s="15">
        <f t="shared" si="60"/>
        <v>0</v>
      </c>
      <c r="I203" s="15">
        <f t="shared" si="60"/>
        <v>0</v>
      </c>
      <c r="J203" s="15">
        <f t="shared" si="60"/>
        <v>0</v>
      </c>
      <c r="K203" s="15">
        <f>(VLOOKUP($E203,$D$6:$AI$659,8,)/VLOOKUP($E203,$D$6:$AI$659,3,))*$F203</f>
        <v>0</v>
      </c>
      <c r="L203" s="15">
        <f>(VLOOKUP($E203,$D$6:$AI$659,L$2,)/VLOOKUP($E203,$D$6:$AI$659,3,))*$F203</f>
        <v>0</v>
      </c>
      <c r="M203" s="15">
        <f>(VLOOKUP($E203,$D$6:$AI$659,M$2,)/VLOOKUP($E203,$D$6:$AI$659,3,))*$F203</f>
        <v>0</v>
      </c>
      <c r="N203" s="15">
        <f>(VLOOKUP($E203,$D$6:$AI$659,11,)/VLOOKUP($E203,$D$6:$AI$659,3,))*$F203</f>
        <v>0</v>
      </c>
      <c r="O203" s="15">
        <f t="shared" si="61"/>
        <v>0</v>
      </c>
      <c r="P203" s="15">
        <f t="shared" si="61"/>
        <v>0</v>
      </c>
      <c r="Q203" s="15">
        <f t="shared" si="61"/>
        <v>0</v>
      </c>
      <c r="R203" s="15">
        <f>(VLOOKUP($E203,$D$6:$AI$659,15,)/VLOOKUP($E203,$D$6:$AI$659,3,))*$F203</f>
        <v>0</v>
      </c>
      <c r="S203" s="15">
        <f>(VLOOKUP($E203,$D$6:$AI$659,16,)/VLOOKUP($E203,$D$6:$AI$659,3,))*$F203</f>
        <v>0</v>
      </c>
      <c r="T203" s="15">
        <f>(VLOOKUP($E203,$D$6:$AI$659,17,)/VLOOKUP($E203,$D$6:$AI$659,3,))*$F203</f>
        <v>0</v>
      </c>
      <c r="U203" s="148">
        <f>SUM(G203:M203)</f>
        <v>0</v>
      </c>
      <c r="V203" s="133" t="str">
        <f>IF(ABS(F203-U203)&lt;0.01,"ok","err")</f>
        <v>ok</v>
      </c>
    </row>
    <row r="204" spans="1:22" x14ac:dyDescent="0.25">
      <c r="A204" s="140" t="s">
        <v>227</v>
      </c>
      <c r="D204" s="140" t="s">
        <v>339</v>
      </c>
      <c r="F204" s="147">
        <f>SUM(F202:F203)</f>
        <v>4776553.1633104794</v>
      </c>
      <c r="G204" s="147">
        <f t="shared" ref="G204:T204" si="62">G202+G203</f>
        <v>3181356.2106680814</v>
      </c>
      <c r="H204" s="147">
        <f t="shared" si="62"/>
        <v>1431687.4574189321</v>
      </c>
      <c r="I204" s="147">
        <f t="shared" si="62"/>
        <v>121830.91505753364</v>
      </c>
      <c r="J204" s="147">
        <f t="shared" si="62"/>
        <v>0</v>
      </c>
      <c r="K204" s="147">
        <f t="shared" si="62"/>
        <v>41678.580165932028</v>
      </c>
      <c r="L204" s="147">
        <f t="shared" si="62"/>
        <v>0</v>
      </c>
      <c r="M204" s="147">
        <f t="shared" si="62"/>
        <v>0</v>
      </c>
      <c r="N204" s="147">
        <f t="shared" si="62"/>
        <v>41678.580165932028</v>
      </c>
      <c r="O204" s="147">
        <f t="shared" si="62"/>
        <v>0</v>
      </c>
      <c r="P204" s="147">
        <f t="shared" si="62"/>
        <v>0</v>
      </c>
      <c r="Q204" s="147">
        <f t="shared" si="62"/>
        <v>0</v>
      </c>
      <c r="R204" s="147">
        <f t="shared" si="62"/>
        <v>0</v>
      </c>
      <c r="S204" s="147">
        <f t="shared" si="62"/>
        <v>0</v>
      </c>
      <c r="T204" s="147">
        <f t="shared" si="62"/>
        <v>0</v>
      </c>
      <c r="U204" s="148">
        <f>SUM(G204:M204)</f>
        <v>4776553.1633104784</v>
      </c>
      <c r="V204" s="133" t="str">
        <f>IF(ABS(F204-U204)&lt;0.01,"ok","err")</f>
        <v>ok</v>
      </c>
    </row>
    <row r="205" spans="1:22" x14ac:dyDescent="0.25">
      <c r="F205" s="15"/>
      <c r="G205" s="15"/>
      <c r="U205" s="148"/>
    </row>
    <row r="206" spans="1:22" x14ac:dyDescent="0.25">
      <c r="A206" s="134" t="s">
        <v>4</v>
      </c>
      <c r="F206" s="15"/>
      <c r="G206" s="15"/>
      <c r="U206" s="148"/>
    </row>
    <row r="207" spans="1:22" x14ac:dyDescent="0.25">
      <c r="A207" s="146" t="s">
        <v>870</v>
      </c>
      <c r="C207" s="140" t="s">
        <v>203</v>
      </c>
      <c r="D207" s="140" t="s">
        <v>271</v>
      </c>
      <c r="E207" s="140" t="s">
        <v>317</v>
      </c>
      <c r="F207" s="147">
        <f>VLOOKUP(C207,'Functional Assignment'!$C$1:$AR$730,9,)</f>
        <v>261783.19415338192</v>
      </c>
      <c r="G207" s="147">
        <f t="shared" ref="G207:J208" si="63">(VLOOKUP($E207,$D$6:$AI$659,G$2,)/VLOOKUP($E207,$D$6:$AI$659,3,))*$F207</f>
        <v>142124.31318232758</v>
      </c>
      <c r="H207" s="147">
        <f t="shared" si="63"/>
        <v>64953.901608508786</v>
      </c>
      <c r="I207" s="147">
        <f t="shared" si="63"/>
        <v>6426.323627904746</v>
      </c>
      <c r="J207" s="147">
        <f t="shared" si="63"/>
        <v>1436.4111945216539</v>
      </c>
      <c r="K207" s="147">
        <f>(VLOOKUP($E207,$D$6:$AI$659,8,)/VLOOKUP($E207,$D$6:$AI$659,3,))*$F207</f>
        <v>46842.244540119143</v>
      </c>
      <c r="L207" s="147">
        <f>(VLOOKUP($E207,$D$6:$AI$659,L$2,)/VLOOKUP($E207,$D$6:$AI$659,3,))*$F207</f>
        <v>0</v>
      </c>
      <c r="M207" s="147">
        <f>(VLOOKUP($E207,$D$6:$AI$659,M$2,)/VLOOKUP($E207,$D$6:$AI$659,3,))*$F207</f>
        <v>0</v>
      </c>
      <c r="N207" s="147">
        <f>(VLOOKUP($E207,$D$6:$AI$659,11,)/VLOOKUP($E207,$D$6:$AI$659,3,))*$F207</f>
        <v>0</v>
      </c>
      <c r="O207" s="147">
        <f t="shared" ref="O207:Q208" si="64">(VLOOKUP($E207,$D$6:$AI$659,O$2,)/VLOOKUP($E207,$D$6:$AI$659,3,))*$F207</f>
        <v>0</v>
      </c>
      <c r="P207" s="147">
        <f t="shared" si="64"/>
        <v>0</v>
      </c>
      <c r="Q207" s="147">
        <f t="shared" si="64"/>
        <v>0</v>
      </c>
      <c r="R207" s="147">
        <f>(VLOOKUP($E207,$D$6:$AI$659,15,)/VLOOKUP($E207,$D$6:$AI$659,3,))*$F207</f>
        <v>0</v>
      </c>
      <c r="S207" s="147">
        <f>(VLOOKUP($E207,$D$6:$AI$659,16,)/VLOOKUP($E207,$D$6:$AI$659,3,))*$F207</f>
        <v>0</v>
      </c>
      <c r="T207" s="147">
        <f>(VLOOKUP($E207,$D$6:$AI$659,17,)/VLOOKUP($E207,$D$6:$AI$659,3,))*$F207</f>
        <v>0</v>
      </c>
      <c r="U207" s="148">
        <f>SUM(G207:M207)</f>
        <v>261783.19415338189</v>
      </c>
      <c r="V207" s="133" t="str">
        <f>IF(ABS(F207-U207)&lt;0.01,"ok","err")</f>
        <v>ok</v>
      </c>
    </row>
    <row r="208" spans="1:22" x14ac:dyDescent="0.25">
      <c r="A208" s="140" t="s">
        <v>865</v>
      </c>
      <c r="C208" s="140" t="s">
        <v>203</v>
      </c>
      <c r="D208" s="140" t="s">
        <v>272</v>
      </c>
      <c r="E208" s="140" t="s">
        <v>314</v>
      </c>
      <c r="F208" s="15">
        <f>VLOOKUP(C208,'Functional Assignment'!$C$1:$AR$730,10,)</f>
        <v>1240213.6323972698</v>
      </c>
      <c r="G208" s="15">
        <f t="shared" si="63"/>
        <v>826026.88739838719</v>
      </c>
      <c r="H208" s="15">
        <f t="shared" si="63"/>
        <v>371732.13430592988</v>
      </c>
      <c r="I208" s="15">
        <f t="shared" si="63"/>
        <v>31632.927874096324</v>
      </c>
      <c r="J208" s="15">
        <f t="shared" si="63"/>
        <v>0</v>
      </c>
      <c r="K208" s="15">
        <f>(VLOOKUP($E208,$D$6:$AI$659,8,)/VLOOKUP($E208,$D$6:$AI$659,3,))*$F208</f>
        <v>10821.682818856434</v>
      </c>
      <c r="L208" s="15">
        <f>(VLOOKUP($E208,$D$6:$AI$659,L$2,)/VLOOKUP($E208,$D$6:$AI$659,3,))*$F208</f>
        <v>0</v>
      </c>
      <c r="M208" s="15">
        <f>(VLOOKUP($E208,$D$6:$AI$659,M$2,)/VLOOKUP($E208,$D$6:$AI$659,3,))*$F208</f>
        <v>0</v>
      </c>
      <c r="N208" s="15">
        <f>(VLOOKUP($E208,$D$6:$AI$659,11,)/VLOOKUP($E208,$D$6:$AI$659,3,))*$F208</f>
        <v>10821.682818856434</v>
      </c>
      <c r="O208" s="15">
        <f t="shared" si="64"/>
        <v>0</v>
      </c>
      <c r="P208" s="15">
        <f t="shared" si="64"/>
        <v>0</v>
      </c>
      <c r="Q208" s="15">
        <f t="shared" si="64"/>
        <v>0</v>
      </c>
      <c r="R208" s="15">
        <f>(VLOOKUP($E208,$D$6:$AI$659,15,)/VLOOKUP($E208,$D$6:$AI$659,3,))*$F208</f>
        <v>0</v>
      </c>
      <c r="S208" s="15">
        <f>(VLOOKUP($E208,$D$6:$AI$659,16,)/VLOOKUP($E208,$D$6:$AI$659,3,))*$F208</f>
        <v>0</v>
      </c>
      <c r="T208" s="15">
        <f>(VLOOKUP($E208,$D$6:$AI$659,17,)/VLOOKUP($E208,$D$6:$AI$659,3,))*$F208</f>
        <v>0</v>
      </c>
      <c r="U208" s="148">
        <f>SUM(G208:M208)</f>
        <v>1240213.6323972698</v>
      </c>
      <c r="V208" s="133" t="str">
        <f>IF(ABS(F208-U208)&lt;0.01,"ok","err")</f>
        <v>ok</v>
      </c>
    </row>
    <row r="209" spans="1:23" x14ac:dyDescent="0.25">
      <c r="A209" s="140" t="s">
        <v>228</v>
      </c>
      <c r="D209" s="140" t="s">
        <v>340</v>
      </c>
      <c r="F209" s="147">
        <f>SUM(F207:F208)</f>
        <v>1501996.8265506518</v>
      </c>
      <c r="G209" s="147">
        <f t="shared" ref="G209:T209" si="65">G207+G208</f>
        <v>968151.20058071474</v>
      </c>
      <c r="H209" s="147">
        <f t="shared" si="65"/>
        <v>436686.03591443866</v>
      </c>
      <c r="I209" s="147">
        <f t="shared" si="65"/>
        <v>38059.251502001069</v>
      </c>
      <c r="J209" s="147">
        <f t="shared" si="65"/>
        <v>1436.4111945216539</v>
      </c>
      <c r="K209" s="147">
        <f t="shared" si="65"/>
        <v>57663.927358975576</v>
      </c>
      <c r="L209" s="147">
        <f t="shared" si="65"/>
        <v>0</v>
      </c>
      <c r="M209" s="147">
        <f t="shared" si="65"/>
        <v>0</v>
      </c>
      <c r="N209" s="147">
        <f t="shared" si="65"/>
        <v>10821.682818856434</v>
      </c>
      <c r="O209" s="147">
        <f t="shared" si="65"/>
        <v>0</v>
      </c>
      <c r="P209" s="147">
        <f t="shared" si="65"/>
        <v>0</v>
      </c>
      <c r="Q209" s="147">
        <f t="shared" si="65"/>
        <v>0</v>
      </c>
      <c r="R209" s="147">
        <f t="shared" si="65"/>
        <v>0</v>
      </c>
      <c r="S209" s="147">
        <f t="shared" si="65"/>
        <v>0</v>
      </c>
      <c r="T209" s="147">
        <f t="shared" si="65"/>
        <v>0</v>
      </c>
      <c r="U209" s="148">
        <f>SUM(G209:M209)</f>
        <v>1501996.8265506518</v>
      </c>
      <c r="V209" s="133" t="str">
        <f>IF(ABS(F209-U209)&lt;0.01,"ok","err")</f>
        <v>ok</v>
      </c>
    </row>
    <row r="210" spans="1:23" x14ac:dyDescent="0.25">
      <c r="F210" s="15"/>
      <c r="U210" s="148"/>
    </row>
    <row r="211" spans="1:23" x14ac:dyDescent="0.25">
      <c r="A211" s="134" t="s">
        <v>6</v>
      </c>
      <c r="F211" s="15"/>
      <c r="U211" s="148"/>
    </row>
    <row r="212" spans="1:23" x14ac:dyDescent="0.25">
      <c r="A212" s="140" t="s">
        <v>226</v>
      </c>
      <c r="C212" s="140" t="s">
        <v>203</v>
      </c>
      <c r="D212" s="140" t="s">
        <v>273</v>
      </c>
      <c r="E212" s="140" t="s">
        <v>316</v>
      </c>
      <c r="F212" s="147">
        <f>VLOOKUP(C212,'Functional Assignment'!$C$1:$AR$730,11,)</f>
        <v>0</v>
      </c>
      <c r="G212" s="147">
        <f>(VLOOKUP($E212,$D$6:$AI$659,G$2,)/VLOOKUP($E212,$D$6:$AI$659,3,))*$F212</f>
        <v>0</v>
      </c>
      <c r="H212" s="147">
        <f>(VLOOKUP($E212,$D$6:$AI$659,H$2,)/VLOOKUP($E212,$D$6:$AI$659,3,))*$F212</f>
        <v>0</v>
      </c>
      <c r="I212" s="147">
        <f>(VLOOKUP($E212,$D$6:$AI$659,I$2,)/VLOOKUP($E212,$D$6:$AI$659,3,))*$F212</f>
        <v>0</v>
      </c>
      <c r="J212" s="147">
        <f>(VLOOKUP($E212,$D$6:$AI$659,J$2,)/VLOOKUP($E212,$D$6:$AI$659,3,))*$F212</f>
        <v>0</v>
      </c>
      <c r="K212" s="147">
        <f>(VLOOKUP($E212,$D$6:$AI$659,8,)/VLOOKUP($E212,$D$6:$AI$659,3,))*$F212</f>
        <v>0</v>
      </c>
      <c r="L212" s="147">
        <f>(VLOOKUP($E212,$D$6:$AI$659,L$2,)/VLOOKUP($E212,$D$6:$AI$659,3,))*$F212</f>
        <v>0</v>
      </c>
      <c r="M212" s="147">
        <f>(VLOOKUP($E212,$D$6:$AI$659,M$2,)/VLOOKUP($E212,$D$6:$AI$659,3,))*$F212</f>
        <v>0</v>
      </c>
      <c r="N212" s="147">
        <f>(VLOOKUP($E212,$D$6:$AI$659,11,)/VLOOKUP($E212,$D$6:$AI$659,3,))*$F212</f>
        <v>0</v>
      </c>
      <c r="O212" s="147">
        <f>(VLOOKUP($E212,$D$6:$AI$659,O$2,)/VLOOKUP($E212,$D$6:$AI$659,3,))*$F212</f>
        <v>0</v>
      </c>
      <c r="P212" s="147">
        <f>(VLOOKUP($E212,$D$6:$AI$659,P$2,)/VLOOKUP($E212,$D$6:$AI$659,3,))*$F212</f>
        <v>0</v>
      </c>
      <c r="Q212" s="147">
        <f>(VLOOKUP($E212,$D$6:$AI$659,Q$2,)/VLOOKUP($E212,$D$6:$AI$659,3,))*$F212</f>
        <v>0</v>
      </c>
      <c r="R212" s="147">
        <f>(VLOOKUP($E212,$D$6:$AI$659,15,)/VLOOKUP($E212,$D$6:$AI$659,3,))*$F212</f>
        <v>0</v>
      </c>
      <c r="S212" s="147">
        <f>(VLOOKUP($E212,$D$6:$AI$659,16,)/VLOOKUP($E212,$D$6:$AI$659,3,))*$F212</f>
        <v>0</v>
      </c>
      <c r="T212" s="147">
        <f>(VLOOKUP($E212,$D$6:$AI$659,17,)/VLOOKUP($E212,$D$6:$AI$659,3,))*$F212</f>
        <v>0</v>
      </c>
      <c r="U212" s="148">
        <f>SUM(G212:M212)</f>
        <v>0</v>
      </c>
      <c r="V212" s="133" t="str">
        <f>IF(ABS(F212-U212)&lt;0.01,"ok","err")</f>
        <v>ok</v>
      </c>
    </row>
    <row r="213" spans="1:23" x14ac:dyDescent="0.25">
      <c r="A213" s="146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48"/>
      <c r="V213" s="133"/>
    </row>
    <row r="214" spans="1:23" x14ac:dyDescent="0.25">
      <c r="A214" s="134" t="s">
        <v>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48"/>
      <c r="V214" s="133"/>
    </row>
    <row r="215" spans="1:23" x14ac:dyDescent="0.25">
      <c r="A215" s="146" t="s">
        <v>207</v>
      </c>
      <c r="C215" s="140" t="s">
        <v>203</v>
      </c>
      <c r="D215" s="140" t="s">
        <v>274</v>
      </c>
      <c r="E215" s="140" t="s">
        <v>317</v>
      </c>
      <c r="F215" s="147">
        <f>VLOOKUP(C215,'Functional Assignment'!$C$1:$AR$730,12,)</f>
        <v>1443262.1774442813</v>
      </c>
      <c r="G215" s="147">
        <f>(VLOOKUP($E215,$D$6:$AI$659,G$2,)/VLOOKUP($E215,$D$6:$AI$659,3,))*$F215</f>
        <v>783559.25931255636</v>
      </c>
      <c r="H215" s="147">
        <f>(VLOOKUP($E215,$D$6:$AI$659,H$2,)/VLOOKUP($E215,$D$6:$AI$659,3,))*$F215</f>
        <v>358103.61995228531</v>
      </c>
      <c r="I215" s="147">
        <f>(VLOOKUP($E215,$D$6:$AI$659,I$2,)/VLOOKUP($E215,$D$6:$AI$659,3,))*$F215</f>
        <v>35429.584630773432</v>
      </c>
      <c r="J215" s="147">
        <f>(VLOOKUP($E215,$D$6:$AI$659,J$2,)/VLOOKUP($E215,$D$6:$AI$659,3,))*$F215</f>
        <v>7919.2171025921498</v>
      </c>
      <c r="K215" s="147">
        <f>(VLOOKUP($E215,$D$6:$AI$659,8,)/VLOOKUP($E215,$D$6:$AI$659,3,))*$F215</f>
        <v>258250.49644607399</v>
      </c>
      <c r="L215" s="147">
        <f>(VLOOKUP($E215,$D$6:$AI$659,L$2,)/VLOOKUP($E215,$D$6:$AI$659,3,))*$F215</f>
        <v>0</v>
      </c>
      <c r="M215" s="147">
        <f>(VLOOKUP($E215,$D$6:$AI$659,M$2,)/VLOOKUP($E215,$D$6:$AI$659,3,))*$F215</f>
        <v>0</v>
      </c>
      <c r="N215" s="147">
        <f>(VLOOKUP($E215,$D$6:$AI$659,11,)/VLOOKUP($E215,$D$6:$AI$659,3,))*$F215</f>
        <v>0</v>
      </c>
      <c r="O215" s="147">
        <f>(VLOOKUP($E215,$D$6:$AI$659,O$2,)/VLOOKUP($E215,$D$6:$AI$659,3,))*$F215</f>
        <v>0</v>
      </c>
      <c r="P215" s="147">
        <f>(VLOOKUP($E215,$D$6:$AI$659,P$2,)/VLOOKUP($E215,$D$6:$AI$659,3,))*$F215</f>
        <v>0</v>
      </c>
      <c r="Q215" s="147">
        <f>(VLOOKUP($E215,$D$6:$AI$659,Q$2,)/VLOOKUP($E215,$D$6:$AI$659,3,))*$F215</f>
        <v>0</v>
      </c>
      <c r="R215" s="147">
        <f>(VLOOKUP($E215,$D$6:$AI$659,15,)/VLOOKUP($E215,$D$6:$AI$659,3,))*$F215</f>
        <v>0</v>
      </c>
      <c r="S215" s="147">
        <f>(VLOOKUP($E215,$D$6:$AI$659,16,)/VLOOKUP($E215,$D$6:$AI$659,3,))*$F215</f>
        <v>0</v>
      </c>
      <c r="T215" s="147">
        <f>(VLOOKUP($E215,$D$6:$AI$659,17,)/VLOOKUP($E215,$D$6:$AI$659,3,))*$F215</f>
        <v>0</v>
      </c>
      <c r="U215" s="148">
        <f>SUM(G215:M215)</f>
        <v>1443262.1774442813</v>
      </c>
      <c r="V215" s="133" t="str">
        <f>IF(ABS(F215-U215)&lt;0.01,"ok","err")</f>
        <v>ok</v>
      </c>
    </row>
    <row r="216" spans="1:23" x14ac:dyDescent="0.25">
      <c r="F216" s="15"/>
      <c r="U216" s="148"/>
    </row>
    <row r="217" spans="1:23" x14ac:dyDescent="0.25">
      <c r="A217" s="134" t="s">
        <v>8</v>
      </c>
      <c r="F217" s="15"/>
      <c r="U217" s="148"/>
    </row>
    <row r="218" spans="1:23" x14ac:dyDescent="0.25">
      <c r="A218" s="146" t="s">
        <v>680</v>
      </c>
      <c r="C218" s="140" t="s">
        <v>203</v>
      </c>
      <c r="D218" s="140" t="s">
        <v>275</v>
      </c>
      <c r="E218" s="140" t="s">
        <v>932</v>
      </c>
      <c r="F218" s="147">
        <f>VLOOKUP(C218,'Functional Assignment'!$C$1:$AR$730,13,)</f>
        <v>10676610.364140522</v>
      </c>
      <c r="G218" s="147">
        <f t="shared" ref="G218:J221" si="66">(VLOOKUP($E218,$D$6:$AI$659,G$2,)/VLOOKUP($E218,$D$6:$AI$659,3,))*$F218</f>
        <v>6526739.3994696476</v>
      </c>
      <c r="H218" s="147">
        <f t="shared" si="66"/>
        <v>3176276.442265634</v>
      </c>
      <c r="I218" s="147">
        <f t="shared" si="66"/>
        <v>434100.54696813785</v>
      </c>
      <c r="J218" s="147">
        <f t="shared" si="66"/>
        <v>81156.322400420642</v>
      </c>
      <c r="K218" s="147">
        <f>(VLOOKUP($E218,$D$6:$AI$659,8,)/VLOOKUP($E218,$D$6:$AI$659,3,))*$F218</f>
        <v>458337.65303668322</v>
      </c>
      <c r="L218" s="147">
        <f t="shared" ref="L218:M221" si="67">(VLOOKUP($E218,$D$6:$AI$659,L$2,)/VLOOKUP($E218,$D$6:$AI$659,3,))*$F218</f>
        <v>0</v>
      </c>
      <c r="M218" s="147">
        <f t="shared" si="67"/>
        <v>0</v>
      </c>
      <c r="N218" s="147">
        <f>(VLOOKUP($E218,$D$6:$AI$659,11,)/VLOOKUP($E218,$D$6:$AI$659,3,))*$F218</f>
        <v>0</v>
      </c>
      <c r="O218" s="147">
        <f t="shared" ref="O218:Q221" si="68">(VLOOKUP($E218,$D$6:$AI$659,O$2,)/VLOOKUP($E218,$D$6:$AI$659,3,))*$F218</f>
        <v>0</v>
      </c>
      <c r="P218" s="147">
        <f t="shared" si="68"/>
        <v>0</v>
      </c>
      <c r="Q218" s="147">
        <f t="shared" si="68"/>
        <v>0</v>
      </c>
      <c r="R218" s="147">
        <f>(VLOOKUP($E218,$D$6:$AI$659,15,)/VLOOKUP($E218,$D$6:$AI$659,3,))*$F218</f>
        <v>0</v>
      </c>
      <c r="S218" s="147">
        <f>(VLOOKUP($E218,$D$6:$AI$659,16,)/VLOOKUP($E218,$D$6:$AI$659,3,))*$F218</f>
        <v>0</v>
      </c>
      <c r="T218" s="147">
        <f>(VLOOKUP($E218,$D$6:$AI$659,17,)/VLOOKUP($E218,$D$6:$AI$659,3,))*$F218</f>
        <v>0</v>
      </c>
      <c r="U218" s="148">
        <f>SUM(G218:M218)</f>
        <v>10676610.364140524</v>
      </c>
      <c r="V218" s="133" t="str">
        <f>IF(ABS(F218-U218)&lt;0.01,"ok","err")</f>
        <v>ok</v>
      </c>
    </row>
    <row r="219" spans="1:23" x14ac:dyDescent="0.25">
      <c r="A219" s="146" t="s">
        <v>679</v>
      </c>
      <c r="C219" s="140" t="s">
        <v>203</v>
      </c>
      <c r="D219" s="140" t="s">
        <v>276</v>
      </c>
      <c r="E219" s="140" t="s">
        <v>684</v>
      </c>
      <c r="F219" s="15">
        <f>VLOOKUP(C219,'Functional Assignment'!$C$1:$AR$730,14,)</f>
        <v>0</v>
      </c>
      <c r="G219" s="15">
        <f t="shared" si="66"/>
        <v>0</v>
      </c>
      <c r="H219" s="15">
        <f t="shared" si="66"/>
        <v>0</v>
      </c>
      <c r="I219" s="15">
        <f t="shared" si="66"/>
        <v>0</v>
      </c>
      <c r="J219" s="15">
        <f t="shared" si="66"/>
        <v>0</v>
      </c>
      <c r="K219" s="15">
        <f>(VLOOKUP($E219,$D$6:$AI$659,8,)/VLOOKUP($E219,$D$6:$AI$659,3,))*$F219</f>
        <v>0</v>
      </c>
      <c r="L219" s="15">
        <f t="shared" si="67"/>
        <v>0</v>
      </c>
      <c r="M219" s="15">
        <f t="shared" si="67"/>
        <v>0</v>
      </c>
      <c r="N219" s="15">
        <f>(VLOOKUP($E219,$D$6:$AI$659,11,)/VLOOKUP($E219,$D$6:$AI$659,3,))*$F219</f>
        <v>0</v>
      </c>
      <c r="O219" s="15">
        <f t="shared" si="68"/>
        <v>0</v>
      </c>
      <c r="P219" s="15">
        <f t="shared" si="68"/>
        <v>0</v>
      </c>
      <c r="Q219" s="15">
        <f t="shared" si="68"/>
        <v>0</v>
      </c>
      <c r="R219" s="15">
        <f>(VLOOKUP($E219,$D$6:$AI$659,15,)/VLOOKUP($E219,$D$6:$AI$659,3,))*$F219</f>
        <v>0</v>
      </c>
      <c r="S219" s="15">
        <f>(VLOOKUP($E219,$D$6:$AI$659,16,)/VLOOKUP($E219,$D$6:$AI$659,3,))*$F219</f>
        <v>0</v>
      </c>
      <c r="T219" s="15">
        <f>(VLOOKUP($E219,$D$6:$AI$659,17,)/VLOOKUP($E219,$D$6:$AI$659,3,))*$F219</f>
        <v>0</v>
      </c>
      <c r="U219" s="148">
        <f>SUM(G219:M219)</f>
        <v>0</v>
      </c>
      <c r="V219" s="133" t="str">
        <f>IF(ABS(F219-U219)&lt;0.01,"ok","err")</f>
        <v>ok</v>
      </c>
      <c r="W219" s="149"/>
    </row>
    <row r="220" spans="1:23" x14ac:dyDescent="0.25">
      <c r="A220" s="146" t="s">
        <v>681</v>
      </c>
      <c r="C220" s="140" t="s">
        <v>203</v>
      </c>
      <c r="D220" s="140" t="s">
        <v>275</v>
      </c>
      <c r="E220" s="140" t="s">
        <v>931</v>
      </c>
      <c r="F220" s="15">
        <f>VLOOKUP(C220,'Functional Assignment'!$C$1:$AR$730,15,)</f>
        <v>1171871.0483851219</v>
      </c>
      <c r="G220" s="15">
        <f t="shared" si="66"/>
        <v>576237.01336650795</v>
      </c>
      <c r="H220" s="15">
        <f t="shared" si="66"/>
        <v>279469.3202345001</v>
      </c>
      <c r="I220" s="15">
        <f t="shared" si="66"/>
        <v>40158.22218507724</v>
      </c>
      <c r="J220" s="15">
        <f t="shared" si="66"/>
        <v>8295.459762749455</v>
      </c>
      <c r="K220" s="15">
        <f>(VLOOKUP($E220,$D$6:$AI$659,8,)/VLOOKUP($E220,$D$6:$AI$659,3,))*$F220</f>
        <v>267711.03283628717</v>
      </c>
      <c r="L220" s="15">
        <f t="shared" si="67"/>
        <v>0</v>
      </c>
      <c r="M220" s="15">
        <f t="shared" si="67"/>
        <v>0</v>
      </c>
      <c r="N220" s="15">
        <f>(VLOOKUP($E220,$D$6:$AI$659,11,)/VLOOKUP($E220,$D$6:$AI$659,3,))*$F220</f>
        <v>0</v>
      </c>
      <c r="O220" s="15">
        <f t="shared" si="68"/>
        <v>0</v>
      </c>
      <c r="P220" s="15">
        <f t="shared" si="68"/>
        <v>0</v>
      </c>
      <c r="Q220" s="15">
        <f t="shared" si="68"/>
        <v>0</v>
      </c>
      <c r="R220" s="15"/>
      <c r="S220" s="15"/>
      <c r="T220" s="15"/>
      <c r="U220" s="148">
        <f>SUM(G220:M220)</f>
        <v>1171871.0483851219</v>
      </c>
      <c r="V220" s="133" t="str">
        <f>IF(ABS(F220-U220)&lt;0.01,"ok","err")</f>
        <v>ok</v>
      </c>
    </row>
    <row r="221" spans="1:23" x14ac:dyDescent="0.25">
      <c r="A221" s="146" t="s">
        <v>678</v>
      </c>
      <c r="C221" s="140" t="s">
        <v>203</v>
      </c>
      <c r="D221" s="140" t="s">
        <v>276</v>
      </c>
      <c r="E221" s="140" t="s">
        <v>319</v>
      </c>
      <c r="F221" s="15">
        <f>VLOOKUP(C221,'Functional Assignment'!$C$1:$AR$730,16,)</f>
        <v>0</v>
      </c>
      <c r="G221" s="15">
        <f t="shared" si="66"/>
        <v>0</v>
      </c>
      <c r="H221" s="15">
        <f t="shared" si="66"/>
        <v>0</v>
      </c>
      <c r="I221" s="15">
        <f t="shared" si="66"/>
        <v>0</v>
      </c>
      <c r="J221" s="15">
        <f t="shared" si="66"/>
        <v>0</v>
      </c>
      <c r="K221" s="15">
        <f>(VLOOKUP($E221,$D$6:$AI$659,8,)/VLOOKUP($E221,$D$6:$AI$659,3,))*$F221</f>
        <v>0</v>
      </c>
      <c r="L221" s="15">
        <f t="shared" si="67"/>
        <v>0</v>
      </c>
      <c r="M221" s="15">
        <f t="shared" si="67"/>
        <v>0</v>
      </c>
      <c r="N221" s="15">
        <f>(VLOOKUP($E221,$D$6:$AI$659,11,)/VLOOKUP($E221,$D$6:$AI$659,3,))*$F221</f>
        <v>0</v>
      </c>
      <c r="O221" s="15">
        <f t="shared" si="68"/>
        <v>0</v>
      </c>
      <c r="P221" s="15">
        <f t="shared" si="68"/>
        <v>0</v>
      </c>
      <c r="Q221" s="15">
        <f t="shared" si="68"/>
        <v>0</v>
      </c>
      <c r="R221" s="15"/>
      <c r="S221" s="15"/>
      <c r="T221" s="15"/>
      <c r="U221" s="148"/>
      <c r="V221" s="133"/>
    </row>
    <row r="222" spans="1:23" x14ac:dyDescent="0.25">
      <c r="A222" s="140" t="s">
        <v>229</v>
      </c>
      <c r="F222" s="147">
        <f>SUM(F218:F221)</f>
        <v>11848481.412525643</v>
      </c>
      <c r="G222" s="147">
        <f t="shared" ref="G222:Q222" si="69">SUM(G218:G221)</f>
        <v>7102976.4128361559</v>
      </c>
      <c r="H222" s="147">
        <f t="shared" si="69"/>
        <v>3455745.7625001343</v>
      </c>
      <c r="I222" s="147">
        <f t="shared" si="69"/>
        <v>474258.76915321511</v>
      </c>
      <c r="J222" s="147">
        <f t="shared" si="69"/>
        <v>89451.782163170094</v>
      </c>
      <c r="K222" s="147">
        <f t="shared" si="69"/>
        <v>726048.68587297038</v>
      </c>
      <c r="L222" s="147">
        <f t="shared" si="69"/>
        <v>0</v>
      </c>
      <c r="M222" s="147">
        <f t="shared" si="69"/>
        <v>0</v>
      </c>
      <c r="N222" s="147">
        <f t="shared" si="69"/>
        <v>0</v>
      </c>
      <c r="O222" s="147">
        <f t="shared" si="69"/>
        <v>0</v>
      </c>
      <c r="P222" s="147">
        <f t="shared" si="69"/>
        <v>0</v>
      </c>
      <c r="Q222" s="147">
        <f t="shared" si="69"/>
        <v>0</v>
      </c>
      <c r="R222" s="147">
        <f>R218+R219</f>
        <v>0</v>
      </c>
      <c r="S222" s="147">
        <f>S218+S219</f>
        <v>0</v>
      </c>
      <c r="T222" s="147">
        <f>T218+T219</f>
        <v>0</v>
      </c>
      <c r="U222" s="148">
        <f>SUM(G222:M222)</f>
        <v>11848481.412525645</v>
      </c>
      <c r="V222" s="133" t="str">
        <f>IF(ABS(F222-U222)&lt;0.01,"ok","err")</f>
        <v>ok</v>
      </c>
      <c r="W222" s="149"/>
    </row>
    <row r="223" spans="1:23" x14ac:dyDescent="0.25">
      <c r="F223" s="15"/>
      <c r="U223" s="148"/>
    </row>
    <row r="224" spans="1:23" x14ac:dyDescent="0.25">
      <c r="A224" s="134" t="s">
        <v>10</v>
      </c>
      <c r="F224" s="15"/>
      <c r="U224" s="148"/>
    </row>
    <row r="225" spans="1:24" x14ac:dyDescent="0.25">
      <c r="A225" s="146" t="s">
        <v>208</v>
      </c>
      <c r="C225" s="140" t="s">
        <v>203</v>
      </c>
      <c r="D225" s="140" t="s">
        <v>270</v>
      </c>
      <c r="E225" s="140" t="s">
        <v>320</v>
      </c>
      <c r="F225" s="147">
        <f>VLOOKUP(C225,'Functional Assignment'!$C$1:$AR$730,17,)</f>
        <v>15215367.486828575</v>
      </c>
      <c r="G225" s="147">
        <f>(VLOOKUP($E225,$D$6:$AI$659,G$2,)/VLOOKUP($E225,$D$6:$AI$659,3,))*$F225</f>
        <v>11318815.47412977</v>
      </c>
      <c r="H225" s="147">
        <f>(VLOOKUP($E225,$D$6:$AI$659,H$2,)/VLOOKUP($E225,$D$6:$AI$659,3,))*$F225</f>
        <v>3653181.4820100195</v>
      </c>
      <c r="I225" s="147">
        <f>(VLOOKUP($E225,$D$6:$AI$659,I$2,)/VLOOKUP($E225,$D$6:$AI$659,3,))*$F225</f>
        <v>101960.24582498109</v>
      </c>
      <c r="J225" s="147">
        <f>(VLOOKUP($E225,$D$6:$AI$659,J$2,)/VLOOKUP($E225,$D$6:$AI$659,3,))*$F225</f>
        <v>2286.9587848593887</v>
      </c>
      <c r="K225" s="147">
        <f>(VLOOKUP($E225,$D$6:$AI$659,8,)/VLOOKUP($E225,$D$6:$AI$659,3,))*$F225</f>
        <v>139123.32607894615</v>
      </c>
      <c r="L225" s="147">
        <f>(VLOOKUP($E225,$D$6:$AI$659,L$2,)/VLOOKUP($E225,$D$6:$AI$659,3,))*$F225</f>
        <v>0</v>
      </c>
      <c r="M225" s="147">
        <f>(VLOOKUP($E225,$D$6:$AI$659,M$2,)/VLOOKUP($E225,$D$6:$AI$659,3,))*$F225</f>
        <v>0</v>
      </c>
      <c r="N225" s="147">
        <f>(VLOOKUP($E225,$D$6:$AI$659,11,)/VLOOKUP($E225,$D$6:$AI$659,3,))*$F225</f>
        <v>0</v>
      </c>
      <c r="O225" s="147">
        <f>(VLOOKUP($E225,$D$6:$AI$659,O$2,)/VLOOKUP($E225,$D$6:$AI$659,3,))*$F225</f>
        <v>0</v>
      </c>
      <c r="P225" s="147">
        <f>(VLOOKUP($E225,$D$6:$AI$659,P$2,)/VLOOKUP($E225,$D$6:$AI$659,3,))*$F225</f>
        <v>0</v>
      </c>
      <c r="Q225" s="147">
        <f>(VLOOKUP($E225,$D$6:$AI$659,Q$2,)/VLOOKUP($E225,$D$6:$AI$659,3,))*$F225</f>
        <v>0</v>
      </c>
      <c r="R225" s="147">
        <f>(VLOOKUP($E225,$D$6:$AI$659,15,)/VLOOKUP($E225,$D$6:$AI$659,3,))*$F225</f>
        <v>0</v>
      </c>
      <c r="S225" s="147">
        <f>(VLOOKUP($E225,$D$6:$AI$659,16,)/VLOOKUP($E225,$D$6:$AI$659,3,))*$F225</f>
        <v>0</v>
      </c>
      <c r="T225" s="147">
        <f>(VLOOKUP($E225,$D$6:$AI$659,17,)/VLOOKUP($E225,$D$6:$AI$659,3,))*$F225</f>
        <v>0</v>
      </c>
      <c r="U225" s="148">
        <f>SUM(G225:M225)</f>
        <v>15215367.486828577</v>
      </c>
      <c r="V225" s="133" t="str">
        <f>IF(ABS(F225-U225)&lt;0.01,"ok","err")</f>
        <v>ok</v>
      </c>
      <c r="W225" s="149"/>
    </row>
    <row r="226" spans="1:24" x14ac:dyDescent="0.25">
      <c r="F226" s="15"/>
      <c r="U226" s="148"/>
    </row>
    <row r="227" spans="1:24" x14ac:dyDescent="0.25">
      <c r="A227" s="134" t="s">
        <v>11</v>
      </c>
      <c r="F227" s="15"/>
      <c r="U227" s="148"/>
    </row>
    <row r="228" spans="1:24" x14ac:dyDescent="0.25">
      <c r="A228" s="146" t="s">
        <v>208</v>
      </c>
      <c r="C228" s="140" t="s">
        <v>203</v>
      </c>
      <c r="D228" s="140" t="s">
        <v>277</v>
      </c>
      <c r="E228" s="140" t="s">
        <v>321</v>
      </c>
      <c r="F228" s="147">
        <f>VLOOKUP(C228,'Functional Assignment'!$C$1:$AR$730,18,)</f>
        <v>3924800.1277710516</v>
      </c>
      <c r="G228" s="147">
        <f>(VLOOKUP($E228,$D$6:$AI$659,G$2,)/VLOOKUP($E228,$D$6:$AI$659,3,))*$F228</f>
        <v>2637586.7075168998</v>
      </c>
      <c r="H228" s="147">
        <f>(VLOOKUP($E228,$D$6:$AI$659,H$2,)/VLOOKUP($E228,$D$6:$AI$659,3,))*$F228</f>
        <v>1083291.7457703624</v>
      </c>
      <c r="I228" s="147">
        <f>(VLOOKUP($E228,$D$6:$AI$659,I$2,)/VLOOKUP($E228,$D$6:$AI$659,3,))*$F228</f>
        <v>89026.801821798086</v>
      </c>
      <c r="J228" s="147">
        <f>(VLOOKUP($E228,$D$6:$AI$659,J$2,)/VLOOKUP($E228,$D$6:$AI$659,3,))*$F228</f>
        <v>2512.6015883177106</v>
      </c>
      <c r="K228" s="147">
        <f>(VLOOKUP($E228,$D$6:$AI$659,8,)/VLOOKUP($E228,$D$6:$AI$659,3,))*$F228</f>
        <v>112382.27107367253</v>
      </c>
      <c r="L228" s="147">
        <f>(VLOOKUP($E228,$D$6:$AI$659,L$2,)/VLOOKUP($E228,$D$6:$AI$659,3,))*$F228</f>
        <v>0</v>
      </c>
      <c r="M228" s="147">
        <f>(VLOOKUP($E228,$D$6:$AI$659,M$2,)/VLOOKUP($E228,$D$6:$AI$659,3,))*$F228</f>
        <v>0</v>
      </c>
      <c r="N228" s="147">
        <f>(VLOOKUP($E228,$D$6:$AI$659,11,)/VLOOKUP($E228,$D$6:$AI$659,3,))*$F228</f>
        <v>0</v>
      </c>
      <c r="O228" s="147">
        <f>(VLOOKUP($E228,$D$6:$AI$659,O$2,)/VLOOKUP($E228,$D$6:$AI$659,3,))*$F228</f>
        <v>0</v>
      </c>
      <c r="P228" s="147">
        <f>(VLOOKUP($E228,$D$6:$AI$659,P$2,)/VLOOKUP($E228,$D$6:$AI$659,3,))*$F228</f>
        <v>0</v>
      </c>
      <c r="Q228" s="147">
        <f>(VLOOKUP($E228,$D$6:$AI$659,Q$2,)/VLOOKUP($E228,$D$6:$AI$659,3,))*$F228</f>
        <v>0</v>
      </c>
      <c r="R228" s="147">
        <f>(VLOOKUP($E228,$D$6:$AI$659,15,)/VLOOKUP($E228,$D$6:$AI$659,3,))*$F228</f>
        <v>0</v>
      </c>
      <c r="S228" s="147">
        <f>(VLOOKUP($E228,$D$6:$AI$659,16,)/VLOOKUP($E228,$D$6:$AI$659,3,))*$F228</f>
        <v>0</v>
      </c>
      <c r="T228" s="147">
        <f>(VLOOKUP($E228,$D$6:$AI$659,17,)/VLOOKUP($E228,$D$6:$AI$659,3,))*$F228</f>
        <v>0</v>
      </c>
      <c r="U228" s="148">
        <f>SUM(G228:M228)</f>
        <v>3924800.1277710507</v>
      </c>
      <c r="V228" s="133" t="str">
        <f>IF(ABS(F228-U228)&lt;0.01,"ok","err")</f>
        <v>ok</v>
      </c>
    </row>
    <row r="229" spans="1:24" x14ac:dyDescent="0.25">
      <c r="F229" s="15"/>
      <c r="U229" s="148"/>
    </row>
    <row r="230" spans="1:24" x14ac:dyDescent="0.25">
      <c r="A230" s="134" t="s">
        <v>12</v>
      </c>
      <c r="F230" s="15"/>
      <c r="U230" s="148"/>
    </row>
    <row r="231" spans="1:24" x14ac:dyDescent="0.25">
      <c r="A231" s="146" t="s">
        <v>208</v>
      </c>
      <c r="C231" s="140" t="s">
        <v>203</v>
      </c>
      <c r="D231" s="140" t="s">
        <v>278</v>
      </c>
      <c r="E231" s="140" t="s">
        <v>322</v>
      </c>
      <c r="F231" s="147">
        <f>VLOOKUP(C231,'Functional Assignment'!$C$1:$AR$730,19,)</f>
        <v>0</v>
      </c>
      <c r="G231" s="147">
        <f>(VLOOKUP($E231,$D$6:$AI$659,G$2,)/VLOOKUP($E231,$D$6:$AI$659,3,))*$F231</f>
        <v>0</v>
      </c>
      <c r="H231" s="147">
        <f>(VLOOKUP($E231,$D$6:$AI$659,H$2,)/VLOOKUP($E231,$D$6:$AI$659,3,))*$F231</f>
        <v>0</v>
      </c>
      <c r="I231" s="147">
        <f>(VLOOKUP($E231,$D$6:$AI$659,I$2,)/VLOOKUP($E231,$D$6:$AI$659,3,))*$F231</f>
        <v>0</v>
      </c>
      <c r="J231" s="147">
        <f>(VLOOKUP($E231,$D$6:$AI$659,J$2,)/VLOOKUP($E231,$D$6:$AI$659,3,))*$F231</f>
        <v>0</v>
      </c>
      <c r="K231" s="147">
        <f>(VLOOKUP($E231,$D$6:$AI$659,8,)/VLOOKUP($E231,$D$6:$AI$659,3,))*$F231</f>
        <v>0</v>
      </c>
      <c r="L231" s="147">
        <f>(VLOOKUP($E231,$D$6:$AI$659,L$2,)/VLOOKUP($E231,$D$6:$AI$659,3,))*$F231</f>
        <v>0</v>
      </c>
      <c r="M231" s="147">
        <f>(VLOOKUP($E231,$D$6:$AI$659,M$2,)/VLOOKUP($E231,$D$6:$AI$659,3,))*$F231</f>
        <v>0</v>
      </c>
      <c r="N231" s="147">
        <f>(VLOOKUP($E231,$D$6:$AI$659,11,)/VLOOKUP($E231,$D$6:$AI$659,3,))*$F231</f>
        <v>0</v>
      </c>
      <c r="O231" s="147">
        <f>(VLOOKUP($E231,$D$6:$AI$659,O$2,)/VLOOKUP($E231,$D$6:$AI$659,3,))*$F231</f>
        <v>0</v>
      </c>
      <c r="P231" s="147">
        <f>(VLOOKUP($E231,$D$6:$AI$659,P$2,)/VLOOKUP($E231,$D$6:$AI$659,3,))*$F231</f>
        <v>0</v>
      </c>
      <c r="Q231" s="147">
        <f>(VLOOKUP($E231,$D$6:$AI$659,Q$2,)/VLOOKUP($E231,$D$6:$AI$659,3,))*$F231</f>
        <v>0</v>
      </c>
      <c r="R231" s="147">
        <f>(VLOOKUP($E231,$D$6:$AI$659,15,)/VLOOKUP($E231,$D$6:$AI$659,3,))*$F231</f>
        <v>0</v>
      </c>
      <c r="S231" s="147">
        <f>(VLOOKUP($E231,$D$6:$AI$659,16,)/VLOOKUP($E231,$D$6:$AI$659,3,))*$F231</f>
        <v>0</v>
      </c>
      <c r="T231" s="147">
        <f>(VLOOKUP($E231,$D$6:$AI$659,17,)/VLOOKUP($E231,$D$6:$AI$659,3,))*$F231</f>
        <v>0</v>
      </c>
      <c r="U231" s="148">
        <f>SUM(G231:M231)</f>
        <v>0</v>
      </c>
      <c r="V231" s="133" t="str">
        <f>IF(ABS(F231-U231)&lt;0.01,"ok","err")</f>
        <v>ok</v>
      </c>
    </row>
    <row r="232" spans="1:24" x14ac:dyDescent="0.25">
      <c r="F232" s="15"/>
      <c r="U232" s="148"/>
    </row>
    <row r="233" spans="1:24" x14ac:dyDescent="0.25">
      <c r="A233" s="134" t="s">
        <v>13</v>
      </c>
      <c r="F233" s="15"/>
      <c r="U233" s="148"/>
    </row>
    <row r="234" spans="1:24" x14ac:dyDescent="0.25">
      <c r="A234" s="146" t="s">
        <v>208</v>
      </c>
      <c r="C234" s="140" t="s">
        <v>203</v>
      </c>
      <c r="D234" s="140" t="s">
        <v>279</v>
      </c>
      <c r="E234" s="140" t="s">
        <v>323</v>
      </c>
      <c r="F234" s="147">
        <f>VLOOKUP(C234,'Functional Assignment'!$C$1:$AR$730,20,)</f>
        <v>0</v>
      </c>
      <c r="G234" s="147">
        <f>(VLOOKUP($E234,$D$6:$AI$659,G$2,)/VLOOKUP($E234,$D$6:$AI$659,3,))*$F234</f>
        <v>0</v>
      </c>
      <c r="H234" s="147">
        <f>(VLOOKUP($E234,$D$6:$AI$659,H$2,)/VLOOKUP($E234,$D$6:$AI$659,3,))*$F234</f>
        <v>0</v>
      </c>
      <c r="I234" s="147">
        <f>(VLOOKUP($E234,$D$6:$AI$659,I$2,)/VLOOKUP($E234,$D$6:$AI$659,3,))*$F234</f>
        <v>0</v>
      </c>
      <c r="J234" s="147">
        <f>(VLOOKUP($E234,$D$6:$AI$659,J$2,)/VLOOKUP($E234,$D$6:$AI$659,3,))*$F234</f>
        <v>0</v>
      </c>
      <c r="K234" s="147">
        <f>(VLOOKUP($E234,$D$6:$AI$659,8,)/VLOOKUP($E234,$D$6:$AI$659,3,))*$F234</f>
        <v>0</v>
      </c>
      <c r="L234" s="147">
        <f>(VLOOKUP($E234,$D$6:$AI$659,L$2,)/VLOOKUP($E234,$D$6:$AI$659,3,))*$F234</f>
        <v>0</v>
      </c>
      <c r="M234" s="147">
        <f>(VLOOKUP($E234,$D$6:$AI$659,M$2,)/VLOOKUP($E234,$D$6:$AI$659,3,))*$F234</f>
        <v>0</v>
      </c>
      <c r="N234" s="147">
        <f>(VLOOKUP($E234,$D$6:$AI$659,11,)/VLOOKUP($E234,$D$6:$AI$659,3,))*$F234</f>
        <v>0</v>
      </c>
      <c r="O234" s="147">
        <f>(VLOOKUP($E234,$D$6:$AI$659,O$2,)/VLOOKUP($E234,$D$6:$AI$659,3,))*$F234</f>
        <v>0</v>
      </c>
      <c r="P234" s="147">
        <f>(VLOOKUP($E234,$D$6:$AI$659,P$2,)/VLOOKUP($E234,$D$6:$AI$659,3,))*$F234</f>
        <v>0</v>
      </c>
      <c r="Q234" s="147">
        <f>(VLOOKUP($E234,$D$6:$AI$659,Q$2,)/VLOOKUP($E234,$D$6:$AI$659,3,))*$F234</f>
        <v>0</v>
      </c>
      <c r="R234" s="147">
        <f>(VLOOKUP($E234,$D$6:$AI$659,15,)/VLOOKUP($E234,$D$6:$AI$659,3,))*$F234</f>
        <v>0</v>
      </c>
      <c r="S234" s="147">
        <f>(VLOOKUP($E234,$D$6:$AI$659,16,)/VLOOKUP($E234,$D$6:$AI$659,3,))*$F234</f>
        <v>0</v>
      </c>
      <c r="T234" s="147">
        <f>(VLOOKUP($E234,$D$6:$AI$659,17,)/VLOOKUP($E234,$D$6:$AI$659,3,))*$F234</f>
        <v>0</v>
      </c>
      <c r="U234" s="148">
        <f>SUM(G234:M234)</f>
        <v>0</v>
      </c>
      <c r="V234" s="133" t="str">
        <f>IF(ABS(F234-U234)&lt;0.01,"ok","err")</f>
        <v>ok</v>
      </c>
    </row>
    <row r="235" spans="1:24" x14ac:dyDescent="0.25">
      <c r="F235" s="15"/>
      <c r="U235" s="148"/>
    </row>
    <row r="236" spans="1:24" x14ac:dyDescent="0.25">
      <c r="A236" s="140" t="s">
        <v>14</v>
      </c>
      <c r="D236" s="140" t="s">
        <v>294</v>
      </c>
      <c r="F236" s="147">
        <f t="shared" ref="F236:T236" si="70">F199+F204+F209+F212+F215+F222+F225+F228+F231+F234</f>
        <v>38710461.194430679</v>
      </c>
      <c r="G236" s="147">
        <f t="shared" si="70"/>
        <v>25992445.265044179</v>
      </c>
      <c r="H236" s="147">
        <f t="shared" si="70"/>
        <v>10418696.103566173</v>
      </c>
      <c r="I236" s="147">
        <f t="shared" si="70"/>
        <v>860565.56799030246</v>
      </c>
      <c r="J236" s="147">
        <f t="shared" si="70"/>
        <v>103606.970833461</v>
      </c>
      <c r="K236" s="147">
        <f t="shared" si="70"/>
        <v>1335147.2869965706</v>
      </c>
      <c r="L236" s="147">
        <f t="shared" si="70"/>
        <v>0</v>
      </c>
      <c r="M236" s="147">
        <f t="shared" si="70"/>
        <v>0</v>
      </c>
      <c r="N236" s="147">
        <f t="shared" si="70"/>
        <v>52500.26298478846</v>
      </c>
      <c r="O236" s="147">
        <f t="shared" si="70"/>
        <v>0</v>
      </c>
      <c r="P236" s="147">
        <f t="shared" si="70"/>
        <v>0</v>
      </c>
      <c r="Q236" s="147">
        <f t="shared" si="70"/>
        <v>0</v>
      </c>
      <c r="R236" s="147">
        <f t="shared" si="70"/>
        <v>0</v>
      </c>
      <c r="S236" s="147">
        <f t="shared" si="70"/>
        <v>0</v>
      </c>
      <c r="T236" s="147">
        <f t="shared" si="70"/>
        <v>0</v>
      </c>
      <c r="U236" s="148">
        <f>SUM(G236:M236)</f>
        <v>38710461.194430687</v>
      </c>
      <c r="V236" s="133" t="str">
        <f>IF(ABS(F236-U236)&lt;0.01,"ok","err")</f>
        <v>ok</v>
      </c>
      <c r="W236" s="148"/>
      <c r="X236" s="133"/>
    </row>
    <row r="237" spans="1:24" x14ac:dyDescent="0.25">
      <c r="U237" s="148"/>
    </row>
    <row r="238" spans="1:24" x14ac:dyDescent="0.25">
      <c r="U238" s="148"/>
    </row>
    <row r="239" spans="1:24" x14ac:dyDescent="0.25">
      <c r="A239" s="145" t="s">
        <v>727</v>
      </c>
      <c r="U239" s="148"/>
    </row>
    <row r="240" spans="1:24" x14ac:dyDescent="0.25">
      <c r="U240" s="148"/>
    </row>
    <row r="241" spans="1:22" x14ac:dyDescent="0.25">
      <c r="A241" s="134" t="s">
        <v>455</v>
      </c>
      <c r="U241" s="148"/>
    </row>
    <row r="242" spans="1:22" x14ac:dyDescent="0.25">
      <c r="A242" s="146" t="s">
        <v>207</v>
      </c>
      <c r="C242" s="150" t="s">
        <v>730</v>
      </c>
      <c r="D242" s="140" t="s">
        <v>280</v>
      </c>
      <c r="E242" s="140" t="s">
        <v>310</v>
      </c>
      <c r="F242" s="147">
        <f>VLOOKUP(C242,'Functional Assignment'!$C$1:$AR$730,5,)</f>
        <v>0</v>
      </c>
      <c r="G242" s="147">
        <f t="shared" ref="G242:J243" si="71">(VLOOKUP($E242,$D$6:$AI$659,G$2,)/VLOOKUP($E242,$D$6:$AI$659,3,))*$F242</f>
        <v>0</v>
      </c>
      <c r="H242" s="147">
        <f t="shared" si="71"/>
        <v>0</v>
      </c>
      <c r="I242" s="147">
        <f t="shared" si="71"/>
        <v>0</v>
      </c>
      <c r="J242" s="147">
        <f t="shared" si="71"/>
        <v>0</v>
      </c>
      <c r="K242" s="147">
        <f>(VLOOKUP($E242,$D$6:$AI$659,8,)/VLOOKUP($E242,$D$6:$AI$659,3,))*$F242</f>
        <v>0</v>
      </c>
      <c r="L242" s="147">
        <f>(VLOOKUP($E242,$D$6:$AI$659,L$2,)/VLOOKUP($E242,$D$6:$AI$659,3,))*$F242</f>
        <v>0</v>
      </c>
      <c r="M242" s="147">
        <f>(VLOOKUP($E242,$D$6:$AI$659,M$2,)/VLOOKUP($E242,$D$6:$AI$659,3,))*$F242</f>
        <v>0</v>
      </c>
      <c r="N242" s="147">
        <f>(VLOOKUP($E242,$D$6:$AI$659,11,)/VLOOKUP($E242,$D$6:$AI$659,3,))*$F242</f>
        <v>0</v>
      </c>
      <c r="O242" s="147">
        <f t="shared" ref="O242:Q243" si="72">(VLOOKUP($E242,$D$6:$AI$659,O$2,)/VLOOKUP($E242,$D$6:$AI$659,3,))*$F242</f>
        <v>0</v>
      </c>
      <c r="P242" s="147">
        <f t="shared" si="72"/>
        <v>0</v>
      </c>
      <c r="Q242" s="147">
        <f t="shared" si="72"/>
        <v>0</v>
      </c>
      <c r="R242" s="147">
        <f>(VLOOKUP($E242,$D$6:$AI$659,15,)/VLOOKUP($E242,$D$6:$AI$659,3,))*$F242</f>
        <v>0</v>
      </c>
      <c r="S242" s="147">
        <f>(VLOOKUP($E242,$D$6:$AI$659,16,)/VLOOKUP($E242,$D$6:$AI$659,3,))*$F242</f>
        <v>0</v>
      </c>
      <c r="T242" s="147">
        <f>(VLOOKUP($E242,$D$6:$AI$659,17,)/VLOOKUP($E242,$D$6:$AI$659,3,))*$F242</f>
        <v>0</v>
      </c>
      <c r="U242" s="148">
        <f>SUM(G242:M242)</f>
        <v>0</v>
      </c>
      <c r="V242" s="133" t="str">
        <f>IF(ABS(F242-U242)&lt;0.01,"ok","err")</f>
        <v>ok</v>
      </c>
    </row>
    <row r="243" spans="1:22" x14ac:dyDescent="0.25">
      <c r="A243" s="146" t="s">
        <v>226</v>
      </c>
      <c r="C243" s="150" t="s">
        <v>730</v>
      </c>
      <c r="D243" s="140" t="s">
        <v>268</v>
      </c>
      <c r="E243" s="140" t="s">
        <v>311</v>
      </c>
      <c r="F243" s="15">
        <f>VLOOKUP(C243,'Functional Assignment'!$C$1:$AR$730,6,)</f>
        <v>0</v>
      </c>
      <c r="G243" s="15">
        <f t="shared" si="71"/>
        <v>0</v>
      </c>
      <c r="H243" s="15">
        <f t="shared" si="71"/>
        <v>0</v>
      </c>
      <c r="I243" s="15">
        <f t="shared" si="71"/>
        <v>0</v>
      </c>
      <c r="J243" s="15">
        <f t="shared" si="71"/>
        <v>0</v>
      </c>
      <c r="K243" s="15">
        <f>(VLOOKUP($E243,$D$6:$AI$659,8,)/VLOOKUP($E243,$D$6:$AI$659,3,))*$F243</f>
        <v>0</v>
      </c>
      <c r="L243" s="15">
        <f>(VLOOKUP($E243,$D$6:$AI$659,L$2,)/VLOOKUP($E243,$D$6:$AI$659,3,))*$F243</f>
        <v>0</v>
      </c>
      <c r="M243" s="15">
        <f>(VLOOKUP($E243,$D$6:$AI$659,M$2,)/VLOOKUP($E243,$D$6:$AI$659,3,))*$F243</f>
        <v>0</v>
      </c>
      <c r="N243" s="15">
        <f>(VLOOKUP($E243,$D$6:$AI$659,11,)/VLOOKUP($E243,$D$6:$AI$659,3,))*$F243</f>
        <v>0</v>
      </c>
      <c r="O243" s="15">
        <f t="shared" si="72"/>
        <v>0</v>
      </c>
      <c r="P243" s="15">
        <f t="shared" si="72"/>
        <v>0</v>
      </c>
      <c r="Q243" s="15">
        <f t="shared" si="72"/>
        <v>0</v>
      </c>
      <c r="R243" s="15">
        <f>(VLOOKUP($E243,$D$6:$AI$659,15,)/VLOOKUP($E243,$D$6:$AI$659,3,))*$F243</f>
        <v>0</v>
      </c>
      <c r="S243" s="15">
        <f>(VLOOKUP($E243,$D$6:$AI$659,16,)/VLOOKUP($E243,$D$6:$AI$659,3,))*$F243</f>
        <v>0</v>
      </c>
      <c r="T243" s="15">
        <f>(VLOOKUP($E243,$D$6:$AI$659,17,)/VLOOKUP($E243,$D$6:$AI$659,3,))*$F243</f>
        <v>0</v>
      </c>
      <c r="U243" s="148">
        <f>SUM(G243:M243)</f>
        <v>0</v>
      </c>
      <c r="V243" s="133" t="str">
        <f>IF(ABS(F243-U243)&lt;0.01,"ok","err")</f>
        <v>ok</v>
      </c>
    </row>
    <row r="244" spans="1:22" x14ac:dyDescent="0.25">
      <c r="A244" s="140" t="s">
        <v>658</v>
      </c>
      <c r="D244" s="140" t="s">
        <v>338</v>
      </c>
      <c r="F244" s="147">
        <f t="shared" ref="F244:T244" si="73">F242+F243</f>
        <v>0</v>
      </c>
      <c r="G244" s="147">
        <f t="shared" si="73"/>
        <v>0</v>
      </c>
      <c r="H244" s="147">
        <f t="shared" si="73"/>
        <v>0</v>
      </c>
      <c r="I244" s="147">
        <f t="shared" si="73"/>
        <v>0</v>
      </c>
      <c r="J244" s="147">
        <f t="shared" si="73"/>
        <v>0</v>
      </c>
      <c r="K244" s="147">
        <f t="shared" si="73"/>
        <v>0</v>
      </c>
      <c r="L244" s="147">
        <f t="shared" si="73"/>
        <v>0</v>
      </c>
      <c r="M244" s="147">
        <f t="shared" si="73"/>
        <v>0</v>
      </c>
      <c r="N244" s="147">
        <f t="shared" si="73"/>
        <v>0</v>
      </c>
      <c r="O244" s="147">
        <f t="shared" si="73"/>
        <v>0</v>
      </c>
      <c r="P244" s="147">
        <f t="shared" si="73"/>
        <v>0</v>
      </c>
      <c r="Q244" s="147">
        <f t="shared" si="73"/>
        <v>0</v>
      </c>
      <c r="R244" s="147">
        <f t="shared" si="73"/>
        <v>0</v>
      </c>
      <c r="S244" s="147">
        <f t="shared" si="73"/>
        <v>0</v>
      </c>
      <c r="T244" s="147">
        <f t="shared" si="73"/>
        <v>0</v>
      </c>
      <c r="U244" s="148">
        <f>SUM(G244:M244)</f>
        <v>0</v>
      </c>
      <c r="V244" s="133" t="str">
        <f>IF(ABS(F244-U244)&lt;0.01,"ok","err")</f>
        <v>ok</v>
      </c>
    </row>
    <row r="245" spans="1:22" x14ac:dyDescent="0.25">
      <c r="F245" s="15"/>
      <c r="G245" s="15"/>
      <c r="U245" s="148"/>
    </row>
    <row r="246" spans="1:22" x14ac:dyDescent="0.25">
      <c r="A246" s="134" t="s">
        <v>3</v>
      </c>
      <c r="F246" s="15"/>
      <c r="G246" s="15"/>
      <c r="U246" s="148"/>
    </row>
    <row r="247" spans="1:22" x14ac:dyDescent="0.25">
      <c r="A247" s="146" t="s">
        <v>207</v>
      </c>
      <c r="C247" s="150" t="s">
        <v>730</v>
      </c>
      <c r="D247" s="140" t="s">
        <v>269</v>
      </c>
      <c r="E247" s="140" t="s">
        <v>312</v>
      </c>
      <c r="F247" s="147">
        <f>VLOOKUP(C247,'Functional Assignment'!$C$1:$AR$730,7,)</f>
        <v>0</v>
      </c>
      <c r="G247" s="147">
        <f t="shared" ref="G247:J248" si="74">(VLOOKUP($E247,$D$6:$AI$659,G$2,)/VLOOKUP($E247,$D$6:$AI$659,3,))*$F247</f>
        <v>0</v>
      </c>
      <c r="H247" s="147">
        <f t="shared" si="74"/>
        <v>0</v>
      </c>
      <c r="I247" s="147">
        <f t="shared" si="74"/>
        <v>0</v>
      </c>
      <c r="J247" s="147">
        <f t="shared" si="74"/>
        <v>0</v>
      </c>
      <c r="K247" s="147">
        <f>(VLOOKUP($E247,$D$6:$AI$659,8,)/VLOOKUP($E247,$D$6:$AI$659,3,))*$F247</f>
        <v>0</v>
      </c>
      <c r="L247" s="147">
        <f>(VLOOKUP($E247,$D$6:$AI$659,L$2,)/VLOOKUP($E247,$D$6:$AI$659,3,))*$F247</f>
        <v>0</v>
      </c>
      <c r="M247" s="147">
        <f>(VLOOKUP($E247,$D$6:$AI$659,M$2,)/VLOOKUP($E247,$D$6:$AI$659,3,))*$F247</f>
        <v>0</v>
      </c>
      <c r="N247" s="147">
        <f>(VLOOKUP($E247,$D$6:$AI$659,11,)/VLOOKUP($E247,$D$6:$AI$659,3,))*$F247</f>
        <v>0</v>
      </c>
      <c r="O247" s="147">
        <f t="shared" ref="O247:Q248" si="75">(VLOOKUP($E247,$D$6:$AI$659,O$2,)/VLOOKUP($E247,$D$6:$AI$659,3,))*$F247</f>
        <v>0</v>
      </c>
      <c r="P247" s="147">
        <f t="shared" si="75"/>
        <v>0</v>
      </c>
      <c r="Q247" s="147">
        <f t="shared" si="75"/>
        <v>0</v>
      </c>
      <c r="R247" s="147">
        <f>(VLOOKUP($E247,$D$6:$AI$659,15,)/VLOOKUP($E247,$D$6:$AI$659,3,))*$F247</f>
        <v>0</v>
      </c>
      <c r="S247" s="147">
        <f>(VLOOKUP($E247,$D$6:$AI$659,16,)/VLOOKUP($E247,$D$6:$AI$659,3,))*$F247</f>
        <v>0</v>
      </c>
      <c r="T247" s="147">
        <f>(VLOOKUP($E247,$D$6:$AI$659,17,)/VLOOKUP($E247,$D$6:$AI$659,3,))*$F247</f>
        <v>0</v>
      </c>
      <c r="U247" s="148">
        <f>SUM(G247:M247)</f>
        <v>0</v>
      </c>
      <c r="V247" s="133" t="str">
        <f>IF(ABS(F247-U247)&lt;0.01,"ok","err")</f>
        <v>ok</v>
      </c>
    </row>
    <row r="248" spans="1:22" x14ac:dyDescent="0.25">
      <c r="A248" s="140" t="s">
        <v>226</v>
      </c>
      <c r="C248" s="150" t="s">
        <v>730</v>
      </c>
      <c r="D248" s="140" t="s">
        <v>270</v>
      </c>
      <c r="E248" s="140" t="s">
        <v>313</v>
      </c>
      <c r="F248" s="15">
        <f>VLOOKUP(C248,'Functional Assignment'!$C$1:$AR$730,8,)</f>
        <v>0</v>
      </c>
      <c r="G248" s="15">
        <f t="shared" si="74"/>
        <v>0</v>
      </c>
      <c r="H248" s="15">
        <f t="shared" si="74"/>
        <v>0</v>
      </c>
      <c r="I248" s="15">
        <f t="shared" si="74"/>
        <v>0</v>
      </c>
      <c r="J248" s="15">
        <f t="shared" si="74"/>
        <v>0</v>
      </c>
      <c r="K248" s="15">
        <f>(VLOOKUP($E248,$D$6:$AI$659,8,)/VLOOKUP($E248,$D$6:$AI$659,3,))*$F248</f>
        <v>0</v>
      </c>
      <c r="L248" s="15">
        <f>(VLOOKUP($E248,$D$6:$AI$659,L$2,)/VLOOKUP($E248,$D$6:$AI$659,3,))*$F248</f>
        <v>0</v>
      </c>
      <c r="M248" s="15">
        <f>(VLOOKUP($E248,$D$6:$AI$659,M$2,)/VLOOKUP($E248,$D$6:$AI$659,3,))*$F248</f>
        <v>0</v>
      </c>
      <c r="N248" s="15">
        <f>(VLOOKUP($E248,$D$6:$AI$659,11,)/VLOOKUP($E248,$D$6:$AI$659,3,))*$F248</f>
        <v>0</v>
      </c>
      <c r="O248" s="15">
        <f t="shared" si="75"/>
        <v>0</v>
      </c>
      <c r="P248" s="15">
        <f t="shared" si="75"/>
        <v>0</v>
      </c>
      <c r="Q248" s="15">
        <f t="shared" si="75"/>
        <v>0</v>
      </c>
      <c r="R248" s="15">
        <f>(VLOOKUP($E248,$D$6:$AI$659,15,)/VLOOKUP($E248,$D$6:$AI$659,3,))*$F248</f>
        <v>0</v>
      </c>
      <c r="S248" s="15">
        <f>(VLOOKUP($E248,$D$6:$AI$659,16,)/VLOOKUP($E248,$D$6:$AI$659,3,))*$F248</f>
        <v>0</v>
      </c>
      <c r="T248" s="15">
        <f>(VLOOKUP($E248,$D$6:$AI$659,17,)/VLOOKUP($E248,$D$6:$AI$659,3,))*$F248</f>
        <v>0</v>
      </c>
      <c r="U248" s="148">
        <f>SUM(G248:M248)</f>
        <v>0</v>
      </c>
      <c r="V248" s="133" t="str">
        <f>IF(ABS(F248-U248)&lt;0.01,"ok","err")</f>
        <v>ok</v>
      </c>
    </row>
    <row r="249" spans="1:22" x14ac:dyDescent="0.25">
      <c r="A249" s="140" t="s">
        <v>227</v>
      </c>
      <c r="D249" s="140" t="s">
        <v>339</v>
      </c>
      <c r="F249" s="147">
        <f>SUM(F247:F248)</f>
        <v>0</v>
      </c>
      <c r="G249" s="147">
        <f t="shared" ref="G249:T249" si="76">G247+G248</f>
        <v>0</v>
      </c>
      <c r="H249" s="147">
        <f t="shared" si="76"/>
        <v>0</v>
      </c>
      <c r="I249" s="147">
        <f t="shared" si="76"/>
        <v>0</v>
      </c>
      <c r="J249" s="147">
        <f t="shared" si="76"/>
        <v>0</v>
      </c>
      <c r="K249" s="147">
        <f t="shared" si="76"/>
        <v>0</v>
      </c>
      <c r="L249" s="147">
        <f t="shared" si="76"/>
        <v>0</v>
      </c>
      <c r="M249" s="147">
        <f t="shared" si="76"/>
        <v>0</v>
      </c>
      <c r="N249" s="147">
        <f t="shared" si="76"/>
        <v>0</v>
      </c>
      <c r="O249" s="147">
        <f t="shared" si="76"/>
        <v>0</v>
      </c>
      <c r="P249" s="147">
        <f t="shared" si="76"/>
        <v>0</v>
      </c>
      <c r="Q249" s="147">
        <f t="shared" si="76"/>
        <v>0</v>
      </c>
      <c r="R249" s="147">
        <f t="shared" si="76"/>
        <v>0</v>
      </c>
      <c r="S249" s="147">
        <f t="shared" si="76"/>
        <v>0</v>
      </c>
      <c r="T249" s="147">
        <f t="shared" si="76"/>
        <v>0</v>
      </c>
      <c r="U249" s="148">
        <f>SUM(G249:M249)</f>
        <v>0</v>
      </c>
      <c r="V249" s="133" t="str">
        <f>IF(ABS(F249-U249)&lt;0.01,"ok","err")</f>
        <v>ok</v>
      </c>
    </row>
    <row r="250" spans="1:22" x14ac:dyDescent="0.25">
      <c r="F250" s="15"/>
      <c r="G250" s="15"/>
      <c r="U250" s="148"/>
    </row>
    <row r="251" spans="1:22" x14ac:dyDescent="0.25">
      <c r="A251" s="134" t="s">
        <v>4</v>
      </c>
      <c r="F251" s="15"/>
      <c r="G251" s="15"/>
      <c r="U251" s="148"/>
    </row>
    <row r="252" spans="1:22" x14ac:dyDescent="0.25">
      <c r="A252" s="146" t="s">
        <v>870</v>
      </c>
      <c r="C252" s="150" t="s">
        <v>730</v>
      </c>
      <c r="D252" s="140" t="s">
        <v>271</v>
      </c>
      <c r="E252" s="140" t="s">
        <v>317</v>
      </c>
      <c r="F252" s="147">
        <f>VLOOKUP(C252,'Functional Assignment'!$C$1:$AR$730,9,)</f>
        <v>0</v>
      </c>
      <c r="G252" s="147">
        <f t="shared" ref="G252:J253" si="77">(VLOOKUP($E252,$D$6:$AI$659,G$2,)/VLOOKUP($E252,$D$6:$AI$659,3,))*$F252</f>
        <v>0</v>
      </c>
      <c r="H252" s="147">
        <f t="shared" si="77"/>
        <v>0</v>
      </c>
      <c r="I252" s="147">
        <f t="shared" si="77"/>
        <v>0</v>
      </c>
      <c r="J252" s="147">
        <f t="shared" si="77"/>
        <v>0</v>
      </c>
      <c r="K252" s="147">
        <f>(VLOOKUP($E252,$D$6:$AI$659,8,)/VLOOKUP($E252,$D$6:$AI$659,3,))*$F252</f>
        <v>0</v>
      </c>
      <c r="L252" s="147">
        <f>(VLOOKUP($E252,$D$6:$AI$659,L$2,)/VLOOKUP($E252,$D$6:$AI$659,3,))*$F252</f>
        <v>0</v>
      </c>
      <c r="M252" s="147">
        <f>(VLOOKUP($E252,$D$6:$AI$659,M$2,)/VLOOKUP($E252,$D$6:$AI$659,3,))*$F252</f>
        <v>0</v>
      </c>
      <c r="N252" s="147">
        <f>(VLOOKUP($E252,$D$6:$AI$659,11,)/VLOOKUP($E252,$D$6:$AI$659,3,))*$F252</f>
        <v>0</v>
      </c>
      <c r="O252" s="147">
        <f t="shared" ref="O252:Q253" si="78">(VLOOKUP($E252,$D$6:$AI$659,O$2,)/VLOOKUP($E252,$D$6:$AI$659,3,))*$F252</f>
        <v>0</v>
      </c>
      <c r="P252" s="147">
        <f t="shared" si="78"/>
        <v>0</v>
      </c>
      <c r="Q252" s="147">
        <f t="shared" si="78"/>
        <v>0</v>
      </c>
      <c r="R252" s="147">
        <f>(VLOOKUP($E252,$D$6:$AI$659,15,)/VLOOKUP($E252,$D$6:$AI$659,3,))*$F252</f>
        <v>0</v>
      </c>
      <c r="S252" s="147">
        <f>(VLOOKUP($E252,$D$6:$AI$659,16,)/VLOOKUP($E252,$D$6:$AI$659,3,))*$F252</f>
        <v>0</v>
      </c>
      <c r="T252" s="147">
        <f>(VLOOKUP($E252,$D$6:$AI$659,17,)/VLOOKUP($E252,$D$6:$AI$659,3,))*$F252</f>
        <v>0</v>
      </c>
      <c r="U252" s="148">
        <f>SUM(G252:M252)</f>
        <v>0</v>
      </c>
      <c r="V252" s="133" t="str">
        <f>IF(ABS(F252-U252)&lt;0.01,"ok","err")</f>
        <v>ok</v>
      </c>
    </row>
    <row r="253" spans="1:22" x14ac:dyDescent="0.25">
      <c r="A253" s="140" t="s">
        <v>865</v>
      </c>
      <c r="C253" s="150" t="s">
        <v>730</v>
      </c>
      <c r="D253" s="140" t="s">
        <v>272</v>
      </c>
      <c r="E253" s="140" t="s">
        <v>314</v>
      </c>
      <c r="F253" s="15">
        <f>VLOOKUP(C253,'Functional Assignment'!$C$1:$AR$730,10,)</f>
        <v>0</v>
      </c>
      <c r="G253" s="15">
        <f t="shared" si="77"/>
        <v>0</v>
      </c>
      <c r="H253" s="15">
        <f t="shared" si="77"/>
        <v>0</v>
      </c>
      <c r="I253" s="15">
        <f t="shared" si="77"/>
        <v>0</v>
      </c>
      <c r="J253" s="15">
        <f t="shared" si="77"/>
        <v>0</v>
      </c>
      <c r="K253" s="15">
        <f>(VLOOKUP($E253,$D$6:$AI$659,8,)/VLOOKUP($E253,$D$6:$AI$659,3,))*$F253</f>
        <v>0</v>
      </c>
      <c r="L253" s="15">
        <f>(VLOOKUP($E253,$D$6:$AI$659,L$2,)/VLOOKUP($E253,$D$6:$AI$659,3,))*$F253</f>
        <v>0</v>
      </c>
      <c r="M253" s="15">
        <f>(VLOOKUP($E253,$D$6:$AI$659,M$2,)/VLOOKUP($E253,$D$6:$AI$659,3,))*$F253</f>
        <v>0</v>
      </c>
      <c r="N253" s="15">
        <f>(VLOOKUP($E253,$D$6:$AI$659,11,)/VLOOKUP($E253,$D$6:$AI$659,3,))*$F253</f>
        <v>0</v>
      </c>
      <c r="O253" s="15">
        <f t="shared" si="78"/>
        <v>0</v>
      </c>
      <c r="P253" s="15">
        <f t="shared" si="78"/>
        <v>0</v>
      </c>
      <c r="Q253" s="15">
        <f t="shared" si="78"/>
        <v>0</v>
      </c>
      <c r="R253" s="15">
        <f>(VLOOKUP($E253,$D$6:$AI$659,15,)/VLOOKUP($E253,$D$6:$AI$659,3,))*$F253</f>
        <v>0</v>
      </c>
      <c r="S253" s="15">
        <f>(VLOOKUP($E253,$D$6:$AI$659,16,)/VLOOKUP($E253,$D$6:$AI$659,3,))*$F253</f>
        <v>0</v>
      </c>
      <c r="T253" s="15">
        <f>(VLOOKUP($E253,$D$6:$AI$659,17,)/VLOOKUP($E253,$D$6:$AI$659,3,))*$F253</f>
        <v>0</v>
      </c>
      <c r="U253" s="148">
        <f>SUM(G253:M253)</f>
        <v>0</v>
      </c>
      <c r="V253" s="133" t="str">
        <f>IF(ABS(F253-U253)&lt;0.01,"ok","err")</f>
        <v>ok</v>
      </c>
    </row>
    <row r="254" spans="1:22" x14ac:dyDescent="0.25">
      <c r="A254" s="140" t="s">
        <v>228</v>
      </c>
      <c r="D254" s="140" t="s">
        <v>340</v>
      </c>
      <c r="F254" s="147">
        <f>SUM(F252:F253)</f>
        <v>0</v>
      </c>
      <c r="G254" s="147">
        <f t="shared" ref="G254:T254" si="79">G252+G253</f>
        <v>0</v>
      </c>
      <c r="H254" s="147">
        <f t="shared" si="79"/>
        <v>0</v>
      </c>
      <c r="I254" s="147">
        <f t="shared" si="79"/>
        <v>0</v>
      </c>
      <c r="J254" s="147">
        <f t="shared" si="79"/>
        <v>0</v>
      </c>
      <c r="K254" s="147">
        <f t="shared" si="79"/>
        <v>0</v>
      </c>
      <c r="L254" s="147">
        <f t="shared" si="79"/>
        <v>0</v>
      </c>
      <c r="M254" s="147">
        <f t="shared" si="79"/>
        <v>0</v>
      </c>
      <c r="N254" s="147">
        <f t="shared" si="79"/>
        <v>0</v>
      </c>
      <c r="O254" s="147">
        <f t="shared" si="79"/>
        <v>0</v>
      </c>
      <c r="P254" s="147">
        <f t="shared" si="79"/>
        <v>0</v>
      </c>
      <c r="Q254" s="147">
        <f t="shared" si="79"/>
        <v>0</v>
      </c>
      <c r="R254" s="147">
        <f t="shared" si="79"/>
        <v>0</v>
      </c>
      <c r="S254" s="147">
        <f t="shared" si="79"/>
        <v>0</v>
      </c>
      <c r="T254" s="147">
        <f t="shared" si="79"/>
        <v>0</v>
      </c>
      <c r="U254" s="148">
        <f>SUM(G254:M254)</f>
        <v>0</v>
      </c>
      <c r="V254" s="133" t="str">
        <f>IF(ABS(F254-U254)&lt;0.01,"ok","err")</f>
        <v>ok</v>
      </c>
    </row>
    <row r="255" spans="1:22" x14ac:dyDescent="0.25">
      <c r="F255" s="15"/>
      <c r="U255" s="148"/>
    </row>
    <row r="256" spans="1:22" x14ac:dyDescent="0.25">
      <c r="A256" s="134" t="s">
        <v>6</v>
      </c>
      <c r="F256" s="15"/>
      <c r="U256" s="148"/>
    </row>
    <row r="257" spans="1:23" x14ac:dyDescent="0.25">
      <c r="A257" s="140" t="s">
        <v>226</v>
      </c>
      <c r="C257" s="150" t="s">
        <v>730</v>
      </c>
      <c r="D257" s="140" t="s">
        <v>273</v>
      </c>
      <c r="E257" s="140" t="s">
        <v>316</v>
      </c>
      <c r="F257" s="147">
        <f>VLOOKUP(C257,'Functional Assignment'!$C$1:$AR$730,11,)</f>
        <v>0</v>
      </c>
      <c r="G257" s="147">
        <f>(VLOOKUP($E257,$D$6:$AI$659,G$2,)/VLOOKUP($E257,$D$6:$AI$659,3,))*$F257</f>
        <v>0</v>
      </c>
      <c r="H257" s="147">
        <f>(VLOOKUP($E257,$D$6:$AI$659,H$2,)/VLOOKUP($E257,$D$6:$AI$659,3,))*$F257</f>
        <v>0</v>
      </c>
      <c r="I257" s="147">
        <f>(VLOOKUP($E257,$D$6:$AI$659,I$2,)/VLOOKUP($E257,$D$6:$AI$659,3,))*$F257</f>
        <v>0</v>
      </c>
      <c r="J257" s="147">
        <f>(VLOOKUP($E257,$D$6:$AI$659,J$2,)/VLOOKUP($E257,$D$6:$AI$659,3,))*$F257</f>
        <v>0</v>
      </c>
      <c r="K257" s="147">
        <f>(VLOOKUP($E257,$D$6:$AI$659,8,)/VLOOKUP($E257,$D$6:$AI$659,3,))*$F257</f>
        <v>0</v>
      </c>
      <c r="L257" s="147">
        <f>(VLOOKUP($E257,$D$6:$AI$659,L$2,)/VLOOKUP($E257,$D$6:$AI$659,3,))*$F257</f>
        <v>0</v>
      </c>
      <c r="M257" s="147">
        <f>(VLOOKUP($E257,$D$6:$AI$659,M$2,)/VLOOKUP($E257,$D$6:$AI$659,3,))*$F257</f>
        <v>0</v>
      </c>
      <c r="N257" s="147">
        <f>(VLOOKUP($E257,$D$6:$AI$659,11,)/VLOOKUP($E257,$D$6:$AI$659,3,))*$F257</f>
        <v>0</v>
      </c>
      <c r="O257" s="147">
        <f>(VLOOKUP($E257,$D$6:$AI$659,O$2,)/VLOOKUP($E257,$D$6:$AI$659,3,))*$F257</f>
        <v>0</v>
      </c>
      <c r="P257" s="147">
        <f>(VLOOKUP($E257,$D$6:$AI$659,P$2,)/VLOOKUP($E257,$D$6:$AI$659,3,))*$F257</f>
        <v>0</v>
      </c>
      <c r="Q257" s="147">
        <f>(VLOOKUP($E257,$D$6:$AI$659,Q$2,)/VLOOKUP($E257,$D$6:$AI$659,3,))*$F257</f>
        <v>0</v>
      </c>
      <c r="R257" s="147">
        <f>(VLOOKUP($E257,$D$6:$AI$659,15,)/VLOOKUP($E257,$D$6:$AI$659,3,))*$F257</f>
        <v>0</v>
      </c>
      <c r="S257" s="147">
        <f>(VLOOKUP($E257,$D$6:$AI$659,16,)/VLOOKUP($E257,$D$6:$AI$659,3,))*$F257</f>
        <v>0</v>
      </c>
      <c r="T257" s="147">
        <f>(VLOOKUP($E257,$D$6:$AI$659,17,)/VLOOKUP($E257,$D$6:$AI$659,3,))*$F257</f>
        <v>0</v>
      </c>
      <c r="U257" s="148">
        <f>SUM(G257:M257)</f>
        <v>0</v>
      </c>
      <c r="V257" s="133" t="str">
        <f>IF(ABS(F257-U257)&lt;0.01,"ok","err")</f>
        <v>ok</v>
      </c>
    </row>
    <row r="258" spans="1:23" x14ac:dyDescent="0.25">
      <c r="A258" s="146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48"/>
      <c r="V258" s="133"/>
    </row>
    <row r="259" spans="1:23" x14ac:dyDescent="0.25">
      <c r="A259" s="134" t="s">
        <v>7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48"/>
      <c r="V259" s="133"/>
    </row>
    <row r="260" spans="1:23" x14ac:dyDescent="0.25">
      <c r="A260" s="146" t="s">
        <v>207</v>
      </c>
      <c r="C260" s="150" t="s">
        <v>730</v>
      </c>
      <c r="D260" s="140" t="s">
        <v>274</v>
      </c>
      <c r="E260" s="140" t="s">
        <v>317</v>
      </c>
      <c r="F260" s="147">
        <f>VLOOKUP(C260,'Functional Assignment'!$C$1:$AR$730,12,)</f>
        <v>0</v>
      </c>
      <c r="G260" s="147">
        <f>(VLOOKUP($E260,$D$6:$AI$659,G$2,)/VLOOKUP($E260,$D$6:$AI$659,3,))*$F260</f>
        <v>0</v>
      </c>
      <c r="H260" s="147">
        <f>(VLOOKUP($E260,$D$6:$AI$659,H$2,)/VLOOKUP($E260,$D$6:$AI$659,3,))*$F260</f>
        <v>0</v>
      </c>
      <c r="I260" s="147">
        <f>(VLOOKUP($E260,$D$6:$AI$659,I$2,)/VLOOKUP($E260,$D$6:$AI$659,3,))*$F260</f>
        <v>0</v>
      </c>
      <c r="J260" s="147">
        <f>(VLOOKUP($E260,$D$6:$AI$659,J$2,)/VLOOKUP($E260,$D$6:$AI$659,3,))*$F260</f>
        <v>0</v>
      </c>
      <c r="K260" s="147">
        <f>(VLOOKUP($E260,$D$6:$AI$659,8,)/VLOOKUP($E260,$D$6:$AI$659,3,))*$F260</f>
        <v>0</v>
      </c>
      <c r="L260" s="147">
        <f>(VLOOKUP($E260,$D$6:$AI$659,L$2,)/VLOOKUP($E260,$D$6:$AI$659,3,))*$F260</f>
        <v>0</v>
      </c>
      <c r="M260" s="147">
        <f>(VLOOKUP($E260,$D$6:$AI$659,M$2,)/VLOOKUP($E260,$D$6:$AI$659,3,))*$F260</f>
        <v>0</v>
      </c>
      <c r="N260" s="147">
        <f>(VLOOKUP($E260,$D$6:$AI$659,11,)/VLOOKUP($E260,$D$6:$AI$659,3,))*$F260</f>
        <v>0</v>
      </c>
      <c r="O260" s="147">
        <f>(VLOOKUP($E260,$D$6:$AI$659,O$2,)/VLOOKUP($E260,$D$6:$AI$659,3,))*$F260</f>
        <v>0</v>
      </c>
      <c r="P260" s="147">
        <f>(VLOOKUP($E260,$D$6:$AI$659,P$2,)/VLOOKUP($E260,$D$6:$AI$659,3,))*$F260</f>
        <v>0</v>
      </c>
      <c r="Q260" s="147">
        <f>(VLOOKUP($E260,$D$6:$AI$659,Q$2,)/VLOOKUP($E260,$D$6:$AI$659,3,))*$F260</f>
        <v>0</v>
      </c>
      <c r="R260" s="147">
        <f>(VLOOKUP($E260,$D$6:$AI$659,15,)/VLOOKUP($E260,$D$6:$AI$659,3,))*$F260</f>
        <v>0</v>
      </c>
      <c r="S260" s="147">
        <f>(VLOOKUP($E260,$D$6:$AI$659,16,)/VLOOKUP($E260,$D$6:$AI$659,3,))*$F260</f>
        <v>0</v>
      </c>
      <c r="T260" s="147">
        <f>(VLOOKUP($E260,$D$6:$AI$659,17,)/VLOOKUP($E260,$D$6:$AI$659,3,))*$F260</f>
        <v>0</v>
      </c>
      <c r="U260" s="148">
        <f>SUM(G260:M260)</f>
        <v>0</v>
      </c>
      <c r="V260" s="133" t="str">
        <f>IF(ABS(F260-U260)&lt;0.01,"ok","err")</f>
        <v>ok</v>
      </c>
    </row>
    <row r="261" spans="1:23" x14ac:dyDescent="0.25">
      <c r="F261" s="15"/>
      <c r="U261" s="148"/>
    </row>
    <row r="262" spans="1:23" x14ac:dyDescent="0.25">
      <c r="A262" s="134" t="s">
        <v>8</v>
      </c>
      <c r="F262" s="15"/>
      <c r="U262" s="148"/>
    </row>
    <row r="263" spans="1:23" x14ac:dyDescent="0.25">
      <c r="A263" s="146" t="s">
        <v>680</v>
      </c>
      <c r="C263" s="150" t="s">
        <v>730</v>
      </c>
      <c r="D263" s="140" t="s">
        <v>275</v>
      </c>
      <c r="E263" s="140" t="s">
        <v>932</v>
      </c>
      <c r="F263" s="147">
        <f>VLOOKUP(C263,'Functional Assignment'!$C$1:$AR$730,13,)</f>
        <v>0</v>
      </c>
      <c r="G263" s="147">
        <f t="shared" ref="G263:J266" si="80">(VLOOKUP($E263,$D$6:$AI$659,G$2,)/VLOOKUP($E263,$D$6:$AI$659,3,))*$F263</f>
        <v>0</v>
      </c>
      <c r="H263" s="147">
        <f t="shared" si="80"/>
        <v>0</v>
      </c>
      <c r="I263" s="147">
        <f t="shared" si="80"/>
        <v>0</v>
      </c>
      <c r="J263" s="147">
        <f t="shared" si="80"/>
        <v>0</v>
      </c>
      <c r="K263" s="147">
        <f>(VLOOKUP($E263,$D$6:$AI$659,8,)/VLOOKUP($E263,$D$6:$AI$659,3,))*$F263</f>
        <v>0</v>
      </c>
      <c r="L263" s="147">
        <f t="shared" ref="L263:M266" si="81">(VLOOKUP($E263,$D$6:$AI$659,L$2,)/VLOOKUP($E263,$D$6:$AI$659,3,))*$F263</f>
        <v>0</v>
      </c>
      <c r="M263" s="147">
        <f t="shared" si="81"/>
        <v>0</v>
      </c>
      <c r="N263" s="147">
        <f>(VLOOKUP($E263,$D$6:$AI$659,11,)/VLOOKUP($E263,$D$6:$AI$659,3,))*$F263</f>
        <v>0</v>
      </c>
      <c r="O263" s="147">
        <f t="shared" ref="O263:Q266" si="82">(VLOOKUP($E263,$D$6:$AI$659,O$2,)/VLOOKUP($E263,$D$6:$AI$659,3,))*$F263</f>
        <v>0</v>
      </c>
      <c r="P263" s="147">
        <f t="shared" si="82"/>
        <v>0</v>
      </c>
      <c r="Q263" s="147">
        <f t="shared" si="82"/>
        <v>0</v>
      </c>
      <c r="R263" s="147">
        <f>(VLOOKUP($E263,$D$6:$AI$659,15,)/VLOOKUP($E263,$D$6:$AI$659,3,))*$F263</f>
        <v>0</v>
      </c>
      <c r="S263" s="147">
        <f>(VLOOKUP($E263,$D$6:$AI$659,16,)/VLOOKUP($E263,$D$6:$AI$659,3,))*$F263</f>
        <v>0</v>
      </c>
      <c r="T263" s="147">
        <f>(VLOOKUP($E263,$D$6:$AI$659,17,)/VLOOKUP($E263,$D$6:$AI$659,3,))*$F263</f>
        <v>0</v>
      </c>
      <c r="U263" s="148">
        <f>SUM(G263:M263)</f>
        <v>0</v>
      </c>
      <c r="V263" s="133" t="str">
        <f>IF(ABS(F263-U263)&lt;0.01,"ok","err")</f>
        <v>ok</v>
      </c>
    </row>
    <row r="264" spans="1:23" x14ac:dyDescent="0.25">
      <c r="A264" s="146" t="s">
        <v>679</v>
      </c>
      <c r="C264" s="150" t="s">
        <v>730</v>
      </c>
      <c r="D264" s="140" t="s">
        <v>276</v>
      </c>
      <c r="E264" s="140" t="s">
        <v>684</v>
      </c>
      <c r="F264" s="15">
        <f>VLOOKUP(C264,'Functional Assignment'!$C$1:$AR$730,14,)</f>
        <v>0</v>
      </c>
      <c r="G264" s="15">
        <f t="shared" si="80"/>
        <v>0</v>
      </c>
      <c r="H264" s="15">
        <f t="shared" si="80"/>
        <v>0</v>
      </c>
      <c r="I264" s="15">
        <f t="shared" si="80"/>
        <v>0</v>
      </c>
      <c r="J264" s="15">
        <f t="shared" si="80"/>
        <v>0</v>
      </c>
      <c r="K264" s="15">
        <f>(VLOOKUP($E264,$D$6:$AI$659,8,)/VLOOKUP($E264,$D$6:$AI$659,3,))*$F264</f>
        <v>0</v>
      </c>
      <c r="L264" s="15">
        <f t="shared" si="81"/>
        <v>0</v>
      </c>
      <c r="M264" s="15">
        <f t="shared" si="81"/>
        <v>0</v>
      </c>
      <c r="N264" s="15">
        <f>(VLOOKUP($E264,$D$6:$AI$659,11,)/VLOOKUP($E264,$D$6:$AI$659,3,))*$F264</f>
        <v>0</v>
      </c>
      <c r="O264" s="15">
        <f t="shared" si="82"/>
        <v>0</v>
      </c>
      <c r="P264" s="15">
        <f t="shared" si="82"/>
        <v>0</v>
      </c>
      <c r="Q264" s="15">
        <f t="shared" si="82"/>
        <v>0</v>
      </c>
      <c r="R264" s="15">
        <f>(VLOOKUP($E264,$D$6:$AI$659,15,)/VLOOKUP($E264,$D$6:$AI$659,3,))*$F264</f>
        <v>0</v>
      </c>
      <c r="S264" s="15">
        <f>(VLOOKUP($E264,$D$6:$AI$659,16,)/VLOOKUP($E264,$D$6:$AI$659,3,))*$F264</f>
        <v>0</v>
      </c>
      <c r="T264" s="15">
        <f>(VLOOKUP($E264,$D$6:$AI$659,17,)/VLOOKUP($E264,$D$6:$AI$659,3,))*$F264</f>
        <v>0</v>
      </c>
      <c r="U264" s="148">
        <f>SUM(G264:M264)</f>
        <v>0</v>
      </c>
      <c r="V264" s="133" t="str">
        <f>IF(ABS(F264-U264)&lt;0.01,"ok","err")</f>
        <v>ok</v>
      </c>
      <c r="W264" s="149"/>
    </row>
    <row r="265" spans="1:23" x14ac:dyDescent="0.25">
      <c r="A265" s="146" t="s">
        <v>681</v>
      </c>
      <c r="C265" s="150" t="s">
        <v>730</v>
      </c>
      <c r="D265" s="140" t="s">
        <v>275</v>
      </c>
      <c r="E265" s="140" t="s">
        <v>931</v>
      </c>
      <c r="F265" s="15">
        <f>VLOOKUP(C265,'Functional Assignment'!$C$1:$AR$730,15,)</f>
        <v>0</v>
      </c>
      <c r="G265" s="15">
        <f t="shared" si="80"/>
        <v>0</v>
      </c>
      <c r="H265" s="15">
        <f t="shared" si="80"/>
        <v>0</v>
      </c>
      <c r="I265" s="15">
        <f t="shared" si="80"/>
        <v>0</v>
      </c>
      <c r="J265" s="15">
        <f t="shared" si="80"/>
        <v>0</v>
      </c>
      <c r="K265" s="15">
        <f>(VLOOKUP($E265,$D$6:$AI$659,8,)/VLOOKUP($E265,$D$6:$AI$659,3,))*$F265</f>
        <v>0</v>
      </c>
      <c r="L265" s="15">
        <f t="shared" si="81"/>
        <v>0</v>
      </c>
      <c r="M265" s="15">
        <f t="shared" si="81"/>
        <v>0</v>
      </c>
      <c r="N265" s="15">
        <f>(VLOOKUP($E265,$D$6:$AI$659,11,)/VLOOKUP($E265,$D$6:$AI$659,3,))*$F265</f>
        <v>0</v>
      </c>
      <c r="O265" s="15">
        <f t="shared" si="82"/>
        <v>0</v>
      </c>
      <c r="P265" s="15">
        <f t="shared" si="82"/>
        <v>0</v>
      </c>
      <c r="Q265" s="15">
        <f t="shared" si="82"/>
        <v>0</v>
      </c>
      <c r="R265" s="15"/>
      <c r="S265" s="15"/>
      <c r="T265" s="15"/>
      <c r="U265" s="148"/>
      <c r="V265" s="133"/>
    </row>
    <row r="266" spans="1:23" x14ac:dyDescent="0.25">
      <c r="A266" s="146" t="s">
        <v>678</v>
      </c>
      <c r="C266" s="150" t="s">
        <v>730</v>
      </c>
      <c r="D266" s="140" t="s">
        <v>276</v>
      </c>
      <c r="E266" s="140" t="s">
        <v>319</v>
      </c>
      <c r="F266" s="15">
        <f>VLOOKUP(C266,'Functional Assignment'!$C$1:$AR$730,16,)</f>
        <v>0</v>
      </c>
      <c r="G266" s="15">
        <f t="shared" si="80"/>
        <v>0</v>
      </c>
      <c r="H266" s="15">
        <f t="shared" si="80"/>
        <v>0</v>
      </c>
      <c r="I266" s="15">
        <f t="shared" si="80"/>
        <v>0</v>
      </c>
      <c r="J266" s="15">
        <f t="shared" si="80"/>
        <v>0</v>
      </c>
      <c r="K266" s="15">
        <f>(VLOOKUP($E266,$D$6:$AI$659,8,)/VLOOKUP($E266,$D$6:$AI$659,3,))*$F266</f>
        <v>0</v>
      </c>
      <c r="L266" s="15">
        <f t="shared" si="81"/>
        <v>0</v>
      </c>
      <c r="M266" s="15">
        <f t="shared" si="81"/>
        <v>0</v>
      </c>
      <c r="N266" s="15">
        <f>(VLOOKUP($E266,$D$6:$AI$659,11,)/VLOOKUP($E266,$D$6:$AI$659,3,))*$F266</f>
        <v>0</v>
      </c>
      <c r="O266" s="15">
        <f t="shared" si="82"/>
        <v>0</v>
      </c>
      <c r="P266" s="15">
        <f t="shared" si="82"/>
        <v>0</v>
      </c>
      <c r="Q266" s="15">
        <f t="shared" si="82"/>
        <v>0</v>
      </c>
      <c r="R266" s="15"/>
      <c r="S266" s="15"/>
      <c r="T266" s="15"/>
      <c r="U266" s="148"/>
      <c r="V266" s="133"/>
    </row>
    <row r="267" spans="1:23" x14ac:dyDescent="0.25">
      <c r="A267" s="140" t="s">
        <v>229</v>
      </c>
      <c r="F267" s="147">
        <f t="shared" ref="F267:Q267" si="83">SUM(F263:F266)</f>
        <v>0</v>
      </c>
      <c r="G267" s="147">
        <f t="shared" si="83"/>
        <v>0</v>
      </c>
      <c r="H267" s="147">
        <f t="shared" si="83"/>
        <v>0</v>
      </c>
      <c r="I267" s="147">
        <f t="shared" si="83"/>
        <v>0</v>
      </c>
      <c r="J267" s="147">
        <f t="shared" si="83"/>
        <v>0</v>
      </c>
      <c r="K267" s="147">
        <f t="shared" si="83"/>
        <v>0</v>
      </c>
      <c r="L267" s="147">
        <f t="shared" si="83"/>
        <v>0</v>
      </c>
      <c r="M267" s="147">
        <f t="shared" si="83"/>
        <v>0</v>
      </c>
      <c r="N267" s="147">
        <f t="shared" si="83"/>
        <v>0</v>
      </c>
      <c r="O267" s="147">
        <f t="shared" si="83"/>
        <v>0</v>
      </c>
      <c r="P267" s="147">
        <f t="shared" si="83"/>
        <v>0</v>
      </c>
      <c r="Q267" s="147">
        <f t="shared" si="83"/>
        <v>0</v>
      </c>
      <c r="R267" s="147">
        <f>R263+R264</f>
        <v>0</v>
      </c>
      <c r="S267" s="147">
        <f>S263+S264</f>
        <v>0</v>
      </c>
      <c r="T267" s="147">
        <f>T263+T264</f>
        <v>0</v>
      </c>
      <c r="U267" s="148">
        <f>SUM(G267:M267)</f>
        <v>0</v>
      </c>
      <c r="V267" s="133" t="str">
        <f>IF(ABS(F267-U267)&lt;0.01,"ok","err")</f>
        <v>ok</v>
      </c>
      <c r="W267" s="149"/>
    </row>
    <row r="268" spans="1:23" x14ac:dyDescent="0.25">
      <c r="F268" s="15"/>
      <c r="U268" s="148"/>
    </row>
    <row r="269" spans="1:23" x14ac:dyDescent="0.25">
      <c r="A269" s="134" t="s">
        <v>10</v>
      </c>
      <c r="F269" s="15"/>
      <c r="U269" s="148"/>
    </row>
    <row r="270" spans="1:23" x14ac:dyDescent="0.25">
      <c r="A270" s="146" t="s">
        <v>208</v>
      </c>
      <c r="C270" s="150" t="s">
        <v>730</v>
      </c>
      <c r="D270" s="140" t="s">
        <v>270</v>
      </c>
      <c r="E270" s="140" t="s">
        <v>320</v>
      </c>
      <c r="F270" s="147">
        <f>VLOOKUP(C270,'Functional Assignment'!$C$1:$AR$730,17,)</f>
        <v>0</v>
      </c>
      <c r="G270" s="147">
        <f>(VLOOKUP($E270,$D$6:$AI$659,G$2,)/VLOOKUP($E270,$D$6:$AI$659,3,))*$F270</f>
        <v>0</v>
      </c>
      <c r="H270" s="147">
        <f>(VLOOKUP($E270,$D$6:$AI$659,H$2,)/VLOOKUP($E270,$D$6:$AI$659,3,))*$F270</f>
        <v>0</v>
      </c>
      <c r="I270" s="147">
        <f>(VLOOKUP($E270,$D$6:$AI$659,I$2,)/VLOOKUP($E270,$D$6:$AI$659,3,))*$F270</f>
        <v>0</v>
      </c>
      <c r="J270" s="147">
        <f>(VLOOKUP($E270,$D$6:$AI$659,J$2,)/VLOOKUP($E270,$D$6:$AI$659,3,))*$F270</f>
        <v>0</v>
      </c>
      <c r="K270" s="147">
        <f>(VLOOKUP($E270,$D$6:$AI$659,8,)/VLOOKUP($E270,$D$6:$AI$659,3,))*$F270</f>
        <v>0</v>
      </c>
      <c r="L270" s="147">
        <f>(VLOOKUP($E270,$D$6:$AI$659,L$2,)/VLOOKUP($E270,$D$6:$AI$659,3,))*$F270</f>
        <v>0</v>
      </c>
      <c r="M270" s="147">
        <f>(VLOOKUP($E270,$D$6:$AI$659,M$2,)/VLOOKUP($E270,$D$6:$AI$659,3,))*$F270</f>
        <v>0</v>
      </c>
      <c r="N270" s="147">
        <f>(VLOOKUP($E270,$D$6:$AI$659,11,)/VLOOKUP($E270,$D$6:$AI$659,3,))*$F270</f>
        <v>0</v>
      </c>
      <c r="O270" s="147">
        <f>(VLOOKUP($E270,$D$6:$AI$659,O$2,)/VLOOKUP($E270,$D$6:$AI$659,3,))*$F270</f>
        <v>0</v>
      </c>
      <c r="P270" s="147">
        <f>(VLOOKUP($E270,$D$6:$AI$659,P$2,)/VLOOKUP($E270,$D$6:$AI$659,3,))*$F270</f>
        <v>0</v>
      </c>
      <c r="Q270" s="147">
        <f>(VLOOKUP($E270,$D$6:$AI$659,Q$2,)/VLOOKUP($E270,$D$6:$AI$659,3,))*$F270</f>
        <v>0</v>
      </c>
      <c r="R270" s="147">
        <f>(VLOOKUP($E270,$D$6:$AI$659,15,)/VLOOKUP($E270,$D$6:$AI$659,3,))*$F270</f>
        <v>0</v>
      </c>
      <c r="S270" s="147">
        <f>(VLOOKUP($E270,$D$6:$AI$659,16,)/VLOOKUP($E270,$D$6:$AI$659,3,))*$F270</f>
        <v>0</v>
      </c>
      <c r="T270" s="147">
        <f>(VLOOKUP($E270,$D$6:$AI$659,17,)/VLOOKUP($E270,$D$6:$AI$659,3,))*$F270</f>
        <v>0</v>
      </c>
      <c r="U270" s="148">
        <f>SUM(G270:M270)</f>
        <v>0</v>
      </c>
      <c r="V270" s="133" t="str">
        <f>IF(ABS(F270-U270)&lt;0.01,"ok","err")</f>
        <v>ok</v>
      </c>
      <c r="W270" s="149"/>
    </row>
    <row r="271" spans="1:23" x14ac:dyDescent="0.25">
      <c r="F271" s="15"/>
      <c r="U271" s="148"/>
    </row>
    <row r="272" spans="1:23" x14ac:dyDescent="0.25">
      <c r="A272" s="134" t="s">
        <v>11</v>
      </c>
      <c r="F272" s="15"/>
      <c r="U272" s="148"/>
    </row>
    <row r="273" spans="1:24" x14ac:dyDescent="0.25">
      <c r="A273" s="146" t="s">
        <v>208</v>
      </c>
      <c r="C273" s="150" t="s">
        <v>730</v>
      </c>
      <c r="D273" s="140" t="s">
        <v>277</v>
      </c>
      <c r="E273" s="140" t="s">
        <v>321</v>
      </c>
      <c r="F273" s="147">
        <f>VLOOKUP(C273,'Functional Assignment'!$C$1:$AR$730,18,)</f>
        <v>0</v>
      </c>
      <c r="G273" s="147">
        <f>(VLOOKUP($E273,$D$6:$AI$659,G$2,)/VLOOKUP($E273,$D$6:$AI$659,3,))*$F273</f>
        <v>0</v>
      </c>
      <c r="H273" s="147">
        <f>(VLOOKUP($E273,$D$6:$AI$659,H$2,)/VLOOKUP($E273,$D$6:$AI$659,3,))*$F273</f>
        <v>0</v>
      </c>
      <c r="I273" s="147">
        <f>(VLOOKUP($E273,$D$6:$AI$659,I$2,)/VLOOKUP($E273,$D$6:$AI$659,3,))*$F273</f>
        <v>0</v>
      </c>
      <c r="J273" s="147">
        <f>(VLOOKUP($E273,$D$6:$AI$659,J$2,)/VLOOKUP($E273,$D$6:$AI$659,3,))*$F273</f>
        <v>0</v>
      </c>
      <c r="K273" s="147">
        <f>(VLOOKUP($E273,$D$6:$AI$659,8,)/VLOOKUP($E273,$D$6:$AI$659,3,))*$F273</f>
        <v>0</v>
      </c>
      <c r="L273" s="147">
        <f>(VLOOKUP($E273,$D$6:$AI$659,L$2,)/VLOOKUP($E273,$D$6:$AI$659,3,))*$F273</f>
        <v>0</v>
      </c>
      <c r="M273" s="147">
        <f>(VLOOKUP($E273,$D$6:$AI$659,M$2,)/VLOOKUP($E273,$D$6:$AI$659,3,))*$F273</f>
        <v>0</v>
      </c>
      <c r="N273" s="147">
        <f>(VLOOKUP($E273,$D$6:$AI$659,11,)/VLOOKUP($E273,$D$6:$AI$659,3,))*$F273</f>
        <v>0</v>
      </c>
      <c r="O273" s="147">
        <f>(VLOOKUP($E273,$D$6:$AI$659,O$2,)/VLOOKUP($E273,$D$6:$AI$659,3,))*$F273</f>
        <v>0</v>
      </c>
      <c r="P273" s="147">
        <f>(VLOOKUP($E273,$D$6:$AI$659,P$2,)/VLOOKUP($E273,$D$6:$AI$659,3,))*$F273</f>
        <v>0</v>
      </c>
      <c r="Q273" s="147">
        <f>(VLOOKUP($E273,$D$6:$AI$659,Q$2,)/VLOOKUP($E273,$D$6:$AI$659,3,))*$F273</f>
        <v>0</v>
      </c>
      <c r="R273" s="147">
        <f>(VLOOKUP($E273,$D$6:$AI$659,15,)/VLOOKUP($E273,$D$6:$AI$659,3,))*$F273</f>
        <v>0</v>
      </c>
      <c r="S273" s="147">
        <f>(VLOOKUP($E273,$D$6:$AI$659,16,)/VLOOKUP($E273,$D$6:$AI$659,3,))*$F273</f>
        <v>0</v>
      </c>
      <c r="T273" s="147">
        <f>(VLOOKUP($E273,$D$6:$AI$659,17,)/VLOOKUP($E273,$D$6:$AI$659,3,))*$F273</f>
        <v>0</v>
      </c>
      <c r="U273" s="148">
        <f>SUM(G273:M273)</f>
        <v>0</v>
      </c>
      <c r="V273" s="133" t="str">
        <f>IF(ABS(F273-U273)&lt;0.01,"ok","err")</f>
        <v>ok</v>
      </c>
    </row>
    <row r="274" spans="1:24" x14ac:dyDescent="0.25">
      <c r="F274" s="15"/>
      <c r="U274" s="148"/>
    </row>
    <row r="275" spans="1:24" x14ac:dyDescent="0.25">
      <c r="A275" s="134" t="s">
        <v>12</v>
      </c>
      <c r="F275" s="15"/>
      <c r="U275" s="148"/>
    </row>
    <row r="276" spans="1:24" x14ac:dyDescent="0.25">
      <c r="A276" s="146" t="s">
        <v>208</v>
      </c>
      <c r="C276" s="150" t="s">
        <v>730</v>
      </c>
      <c r="D276" s="140" t="s">
        <v>278</v>
      </c>
      <c r="E276" s="140" t="s">
        <v>322</v>
      </c>
      <c r="F276" s="147">
        <f>VLOOKUP(C276,'Functional Assignment'!$C$1:$AR$730,19,)</f>
        <v>0</v>
      </c>
      <c r="G276" s="147">
        <f>(VLOOKUP($E276,$D$6:$AI$659,G$2,)/VLOOKUP($E276,$D$6:$AI$659,3,))*$F276</f>
        <v>0</v>
      </c>
      <c r="H276" s="147">
        <f>(VLOOKUP($E276,$D$6:$AI$659,H$2,)/VLOOKUP($E276,$D$6:$AI$659,3,))*$F276</f>
        <v>0</v>
      </c>
      <c r="I276" s="147">
        <f>(VLOOKUP($E276,$D$6:$AI$659,I$2,)/VLOOKUP($E276,$D$6:$AI$659,3,))*$F276</f>
        <v>0</v>
      </c>
      <c r="J276" s="147">
        <f>(VLOOKUP($E276,$D$6:$AI$659,J$2,)/VLOOKUP($E276,$D$6:$AI$659,3,))*$F276</f>
        <v>0</v>
      </c>
      <c r="K276" s="147">
        <f>(VLOOKUP($E276,$D$6:$AI$659,8,)/VLOOKUP($E276,$D$6:$AI$659,3,))*$F276</f>
        <v>0</v>
      </c>
      <c r="L276" s="147">
        <f>(VLOOKUP($E276,$D$6:$AI$659,L$2,)/VLOOKUP($E276,$D$6:$AI$659,3,))*$F276</f>
        <v>0</v>
      </c>
      <c r="M276" s="147">
        <f>(VLOOKUP($E276,$D$6:$AI$659,M$2,)/VLOOKUP($E276,$D$6:$AI$659,3,))*$F276</f>
        <v>0</v>
      </c>
      <c r="N276" s="147">
        <f>(VLOOKUP($E276,$D$6:$AI$659,11,)/VLOOKUP($E276,$D$6:$AI$659,3,))*$F276</f>
        <v>0</v>
      </c>
      <c r="O276" s="147">
        <f>(VLOOKUP($E276,$D$6:$AI$659,O$2,)/VLOOKUP($E276,$D$6:$AI$659,3,))*$F276</f>
        <v>0</v>
      </c>
      <c r="P276" s="147">
        <f>(VLOOKUP($E276,$D$6:$AI$659,P$2,)/VLOOKUP($E276,$D$6:$AI$659,3,))*$F276</f>
        <v>0</v>
      </c>
      <c r="Q276" s="147">
        <f>(VLOOKUP($E276,$D$6:$AI$659,Q$2,)/VLOOKUP($E276,$D$6:$AI$659,3,))*$F276</f>
        <v>0</v>
      </c>
      <c r="R276" s="147">
        <f>(VLOOKUP($E276,$D$6:$AI$659,15,)/VLOOKUP($E276,$D$6:$AI$659,3,))*$F276</f>
        <v>0</v>
      </c>
      <c r="S276" s="147">
        <f>(VLOOKUP($E276,$D$6:$AI$659,16,)/VLOOKUP($E276,$D$6:$AI$659,3,))*$F276</f>
        <v>0</v>
      </c>
      <c r="T276" s="147">
        <f>(VLOOKUP($E276,$D$6:$AI$659,17,)/VLOOKUP($E276,$D$6:$AI$659,3,))*$F276</f>
        <v>0</v>
      </c>
      <c r="U276" s="148">
        <f>SUM(G276:M276)</f>
        <v>0</v>
      </c>
      <c r="V276" s="133" t="str">
        <f>IF(ABS(F276-U276)&lt;0.01,"ok","err")</f>
        <v>ok</v>
      </c>
    </row>
    <row r="277" spans="1:24" x14ac:dyDescent="0.25">
      <c r="F277" s="15"/>
      <c r="U277" s="148"/>
    </row>
    <row r="278" spans="1:24" x14ac:dyDescent="0.25">
      <c r="A278" s="134" t="s">
        <v>13</v>
      </c>
      <c r="F278" s="15"/>
      <c r="U278" s="148"/>
    </row>
    <row r="279" spans="1:24" x14ac:dyDescent="0.25">
      <c r="A279" s="146" t="s">
        <v>208</v>
      </c>
      <c r="C279" s="150" t="s">
        <v>730</v>
      </c>
      <c r="D279" s="140" t="s">
        <v>279</v>
      </c>
      <c r="E279" s="140" t="s">
        <v>323</v>
      </c>
      <c r="F279" s="147">
        <f>VLOOKUP(C279,'Functional Assignment'!$C$1:$AR$730,20,)</f>
        <v>0</v>
      </c>
      <c r="G279" s="147">
        <f>(VLOOKUP($E279,$D$6:$AI$659,G$2,)/VLOOKUP($E279,$D$6:$AI$659,3,))*$F279</f>
        <v>0</v>
      </c>
      <c r="H279" s="147">
        <f>(VLOOKUP($E279,$D$6:$AI$659,H$2,)/VLOOKUP($E279,$D$6:$AI$659,3,))*$F279</f>
        <v>0</v>
      </c>
      <c r="I279" s="147">
        <f>(VLOOKUP($E279,$D$6:$AI$659,I$2,)/VLOOKUP($E279,$D$6:$AI$659,3,))*$F279</f>
        <v>0</v>
      </c>
      <c r="J279" s="147">
        <f>(VLOOKUP($E279,$D$6:$AI$659,J$2,)/VLOOKUP($E279,$D$6:$AI$659,3,))*$F279</f>
        <v>0</v>
      </c>
      <c r="K279" s="147">
        <f>(VLOOKUP($E279,$D$6:$AI$659,8,)/VLOOKUP($E279,$D$6:$AI$659,3,))*$F279</f>
        <v>0</v>
      </c>
      <c r="L279" s="147">
        <f>(VLOOKUP($E279,$D$6:$AI$659,L$2,)/VLOOKUP($E279,$D$6:$AI$659,3,))*$F279</f>
        <v>0</v>
      </c>
      <c r="M279" s="147">
        <f>(VLOOKUP($E279,$D$6:$AI$659,M$2,)/VLOOKUP($E279,$D$6:$AI$659,3,))*$F279</f>
        <v>0</v>
      </c>
      <c r="N279" s="147">
        <f>(VLOOKUP($E279,$D$6:$AI$659,11,)/VLOOKUP($E279,$D$6:$AI$659,3,))*$F279</f>
        <v>0</v>
      </c>
      <c r="O279" s="147">
        <f>(VLOOKUP($E279,$D$6:$AI$659,O$2,)/VLOOKUP($E279,$D$6:$AI$659,3,))*$F279</f>
        <v>0</v>
      </c>
      <c r="P279" s="147">
        <f>(VLOOKUP($E279,$D$6:$AI$659,P$2,)/VLOOKUP($E279,$D$6:$AI$659,3,))*$F279</f>
        <v>0</v>
      </c>
      <c r="Q279" s="147">
        <f>(VLOOKUP($E279,$D$6:$AI$659,Q$2,)/VLOOKUP($E279,$D$6:$AI$659,3,))*$F279</f>
        <v>0</v>
      </c>
      <c r="R279" s="147">
        <f>(VLOOKUP($E279,$D$6:$AI$659,15,)/VLOOKUP($E279,$D$6:$AI$659,3,))*$F279</f>
        <v>0</v>
      </c>
      <c r="S279" s="147">
        <f>(VLOOKUP($E279,$D$6:$AI$659,16,)/VLOOKUP($E279,$D$6:$AI$659,3,))*$F279</f>
        <v>0</v>
      </c>
      <c r="T279" s="147">
        <f>(VLOOKUP($E279,$D$6:$AI$659,17,)/VLOOKUP($E279,$D$6:$AI$659,3,))*$F279</f>
        <v>0</v>
      </c>
      <c r="U279" s="148">
        <f>SUM(G279:M279)</f>
        <v>0</v>
      </c>
      <c r="V279" s="133" t="str">
        <f>IF(ABS(F279-U279)&lt;0.01,"ok","err")</f>
        <v>ok</v>
      </c>
    </row>
    <row r="280" spans="1:24" x14ac:dyDescent="0.25">
      <c r="F280" s="15"/>
      <c r="U280" s="148"/>
    </row>
    <row r="281" spans="1:24" x14ac:dyDescent="0.25">
      <c r="A281" s="140" t="s">
        <v>14</v>
      </c>
      <c r="D281" s="140" t="s">
        <v>733</v>
      </c>
      <c r="F281" s="147">
        <f t="shared" ref="F281:T281" si="84">F244+F249+F254+F257+F260+F267+F270+F273+F276+F279</f>
        <v>0</v>
      </c>
      <c r="G281" s="147">
        <f t="shared" si="84"/>
        <v>0</v>
      </c>
      <c r="H281" s="147">
        <f t="shared" si="84"/>
        <v>0</v>
      </c>
      <c r="I281" s="147">
        <f t="shared" si="84"/>
        <v>0</v>
      </c>
      <c r="J281" s="147">
        <f t="shared" si="84"/>
        <v>0</v>
      </c>
      <c r="K281" s="147">
        <f t="shared" si="84"/>
        <v>0</v>
      </c>
      <c r="L281" s="147">
        <f t="shared" si="84"/>
        <v>0</v>
      </c>
      <c r="M281" s="147">
        <f t="shared" si="84"/>
        <v>0</v>
      </c>
      <c r="N281" s="147">
        <f t="shared" si="84"/>
        <v>0</v>
      </c>
      <c r="O281" s="147">
        <f t="shared" si="84"/>
        <v>0</v>
      </c>
      <c r="P281" s="147">
        <f t="shared" si="84"/>
        <v>0</v>
      </c>
      <c r="Q281" s="147">
        <f t="shared" si="84"/>
        <v>0</v>
      </c>
      <c r="R281" s="147">
        <f t="shared" si="84"/>
        <v>0</v>
      </c>
      <c r="S281" s="147">
        <f t="shared" si="84"/>
        <v>0</v>
      </c>
      <c r="T281" s="147">
        <f t="shared" si="84"/>
        <v>0</v>
      </c>
      <c r="U281" s="148">
        <f>SUM(G281:M281)</f>
        <v>0</v>
      </c>
      <c r="V281" s="133" t="str">
        <f>IF(ABS(F281-U281)&lt;0.01,"ok","err")</f>
        <v>ok</v>
      </c>
      <c r="W281" s="148"/>
      <c r="X281" s="133"/>
    </row>
    <row r="282" spans="1:24" x14ac:dyDescent="0.25"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8"/>
      <c r="V282" s="133"/>
    </row>
    <row r="283" spans="1:24" x14ac:dyDescent="0.25">
      <c r="A283" s="145" t="s">
        <v>734</v>
      </c>
      <c r="U283" s="148"/>
    </row>
    <row r="284" spans="1:24" x14ac:dyDescent="0.25">
      <c r="U284" s="148"/>
    </row>
    <row r="285" spans="1:24" x14ac:dyDescent="0.25">
      <c r="A285" s="134" t="s">
        <v>455</v>
      </c>
      <c r="U285" s="148"/>
    </row>
    <row r="286" spans="1:24" x14ac:dyDescent="0.25">
      <c r="A286" s="146" t="s">
        <v>207</v>
      </c>
      <c r="C286" s="150" t="s">
        <v>731</v>
      </c>
      <c r="D286" s="140" t="s">
        <v>280</v>
      </c>
      <c r="E286" s="140" t="s">
        <v>310</v>
      </c>
      <c r="F286" s="147">
        <f>VLOOKUP(C286,'Functional Assignment'!$C$1:$AR$730,5,)</f>
        <v>0</v>
      </c>
      <c r="G286" s="147">
        <f t="shared" ref="G286:J287" si="85">(VLOOKUP($E286,$D$6:$AI$659,G$2,)/VLOOKUP($E286,$D$6:$AI$659,3,))*$F286</f>
        <v>0</v>
      </c>
      <c r="H286" s="147">
        <f t="shared" si="85"/>
        <v>0</v>
      </c>
      <c r="I286" s="147">
        <f t="shared" si="85"/>
        <v>0</v>
      </c>
      <c r="J286" s="147">
        <f t="shared" si="85"/>
        <v>0</v>
      </c>
      <c r="K286" s="147">
        <f>(VLOOKUP($E286,$D$6:$AI$659,8,)/VLOOKUP($E286,$D$6:$AI$659,3,))*$F286</f>
        <v>0</v>
      </c>
      <c r="L286" s="147">
        <f>(VLOOKUP($E286,$D$6:$AI$659,L$2,)/VLOOKUP($E286,$D$6:$AI$659,3,))*$F286</f>
        <v>0</v>
      </c>
      <c r="M286" s="147">
        <f>(VLOOKUP($E286,$D$6:$AI$659,M$2,)/VLOOKUP($E286,$D$6:$AI$659,3,))*$F286</f>
        <v>0</v>
      </c>
      <c r="N286" s="147">
        <f>(VLOOKUP($E286,$D$6:$AI$659,11,)/VLOOKUP($E286,$D$6:$AI$659,3,))*$F286</f>
        <v>0</v>
      </c>
      <c r="O286" s="147">
        <f t="shared" ref="O286:Q287" si="86">(VLOOKUP($E286,$D$6:$AI$659,O$2,)/VLOOKUP($E286,$D$6:$AI$659,3,))*$F286</f>
        <v>0</v>
      </c>
      <c r="P286" s="147">
        <f t="shared" si="86"/>
        <v>0</v>
      </c>
      <c r="Q286" s="147">
        <f t="shared" si="86"/>
        <v>0</v>
      </c>
      <c r="R286" s="147">
        <f>(VLOOKUP($E286,$D$6:$AI$659,15,)/VLOOKUP($E286,$D$6:$AI$659,3,))*$F286</f>
        <v>0</v>
      </c>
      <c r="S286" s="147">
        <f>(VLOOKUP($E286,$D$6:$AI$659,16,)/VLOOKUP($E286,$D$6:$AI$659,3,))*$F286</f>
        <v>0</v>
      </c>
      <c r="T286" s="147">
        <f>(VLOOKUP($E286,$D$6:$AI$659,17,)/VLOOKUP($E286,$D$6:$AI$659,3,))*$F286</f>
        <v>0</v>
      </c>
      <c r="U286" s="148">
        <f>SUM(G286:M286)</f>
        <v>0</v>
      </c>
      <c r="V286" s="133" t="str">
        <f>IF(ABS(F286-U286)&lt;0.01,"ok","err")</f>
        <v>ok</v>
      </c>
    </row>
    <row r="287" spans="1:24" x14ac:dyDescent="0.25">
      <c r="A287" s="146" t="s">
        <v>226</v>
      </c>
      <c r="C287" s="150" t="s">
        <v>731</v>
      </c>
      <c r="D287" s="140" t="s">
        <v>268</v>
      </c>
      <c r="E287" s="140" t="s">
        <v>311</v>
      </c>
      <c r="F287" s="15">
        <f>VLOOKUP(C287,'Functional Assignment'!$C$1:$AR$730,6,)</f>
        <v>0</v>
      </c>
      <c r="G287" s="15">
        <f t="shared" si="85"/>
        <v>0</v>
      </c>
      <c r="H287" s="15">
        <f t="shared" si="85"/>
        <v>0</v>
      </c>
      <c r="I287" s="15">
        <f t="shared" si="85"/>
        <v>0</v>
      </c>
      <c r="J287" s="15">
        <f t="shared" si="85"/>
        <v>0</v>
      </c>
      <c r="K287" s="15">
        <f>(VLOOKUP($E287,$D$6:$AI$659,8,)/VLOOKUP($E287,$D$6:$AI$659,3,))*$F287</f>
        <v>0</v>
      </c>
      <c r="L287" s="15">
        <f>(VLOOKUP($E287,$D$6:$AI$659,L$2,)/VLOOKUP($E287,$D$6:$AI$659,3,))*$F287</f>
        <v>0</v>
      </c>
      <c r="M287" s="15">
        <f>(VLOOKUP($E287,$D$6:$AI$659,M$2,)/VLOOKUP($E287,$D$6:$AI$659,3,))*$F287</f>
        <v>0</v>
      </c>
      <c r="N287" s="15">
        <f>(VLOOKUP($E287,$D$6:$AI$659,11,)/VLOOKUP($E287,$D$6:$AI$659,3,))*$F287</f>
        <v>0</v>
      </c>
      <c r="O287" s="15">
        <f t="shared" si="86"/>
        <v>0</v>
      </c>
      <c r="P287" s="15">
        <f t="shared" si="86"/>
        <v>0</v>
      </c>
      <c r="Q287" s="15">
        <f t="shared" si="86"/>
        <v>0</v>
      </c>
      <c r="R287" s="15">
        <f>(VLOOKUP($E287,$D$6:$AI$659,15,)/VLOOKUP($E287,$D$6:$AI$659,3,))*$F287</f>
        <v>0</v>
      </c>
      <c r="S287" s="15">
        <f>(VLOOKUP($E287,$D$6:$AI$659,16,)/VLOOKUP($E287,$D$6:$AI$659,3,))*$F287</f>
        <v>0</v>
      </c>
      <c r="T287" s="15">
        <f>(VLOOKUP($E287,$D$6:$AI$659,17,)/VLOOKUP($E287,$D$6:$AI$659,3,))*$F287</f>
        <v>0</v>
      </c>
      <c r="U287" s="148">
        <f>SUM(G287:M287)</f>
        <v>0</v>
      </c>
      <c r="V287" s="133" t="str">
        <f>IF(ABS(F287-U287)&lt;0.01,"ok","err")</f>
        <v>ok</v>
      </c>
    </row>
    <row r="288" spans="1:24" x14ac:dyDescent="0.25">
      <c r="A288" s="140" t="s">
        <v>658</v>
      </c>
      <c r="D288" s="140" t="s">
        <v>338</v>
      </c>
      <c r="F288" s="147">
        <f t="shared" ref="F288:T288" si="87">F286+F287</f>
        <v>0</v>
      </c>
      <c r="G288" s="147">
        <f t="shared" si="87"/>
        <v>0</v>
      </c>
      <c r="H288" s="147">
        <f t="shared" si="87"/>
        <v>0</v>
      </c>
      <c r="I288" s="147">
        <f t="shared" si="87"/>
        <v>0</v>
      </c>
      <c r="J288" s="147">
        <f t="shared" si="87"/>
        <v>0</v>
      </c>
      <c r="K288" s="147">
        <f t="shared" si="87"/>
        <v>0</v>
      </c>
      <c r="L288" s="147">
        <f t="shared" si="87"/>
        <v>0</v>
      </c>
      <c r="M288" s="147">
        <f t="shared" si="87"/>
        <v>0</v>
      </c>
      <c r="N288" s="147">
        <f t="shared" si="87"/>
        <v>0</v>
      </c>
      <c r="O288" s="147">
        <f t="shared" si="87"/>
        <v>0</v>
      </c>
      <c r="P288" s="147">
        <f t="shared" si="87"/>
        <v>0</v>
      </c>
      <c r="Q288" s="147">
        <f t="shared" si="87"/>
        <v>0</v>
      </c>
      <c r="R288" s="147">
        <f t="shared" si="87"/>
        <v>0</v>
      </c>
      <c r="S288" s="147">
        <f t="shared" si="87"/>
        <v>0</v>
      </c>
      <c r="T288" s="147">
        <f t="shared" si="87"/>
        <v>0</v>
      </c>
      <c r="U288" s="148">
        <f>SUM(G288:M288)</f>
        <v>0</v>
      </c>
      <c r="V288" s="133" t="str">
        <f>IF(ABS(F288-U288)&lt;0.01,"ok","err")</f>
        <v>ok</v>
      </c>
    </row>
    <row r="289" spans="1:22" x14ac:dyDescent="0.25">
      <c r="F289" s="15"/>
      <c r="G289" s="15"/>
      <c r="U289" s="148"/>
    </row>
    <row r="290" spans="1:22" x14ac:dyDescent="0.25">
      <c r="A290" s="134" t="s">
        <v>3</v>
      </c>
      <c r="F290" s="15"/>
      <c r="G290" s="15"/>
      <c r="U290" s="148"/>
    </row>
    <row r="291" spans="1:22" x14ac:dyDescent="0.25">
      <c r="A291" s="146" t="s">
        <v>207</v>
      </c>
      <c r="C291" s="150" t="s">
        <v>731</v>
      </c>
      <c r="D291" s="140" t="s">
        <v>269</v>
      </c>
      <c r="E291" s="140" t="s">
        <v>312</v>
      </c>
      <c r="F291" s="147">
        <f>VLOOKUP(C291,'Functional Assignment'!$C$1:$AR$730,7,)</f>
        <v>0</v>
      </c>
      <c r="G291" s="147">
        <f t="shared" ref="G291:J292" si="88">(VLOOKUP($E291,$D$6:$AI$659,G$2,)/VLOOKUP($E291,$D$6:$AI$659,3,))*$F291</f>
        <v>0</v>
      </c>
      <c r="H291" s="147">
        <f t="shared" si="88"/>
        <v>0</v>
      </c>
      <c r="I291" s="147">
        <f t="shared" si="88"/>
        <v>0</v>
      </c>
      <c r="J291" s="147">
        <f t="shared" si="88"/>
        <v>0</v>
      </c>
      <c r="K291" s="147">
        <f>(VLOOKUP($E291,$D$6:$AI$659,8,)/VLOOKUP($E291,$D$6:$AI$659,3,))*$F291</f>
        <v>0</v>
      </c>
      <c r="L291" s="147">
        <f>(VLOOKUP($E291,$D$6:$AI$659,L$2,)/VLOOKUP($E291,$D$6:$AI$659,3,))*$F291</f>
        <v>0</v>
      </c>
      <c r="M291" s="147">
        <f>(VLOOKUP($E291,$D$6:$AI$659,M$2,)/VLOOKUP($E291,$D$6:$AI$659,3,))*$F291</f>
        <v>0</v>
      </c>
      <c r="N291" s="147">
        <f>(VLOOKUP($E291,$D$6:$AI$659,11,)/VLOOKUP($E291,$D$6:$AI$659,3,))*$F291</f>
        <v>0</v>
      </c>
      <c r="O291" s="147">
        <f t="shared" ref="O291:Q292" si="89">(VLOOKUP($E291,$D$6:$AI$659,O$2,)/VLOOKUP($E291,$D$6:$AI$659,3,))*$F291</f>
        <v>0</v>
      </c>
      <c r="P291" s="147">
        <f t="shared" si="89"/>
        <v>0</v>
      </c>
      <c r="Q291" s="147">
        <f t="shared" si="89"/>
        <v>0</v>
      </c>
      <c r="R291" s="147">
        <f>(VLOOKUP($E291,$D$6:$AI$659,15,)/VLOOKUP($E291,$D$6:$AI$659,3,))*$F291</f>
        <v>0</v>
      </c>
      <c r="S291" s="147">
        <f>(VLOOKUP($E291,$D$6:$AI$659,16,)/VLOOKUP($E291,$D$6:$AI$659,3,))*$F291</f>
        <v>0</v>
      </c>
      <c r="T291" s="147">
        <f>(VLOOKUP($E291,$D$6:$AI$659,17,)/VLOOKUP($E291,$D$6:$AI$659,3,))*$F291</f>
        <v>0</v>
      </c>
      <c r="U291" s="148">
        <f>SUM(G291:M291)</f>
        <v>0</v>
      </c>
      <c r="V291" s="133" t="str">
        <f>IF(ABS(F291-U291)&lt;0.01,"ok","err")</f>
        <v>ok</v>
      </c>
    </row>
    <row r="292" spans="1:22" x14ac:dyDescent="0.25">
      <c r="A292" s="140" t="s">
        <v>226</v>
      </c>
      <c r="C292" s="150" t="s">
        <v>731</v>
      </c>
      <c r="D292" s="140" t="s">
        <v>270</v>
      </c>
      <c r="E292" s="140" t="s">
        <v>313</v>
      </c>
      <c r="F292" s="15">
        <f>VLOOKUP(C292,'Functional Assignment'!$C$1:$AR$730,8,)</f>
        <v>0</v>
      </c>
      <c r="G292" s="15">
        <f t="shared" si="88"/>
        <v>0</v>
      </c>
      <c r="H292" s="15">
        <f t="shared" si="88"/>
        <v>0</v>
      </c>
      <c r="I292" s="15">
        <f t="shared" si="88"/>
        <v>0</v>
      </c>
      <c r="J292" s="15">
        <f t="shared" si="88"/>
        <v>0</v>
      </c>
      <c r="K292" s="15">
        <f>(VLOOKUP($E292,$D$6:$AI$659,8,)/VLOOKUP($E292,$D$6:$AI$659,3,))*$F292</f>
        <v>0</v>
      </c>
      <c r="L292" s="15">
        <f>(VLOOKUP($E292,$D$6:$AI$659,L$2,)/VLOOKUP($E292,$D$6:$AI$659,3,))*$F292</f>
        <v>0</v>
      </c>
      <c r="M292" s="15">
        <f>(VLOOKUP($E292,$D$6:$AI$659,M$2,)/VLOOKUP($E292,$D$6:$AI$659,3,))*$F292</f>
        <v>0</v>
      </c>
      <c r="N292" s="15">
        <f>(VLOOKUP($E292,$D$6:$AI$659,11,)/VLOOKUP($E292,$D$6:$AI$659,3,))*$F292</f>
        <v>0</v>
      </c>
      <c r="O292" s="15">
        <f t="shared" si="89"/>
        <v>0</v>
      </c>
      <c r="P292" s="15">
        <f t="shared" si="89"/>
        <v>0</v>
      </c>
      <c r="Q292" s="15">
        <f t="shared" si="89"/>
        <v>0</v>
      </c>
      <c r="R292" s="15">
        <f>(VLOOKUP($E292,$D$6:$AI$659,15,)/VLOOKUP($E292,$D$6:$AI$659,3,))*$F292</f>
        <v>0</v>
      </c>
      <c r="S292" s="15">
        <f>(VLOOKUP($E292,$D$6:$AI$659,16,)/VLOOKUP($E292,$D$6:$AI$659,3,))*$F292</f>
        <v>0</v>
      </c>
      <c r="T292" s="15">
        <f>(VLOOKUP($E292,$D$6:$AI$659,17,)/VLOOKUP($E292,$D$6:$AI$659,3,))*$F292</f>
        <v>0</v>
      </c>
      <c r="U292" s="148">
        <f>SUM(G292:M292)</f>
        <v>0</v>
      </c>
      <c r="V292" s="133" t="str">
        <f>IF(ABS(F292-U292)&lt;0.01,"ok","err")</f>
        <v>ok</v>
      </c>
    </row>
    <row r="293" spans="1:22" x14ac:dyDescent="0.25">
      <c r="A293" s="140" t="s">
        <v>227</v>
      </c>
      <c r="D293" s="140" t="s">
        <v>339</v>
      </c>
      <c r="F293" s="147">
        <f>SUM(F291:F292)</f>
        <v>0</v>
      </c>
      <c r="G293" s="147">
        <f t="shared" ref="G293:T293" si="90">G291+G292</f>
        <v>0</v>
      </c>
      <c r="H293" s="147">
        <f t="shared" si="90"/>
        <v>0</v>
      </c>
      <c r="I293" s="147">
        <f t="shared" si="90"/>
        <v>0</v>
      </c>
      <c r="J293" s="147">
        <f t="shared" si="90"/>
        <v>0</v>
      </c>
      <c r="K293" s="147">
        <f t="shared" si="90"/>
        <v>0</v>
      </c>
      <c r="L293" s="147">
        <f t="shared" si="90"/>
        <v>0</v>
      </c>
      <c r="M293" s="147">
        <f t="shared" si="90"/>
        <v>0</v>
      </c>
      <c r="N293" s="147">
        <f t="shared" si="90"/>
        <v>0</v>
      </c>
      <c r="O293" s="147">
        <f t="shared" si="90"/>
        <v>0</v>
      </c>
      <c r="P293" s="147">
        <f t="shared" si="90"/>
        <v>0</v>
      </c>
      <c r="Q293" s="147">
        <f t="shared" si="90"/>
        <v>0</v>
      </c>
      <c r="R293" s="147">
        <f t="shared" si="90"/>
        <v>0</v>
      </c>
      <c r="S293" s="147">
        <f t="shared" si="90"/>
        <v>0</v>
      </c>
      <c r="T293" s="147">
        <f t="shared" si="90"/>
        <v>0</v>
      </c>
      <c r="U293" s="148">
        <f>SUM(G293:M293)</f>
        <v>0</v>
      </c>
      <c r="V293" s="133" t="str">
        <f>IF(ABS(F293-U293)&lt;0.01,"ok","err")</f>
        <v>ok</v>
      </c>
    </row>
    <row r="294" spans="1:22" x14ac:dyDescent="0.25">
      <c r="F294" s="15"/>
      <c r="G294" s="15"/>
      <c r="U294" s="148"/>
    </row>
    <row r="295" spans="1:22" x14ac:dyDescent="0.25">
      <c r="A295" s="134" t="s">
        <v>4</v>
      </c>
      <c r="F295" s="15"/>
      <c r="G295" s="15"/>
      <c r="U295" s="148"/>
    </row>
    <row r="296" spans="1:22" x14ac:dyDescent="0.25">
      <c r="A296" s="146" t="s">
        <v>870</v>
      </c>
      <c r="C296" s="150" t="s">
        <v>731</v>
      </c>
      <c r="D296" s="140" t="s">
        <v>271</v>
      </c>
      <c r="E296" s="140" t="s">
        <v>317</v>
      </c>
      <c r="F296" s="147">
        <f>VLOOKUP(C296,'Functional Assignment'!$C$1:$AR$730,9,)</f>
        <v>0</v>
      </c>
      <c r="G296" s="147">
        <f t="shared" ref="G296:J297" si="91">(VLOOKUP($E296,$D$6:$AI$659,G$2,)/VLOOKUP($E296,$D$6:$AI$659,3,))*$F296</f>
        <v>0</v>
      </c>
      <c r="H296" s="147">
        <f t="shared" si="91"/>
        <v>0</v>
      </c>
      <c r="I296" s="147">
        <f t="shared" si="91"/>
        <v>0</v>
      </c>
      <c r="J296" s="147">
        <f t="shared" si="91"/>
        <v>0</v>
      </c>
      <c r="K296" s="147">
        <f>(VLOOKUP($E296,$D$6:$AI$659,8,)/VLOOKUP($E296,$D$6:$AI$659,3,))*$F296</f>
        <v>0</v>
      </c>
      <c r="L296" s="147">
        <f>(VLOOKUP($E296,$D$6:$AI$659,L$2,)/VLOOKUP($E296,$D$6:$AI$659,3,))*$F296</f>
        <v>0</v>
      </c>
      <c r="M296" s="147">
        <f>(VLOOKUP($E296,$D$6:$AI$659,M$2,)/VLOOKUP($E296,$D$6:$AI$659,3,))*$F296</f>
        <v>0</v>
      </c>
      <c r="N296" s="147">
        <f>(VLOOKUP($E296,$D$6:$AI$659,11,)/VLOOKUP($E296,$D$6:$AI$659,3,))*$F296</f>
        <v>0</v>
      </c>
      <c r="O296" s="147">
        <f t="shared" ref="O296:Q297" si="92">(VLOOKUP($E296,$D$6:$AI$659,O$2,)/VLOOKUP($E296,$D$6:$AI$659,3,))*$F296</f>
        <v>0</v>
      </c>
      <c r="P296" s="147">
        <f t="shared" si="92"/>
        <v>0</v>
      </c>
      <c r="Q296" s="147">
        <f t="shared" si="92"/>
        <v>0</v>
      </c>
      <c r="R296" s="147">
        <f>(VLOOKUP($E296,$D$6:$AI$659,15,)/VLOOKUP($E296,$D$6:$AI$659,3,))*$F296</f>
        <v>0</v>
      </c>
      <c r="S296" s="147">
        <f>(VLOOKUP($E296,$D$6:$AI$659,16,)/VLOOKUP($E296,$D$6:$AI$659,3,))*$F296</f>
        <v>0</v>
      </c>
      <c r="T296" s="147">
        <f>(VLOOKUP($E296,$D$6:$AI$659,17,)/VLOOKUP($E296,$D$6:$AI$659,3,))*$F296</f>
        <v>0</v>
      </c>
      <c r="U296" s="148">
        <f>SUM(G296:M296)</f>
        <v>0</v>
      </c>
      <c r="V296" s="133" t="str">
        <f>IF(ABS(F296-U296)&lt;0.01,"ok","err")</f>
        <v>ok</v>
      </c>
    </row>
    <row r="297" spans="1:22" x14ac:dyDescent="0.25">
      <c r="A297" s="140" t="s">
        <v>865</v>
      </c>
      <c r="C297" s="150" t="s">
        <v>731</v>
      </c>
      <c r="D297" s="140" t="s">
        <v>272</v>
      </c>
      <c r="E297" s="140" t="s">
        <v>314</v>
      </c>
      <c r="F297" s="15">
        <f>VLOOKUP(C297,'Functional Assignment'!$C$1:$AR$730,10,)</f>
        <v>0</v>
      </c>
      <c r="G297" s="15">
        <f t="shared" si="91"/>
        <v>0</v>
      </c>
      <c r="H297" s="15">
        <f t="shared" si="91"/>
        <v>0</v>
      </c>
      <c r="I297" s="15">
        <f t="shared" si="91"/>
        <v>0</v>
      </c>
      <c r="J297" s="15">
        <f t="shared" si="91"/>
        <v>0</v>
      </c>
      <c r="K297" s="15">
        <f>(VLOOKUP($E297,$D$6:$AI$659,8,)/VLOOKUP($E297,$D$6:$AI$659,3,))*$F297</f>
        <v>0</v>
      </c>
      <c r="L297" s="15">
        <f>(VLOOKUP($E297,$D$6:$AI$659,L$2,)/VLOOKUP($E297,$D$6:$AI$659,3,))*$F297</f>
        <v>0</v>
      </c>
      <c r="M297" s="15">
        <f>(VLOOKUP($E297,$D$6:$AI$659,M$2,)/VLOOKUP($E297,$D$6:$AI$659,3,))*$F297</f>
        <v>0</v>
      </c>
      <c r="N297" s="15">
        <f>(VLOOKUP($E297,$D$6:$AI$659,11,)/VLOOKUP($E297,$D$6:$AI$659,3,))*$F297</f>
        <v>0</v>
      </c>
      <c r="O297" s="15">
        <f t="shared" si="92"/>
        <v>0</v>
      </c>
      <c r="P297" s="15">
        <f t="shared" si="92"/>
        <v>0</v>
      </c>
      <c r="Q297" s="15">
        <f t="shared" si="92"/>
        <v>0</v>
      </c>
      <c r="R297" s="15">
        <f>(VLOOKUP($E297,$D$6:$AI$659,15,)/VLOOKUP($E297,$D$6:$AI$659,3,))*$F297</f>
        <v>0</v>
      </c>
      <c r="S297" s="15">
        <f>(VLOOKUP($E297,$D$6:$AI$659,16,)/VLOOKUP($E297,$D$6:$AI$659,3,))*$F297</f>
        <v>0</v>
      </c>
      <c r="T297" s="15">
        <f>(VLOOKUP($E297,$D$6:$AI$659,17,)/VLOOKUP($E297,$D$6:$AI$659,3,))*$F297</f>
        <v>0</v>
      </c>
      <c r="U297" s="148">
        <f>SUM(G297:M297)</f>
        <v>0</v>
      </c>
      <c r="V297" s="133" t="str">
        <f>IF(ABS(F297-U297)&lt;0.01,"ok","err")</f>
        <v>ok</v>
      </c>
    </row>
    <row r="298" spans="1:22" x14ac:dyDescent="0.25">
      <c r="A298" s="140" t="s">
        <v>228</v>
      </c>
      <c r="D298" s="140" t="s">
        <v>340</v>
      </c>
      <c r="F298" s="147">
        <f>SUM(F296:F297)</f>
        <v>0</v>
      </c>
      <c r="G298" s="147">
        <f t="shared" ref="G298:T298" si="93">G296+G297</f>
        <v>0</v>
      </c>
      <c r="H298" s="147">
        <f t="shared" si="93"/>
        <v>0</v>
      </c>
      <c r="I298" s="147">
        <f t="shared" si="93"/>
        <v>0</v>
      </c>
      <c r="J298" s="147">
        <f t="shared" si="93"/>
        <v>0</v>
      </c>
      <c r="K298" s="147">
        <f t="shared" si="93"/>
        <v>0</v>
      </c>
      <c r="L298" s="147">
        <f t="shared" si="93"/>
        <v>0</v>
      </c>
      <c r="M298" s="147">
        <f t="shared" si="93"/>
        <v>0</v>
      </c>
      <c r="N298" s="147">
        <f t="shared" si="93"/>
        <v>0</v>
      </c>
      <c r="O298" s="147">
        <f t="shared" si="93"/>
        <v>0</v>
      </c>
      <c r="P298" s="147">
        <f t="shared" si="93"/>
        <v>0</v>
      </c>
      <c r="Q298" s="147">
        <f t="shared" si="93"/>
        <v>0</v>
      </c>
      <c r="R298" s="147">
        <f t="shared" si="93"/>
        <v>0</v>
      </c>
      <c r="S298" s="147">
        <f t="shared" si="93"/>
        <v>0</v>
      </c>
      <c r="T298" s="147">
        <f t="shared" si="93"/>
        <v>0</v>
      </c>
      <c r="U298" s="148">
        <f>SUM(G298:M298)</f>
        <v>0</v>
      </c>
      <c r="V298" s="133" t="str">
        <f>IF(ABS(F298-U298)&lt;0.01,"ok","err")</f>
        <v>ok</v>
      </c>
    </row>
    <row r="299" spans="1:22" x14ac:dyDescent="0.25">
      <c r="F299" s="15"/>
      <c r="U299" s="148"/>
    </row>
    <row r="300" spans="1:22" x14ac:dyDescent="0.25">
      <c r="A300" s="134" t="s">
        <v>6</v>
      </c>
      <c r="F300" s="15"/>
      <c r="U300" s="148"/>
    </row>
    <row r="301" spans="1:22" x14ac:dyDescent="0.25">
      <c r="A301" s="140" t="s">
        <v>226</v>
      </c>
      <c r="C301" s="150" t="s">
        <v>731</v>
      </c>
      <c r="D301" s="140" t="s">
        <v>273</v>
      </c>
      <c r="E301" s="140" t="s">
        <v>316</v>
      </c>
      <c r="F301" s="147">
        <f>VLOOKUP(C301,'Functional Assignment'!$C$1:$AR$730,11,)</f>
        <v>0</v>
      </c>
      <c r="G301" s="147">
        <f>(VLOOKUP($E301,$D$6:$AI$659,G$2,)/VLOOKUP($E301,$D$6:$AI$659,3,))*$F301</f>
        <v>0</v>
      </c>
      <c r="H301" s="147">
        <f>(VLOOKUP($E301,$D$6:$AI$659,H$2,)/VLOOKUP($E301,$D$6:$AI$659,3,))*$F301</f>
        <v>0</v>
      </c>
      <c r="I301" s="147">
        <f>(VLOOKUP($E301,$D$6:$AI$659,I$2,)/VLOOKUP($E301,$D$6:$AI$659,3,))*$F301</f>
        <v>0</v>
      </c>
      <c r="J301" s="147">
        <f>(VLOOKUP($E301,$D$6:$AI$659,J$2,)/VLOOKUP($E301,$D$6:$AI$659,3,))*$F301</f>
        <v>0</v>
      </c>
      <c r="K301" s="147">
        <f>(VLOOKUP($E301,$D$6:$AI$659,8,)/VLOOKUP($E301,$D$6:$AI$659,3,))*$F301</f>
        <v>0</v>
      </c>
      <c r="L301" s="147">
        <f>(VLOOKUP($E301,$D$6:$AI$659,L$2,)/VLOOKUP($E301,$D$6:$AI$659,3,))*$F301</f>
        <v>0</v>
      </c>
      <c r="M301" s="147">
        <f>(VLOOKUP($E301,$D$6:$AI$659,M$2,)/VLOOKUP($E301,$D$6:$AI$659,3,))*$F301</f>
        <v>0</v>
      </c>
      <c r="N301" s="147">
        <f>(VLOOKUP($E301,$D$6:$AI$659,11,)/VLOOKUP($E301,$D$6:$AI$659,3,))*$F301</f>
        <v>0</v>
      </c>
      <c r="O301" s="147">
        <f>(VLOOKUP($E301,$D$6:$AI$659,O$2,)/VLOOKUP($E301,$D$6:$AI$659,3,))*$F301</f>
        <v>0</v>
      </c>
      <c r="P301" s="147">
        <f>(VLOOKUP($E301,$D$6:$AI$659,P$2,)/VLOOKUP($E301,$D$6:$AI$659,3,))*$F301</f>
        <v>0</v>
      </c>
      <c r="Q301" s="147">
        <f>(VLOOKUP($E301,$D$6:$AI$659,Q$2,)/VLOOKUP($E301,$D$6:$AI$659,3,))*$F301</f>
        <v>0</v>
      </c>
      <c r="R301" s="147">
        <f>(VLOOKUP($E301,$D$6:$AI$659,15,)/VLOOKUP($E301,$D$6:$AI$659,3,))*$F301</f>
        <v>0</v>
      </c>
      <c r="S301" s="147">
        <f>(VLOOKUP($E301,$D$6:$AI$659,16,)/VLOOKUP($E301,$D$6:$AI$659,3,))*$F301</f>
        <v>0</v>
      </c>
      <c r="T301" s="147">
        <f>(VLOOKUP($E301,$D$6:$AI$659,17,)/VLOOKUP($E301,$D$6:$AI$659,3,))*$F301</f>
        <v>0</v>
      </c>
      <c r="U301" s="148">
        <f>SUM(G301:M301)</f>
        <v>0</v>
      </c>
      <c r="V301" s="133" t="str">
        <f>IF(ABS(F301-U301)&lt;0.01,"ok","err")</f>
        <v>ok</v>
      </c>
    </row>
    <row r="302" spans="1:22" x14ac:dyDescent="0.25">
      <c r="A302" s="146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48"/>
      <c r="V302" s="133"/>
    </row>
    <row r="303" spans="1:22" x14ac:dyDescent="0.25">
      <c r="A303" s="134" t="s">
        <v>7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48"/>
      <c r="V303" s="133"/>
    </row>
    <row r="304" spans="1:22" x14ac:dyDescent="0.25">
      <c r="A304" s="146" t="s">
        <v>207</v>
      </c>
      <c r="C304" s="150" t="s">
        <v>731</v>
      </c>
      <c r="D304" s="140" t="s">
        <v>274</v>
      </c>
      <c r="E304" s="140" t="s">
        <v>317</v>
      </c>
      <c r="F304" s="147">
        <f>VLOOKUP(C304,'Functional Assignment'!$C$1:$AR$730,12,)</f>
        <v>0</v>
      </c>
      <c r="G304" s="147">
        <f>(VLOOKUP($E304,$D$6:$AI$659,G$2,)/VLOOKUP($E304,$D$6:$AI$659,3,))*$F304</f>
        <v>0</v>
      </c>
      <c r="H304" s="147">
        <f>(VLOOKUP($E304,$D$6:$AI$659,H$2,)/VLOOKUP($E304,$D$6:$AI$659,3,))*$F304</f>
        <v>0</v>
      </c>
      <c r="I304" s="147">
        <f>(VLOOKUP($E304,$D$6:$AI$659,I$2,)/VLOOKUP($E304,$D$6:$AI$659,3,))*$F304</f>
        <v>0</v>
      </c>
      <c r="J304" s="147">
        <f>(VLOOKUP($E304,$D$6:$AI$659,J$2,)/VLOOKUP($E304,$D$6:$AI$659,3,))*$F304</f>
        <v>0</v>
      </c>
      <c r="K304" s="147">
        <f>(VLOOKUP($E304,$D$6:$AI$659,8,)/VLOOKUP($E304,$D$6:$AI$659,3,))*$F304</f>
        <v>0</v>
      </c>
      <c r="L304" s="147">
        <f>(VLOOKUP($E304,$D$6:$AI$659,L$2,)/VLOOKUP($E304,$D$6:$AI$659,3,))*$F304</f>
        <v>0</v>
      </c>
      <c r="M304" s="147">
        <f>(VLOOKUP($E304,$D$6:$AI$659,M$2,)/VLOOKUP($E304,$D$6:$AI$659,3,))*$F304</f>
        <v>0</v>
      </c>
      <c r="N304" s="147">
        <f>(VLOOKUP($E304,$D$6:$AI$659,11,)/VLOOKUP($E304,$D$6:$AI$659,3,))*$F304</f>
        <v>0</v>
      </c>
      <c r="O304" s="147">
        <f>(VLOOKUP($E304,$D$6:$AI$659,O$2,)/VLOOKUP($E304,$D$6:$AI$659,3,))*$F304</f>
        <v>0</v>
      </c>
      <c r="P304" s="147">
        <f>(VLOOKUP($E304,$D$6:$AI$659,P$2,)/VLOOKUP($E304,$D$6:$AI$659,3,))*$F304</f>
        <v>0</v>
      </c>
      <c r="Q304" s="147">
        <f>(VLOOKUP($E304,$D$6:$AI$659,Q$2,)/VLOOKUP($E304,$D$6:$AI$659,3,))*$F304</f>
        <v>0</v>
      </c>
      <c r="R304" s="147">
        <f>(VLOOKUP($E304,$D$6:$AI$659,15,)/VLOOKUP($E304,$D$6:$AI$659,3,))*$F304</f>
        <v>0</v>
      </c>
      <c r="S304" s="147">
        <f>(VLOOKUP($E304,$D$6:$AI$659,16,)/VLOOKUP($E304,$D$6:$AI$659,3,))*$F304</f>
        <v>0</v>
      </c>
      <c r="T304" s="147">
        <f>(VLOOKUP($E304,$D$6:$AI$659,17,)/VLOOKUP($E304,$D$6:$AI$659,3,))*$F304</f>
        <v>0</v>
      </c>
      <c r="U304" s="148">
        <f>SUM(G304:M304)</f>
        <v>0</v>
      </c>
      <c r="V304" s="133" t="str">
        <f>IF(ABS(F304-U304)&lt;0.01,"ok","err")</f>
        <v>ok</v>
      </c>
    </row>
    <row r="305" spans="1:23" x14ac:dyDescent="0.25">
      <c r="F305" s="15"/>
      <c r="U305" s="148"/>
    </row>
    <row r="306" spans="1:23" x14ac:dyDescent="0.25">
      <c r="A306" s="134" t="s">
        <v>8</v>
      </c>
      <c r="F306" s="15"/>
      <c r="U306" s="148"/>
    </row>
    <row r="307" spans="1:23" x14ac:dyDescent="0.25">
      <c r="A307" s="146" t="s">
        <v>680</v>
      </c>
      <c r="C307" s="150" t="s">
        <v>731</v>
      </c>
      <c r="D307" s="140" t="s">
        <v>275</v>
      </c>
      <c r="E307" s="140" t="s">
        <v>932</v>
      </c>
      <c r="F307" s="147">
        <f>VLOOKUP(C307,'Functional Assignment'!$C$1:$AR$730,13,)</f>
        <v>0</v>
      </c>
      <c r="G307" s="147">
        <f t="shared" ref="G307:J310" si="94">(VLOOKUP($E307,$D$6:$AI$659,G$2,)/VLOOKUP($E307,$D$6:$AI$659,3,))*$F307</f>
        <v>0</v>
      </c>
      <c r="H307" s="147">
        <f t="shared" si="94"/>
        <v>0</v>
      </c>
      <c r="I307" s="147">
        <f t="shared" si="94"/>
        <v>0</v>
      </c>
      <c r="J307" s="147">
        <f t="shared" si="94"/>
        <v>0</v>
      </c>
      <c r="K307" s="147">
        <f>(VLOOKUP($E307,$D$6:$AI$659,8,)/VLOOKUP($E307,$D$6:$AI$659,3,))*$F307</f>
        <v>0</v>
      </c>
      <c r="L307" s="147">
        <f t="shared" ref="L307:M310" si="95">(VLOOKUP($E307,$D$6:$AI$659,L$2,)/VLOOKUP($E307,$D$6:$AI$659,3,))*$F307</f>
        <v>0</v>
      </c>
      <c r="M307" s="147">
        <f t="shared" si="95"/>
        <v>0</v>
      </c>
      <c r="N307" s="147">
        <f>(VLOOKUP($E307,$D$6:$AI$659,11,)/VLOOKUP($E307,$D$6:$AI$659,3,))*$F307</f>
        <v>0</v>
      </c>
      <c r="O307" s="147">
        <f t="shared" ref="O307:Q310" si="96">(VLOOKUP($E307,$D$6:$AI$659,O$2,)/VLOOKUP($E307,$D$6:$AI$659,3,))*$F307</f>
        <v>0</v>
      </c>
      <c r="P307" s="147">
        <f t="shared" si="96"/>
        <v>0</v>
      </c>
      <c r="Q307" s="147">
        <f t="shared" si="96"/>
        <v>0</v>
      </c>
      <c r="R307" s="147">
        <f>(VLOOKUP($E307,$D$6:$AI$659,15,)/VLOOKUP($E307,$D$6:$AI$659,3,))*$F307</f>
        <v>0</v>
      </c>
      <c r="S307" s="147">
        <f>(VLOOKUP($E307,$D$6:$AI$659,16,)/VLOOKUP($E307,$D$6:$AI$659,3,))*$F307</f>
        <v>0</v>
      </c>
      <c r="T307" s="147">
        <f>(VLOOKUP($E307,$D$6:$AI$659,17,)/VLOOKUP($E307,$D$6:$AI$659,3,))*$F307</f>
        <v>0</v>
      </c>
      <c r="U307" s="148">
        <f>SUM(G307:M307)</f>
        <v>0</v>
      </c>
      <c r="V307" s="133" t="str">
        <f>IF(ABS(F307-U307)&lt;0.01,"ok","err")</f>
        <v>ok</v>
      </c>
    </row>
    <row r="308" spans="1:23" x14ac:dyDescent="0.25">
      <c r="A308" s="146" t="s">
        <v>679</v>
      </c>
      <c r="C308" s="150" t="s">
        <v>731</v>
      </c>
      <c r="D308" s="140" t="s">
        <v>276</v>
      </c>
      <c r="E308" s="140" t="s">
        <v>684</v>
      </c>
      <c r="F308" s="15">
        <f>VLOOKUP(C308,'Functional Assignment'!$C$1:$AR$730,14,)</f>
        <v>0</v>
      </c>
      <c r="G308" s="15">
        <f t="shared" si="94"/>
        <v>0</v>
      </c>
      <c r="H308" s="15">
        <f t="shared" si="94"/>
        <v>0</v>
      </c>
      <c r="I308" s="15">
        <f t="shared" si="94"/>
        <v>0</v>
      </c>
      <c r="J308" s="15">
        <f t="shared" si="94"/>
        <v>0</v>
      </c>
      <c r="K308" s="15">
        <f>(VLOOKUP($E308,$D$6:$AI$659,8,)/VLOOKUP($E308,$D$6:$AI$659,3,))*$F308</f>
        <v>0</v>
      </c>
      <c r="L308" s="15">
        <f t="shared" si="95"/>
        <v>0</v>
      </c>
      <c r="M308" s="15">
        <f t="shared" si="95"/>
        <v>0</v>
      </c>
      <c r="N308" s="15">
        <f>(VLOOKUP($E308,$D$6:$AI$659,11,)/VLOOKUP($E308,$D$6:$AI$659,3,))*$F308</f>
        <v>0</v>
      </c>
      <c r="O308" s="15">
        <f t="shared" si="96"/>
        <v>0</v>
      </c>
      <c r="P308" s="15">
        <f t="shared" si="96"/>
        <v>0</v>
      </c>
      <c r="Q308" s="15">
        <f t="shared" si="96"/>
        <v>0</v>
      </c>
      <c r="R308" s="15">
        <f>(VLOOKUP($E308,$D$6:$AI$659,15,)/VLOOKUP($E308,$D$6:$AI$659,3,))*$F308</f>
        <v>0</v>
      </c>
      <c r="S308" s="15">
        <f>(VLOOKUP($E308,$D$6:$AI$659,16,)/VLOOKUP($E308,$D$6:$AI$659,3,))*$F308</f>
        <v>0</v>
      </c>
      <c r="T308" s="15">
        <f>(VLOOKUP($E308,$D$6:$AI$659,17,)/VLOOKUP($E308,$D$6:$AI$659,3,))*$F308</f>
        <v>0</v>
      </c>
      <c r="U308" s="148">
        <f>SUM(G308:M308)</f>
        <v>0</v>
      </c>
      <c r="V308" s="133" t="str">
        <f>IF(ABS(F308-U308)&lt;0.01,"ok","err")</f>
        <v>ok</v>
      </c>
      <c r="W308" s="149"/>
    </row>
    <row r="309" spans="1:23" x14ac:dyDescent="0.25">
      <c r="A309" s="146" t="s">
        <v>681</v>
      </c>
      <c r="C309" s="150" t="s">
        <v>731</v>
      </c>
      <c r="D309" s="140" t="s">
        <v>275</v>
      </c>
      <c r="E309" s="140" t="s">
        <v>931</v>
      </c>
      <c r="F309" s="15">
        <f>VLOOKUP(C309,'Functional Assignment'!$C$1:$AR$730,15,)</f>
        <v>0</v>
      </c>
      <c r="G309" s="15">
        <f t="shared" si="94"/>
        <v>0</v>
      </c>
      <c r="H309" s="15">
        <f t="shared" si="94"/>
        <v>0</v>
      </c>
      <c r="I309" s="15">
        <f t="shared" si="94"/>
        <v>0</v>
      </c>
      <c r="J309" s="15">
        <f t="shared" si="94"/>
        <v>0</v>
      </c>
      <c r="K309" s="15">
        <f>(VLOOKUP($E309,$D$6:$AI$659,8,)/VLOOKUP($E309,$D$6:$AI$659,3,))*$F309</f>
        <v>0</v>
      </c>
      <c r="L309" s="15">
        <f t="shared" si="95"/>
        <v>0</v>
      </c>
      <c r="M309" s="15">
        <f t="shared" si="95"/>
        <v>0</v>
      </c>
      <c r="N309" s="15">
        <f>(VLOOKUP($E309,$D$6:$AI$659,11,)/VLOOKUP($E309,$D$6:$AI$659,3,))*$F309</f>
        <v>0</v>
      </c>
      <c r="O309" s="15">
        <f t="shared" si="96"/>
        <v>0</v>
      </c>
      <c r="P309" s="15">
        <f t="shared" si="96"/>
        <v>0</v>
      </c>
      <c r="Q309" s="15">
        <f t="shared" si="96"/>
        <v>0</v>
      </c>
      <c r="R309" s="15"/>
      <c r="S309" s="15"/>
      <c r="T309" s="15"/>
      <c r="U309" s="148"/>
      <c r="V309" s="133"/>
    </row>
    <row r="310" spans="1:23" x14ac:dyDescent="0.25">
      <c r="A310" s="146" t="s">
        <v>678</v>
      </c>
      <c r="C310" s="150" t="s">
        <v>731</v>
      </c>
      <c r="D310" s="140" t="s">
        <v>276</v>
      </c>
      <c r="E310" s="140" t="s">
        <v>319</v>
      </c>
      <c r="F310" s="15">
        <f>VLOOKUP(C310,'Functional Assignment'!$C$1:$AR$730,16,)</f>
        <v>0</v>
      </c>
      <c r="G310" s="15">
        <f t="shared" si="94"/>
        <v>0</v>
      </c>
      <c r="H310" s="15">
        <f t="shared" si="94"/>
        <v>0</v>
      </c>
      <c r="I310" s="15">
        <f t="shared" si="94"/>
        <v>0</v>
      </c>
      <c r="J310" s="15">
        <f t="shared" si="94"/>
        <v>0</v>
      </c>
      <c r="K310" s="15">
        <f>(VLOOKUP($E310,$D$6:$AI$659,8,)/VLOOKUP($E310,$D$6:$AI$659,3,))*$F310</f>
        <v>0</v>
      </c>
      <c r="L310" s="15">
        <f t="shared" si="95"/>
        <v>0</v>
      </c>
      <c r="M310" s="15">
        <f t="shared" si="95"/>
        <v>0</v>
      </c>
      <c r="N310" s="15">
        <f>(VLOOKUP($E310,$D$6:$AI$659,11,)/VLOOKUP($E310,$D$6:$AI$659,3,))*$F310</f>
        <v>0</v>
      </c>
      <c r="O310" s="15">
        <f t="shared" si="96"/>
        <v>0</v>
      </c>
      <c r="P310" s="15">
        <f t="shared" si="96"/>
        <v>0</v>
      </c>
      <c r="Q310" s="15">
        <f t="shared" si="96"/>
        <v>0</v>
      </c>
      <c r="R310" s="15"/>
      <c r="S310" s="15"/>
      <c r="T310" s="15"/>
      <c r="U310" s="148"/>
      <c r="V310" s="133"/>
    </row>
    <row r="311" spans="1:23" x14ac:dyDescent="0.25">
      <c r="A311" s="140" t="s">
        <v>229</v>
      </c>
      <c r="F311" s="147">
        <f t="shared" ref="F311:Q311" si="97">SUM(F307:F310)</f>
        <v>0</v>
      </c>
      <c r="G311" s="147">
        <f t="shared" si="97"/>
        <v>0</v>
      </c>
      <c r="H311" s="147">
        <f t="shared" si="97"/>
        <v>0</v>
      </c>
      <c r="I311" s="147">
        <f t="shared" si="97"/>
        <v>0</v>
      </c>
      <c r="J311" s="147">
        <f t="shared" si="97"/>
        <v>0</v>
      </c>
      <c r="K311" s="147">
        <f t="shared" si="97"/>
        <v>0</v>
      </c>
      <c r="L311" s="147">
        <f t="shared" si="97"/>
        <v>0</v>
      </c>
      <c r="M311" s="147">
        <f t="shared" si="97"/>
        <v>0</v>
      </c>
      <c r="N311" s="147">
        <f t="shared" si="97"/>
        <v>0</v>
      </c>
      <c r="O311" s="147">
        <f t="shared" si="97"/>
        <v>0</v>
      </c>
      <c r="P311" s="147">
        <f t="shared" si="97"/>
        <v>0</v>
      </c>
      <c r="Q311" s="147">
        <f t="shared" si="97"/>
        <v>0</v>
      </c>
      <c r="R311" s="147">
        <f>R307+R308</f>
        <v>0</v>
      </c>
      <c r="S311" s="147">
        <f>S307+S308</f>
        <v>0</v>
      </c>
      <c r="T311" s="147">
        <f>T307+T308</f>
        <v>0</v>
      </c>
      <c r="U311" s="148">
        <f>SUM(G311:M311)</f>
        <v>0</v>
      </c>
      <c r="V311" s="133" t="str">
        <f>IF(ABS(F311-U311)&lt;0.01,"ok","err")</f>
        <v>ok</v>
      </c>
      <c r="W311" s="149"/>
    </row>
    <row r="312" spans="1:23" x14ac:dyDescent="0.25">
      <c r="F312" s="15"/>
      <c r="U312" s="148"/>
    </row>
    <row r="313" spans="1:23" x14ac:dyDescent="0.25">
      <c r="A313" s="134" t="s">
        <v>10</v>
      </c>
      <c r="F313" s="15"/>
      <c r="U313" s="148"/>
    </row>
    <row r="314" spans="1:23" x14ac:dyDescent="0.25">
      <c r="A314" s="146" t="s">
        <v>208</v>
      </c>
      <c r="C314" s="150" t="s">
        <v>731</v>
      </c>
      <c r="D314" s="140" t="s">
        <v>270</v>
      </c>
      <c r="E314" s="140" t="s">
        <v>320</v>
      </c>
      <c r="F314" s="147">
        <f>VLOOKUP(C314,'Functional Assignment'!$C$1:$AR$730,17,)</f>
        <v>0</v>
      </c>
      <c r="G314" s="147">
        <f>(VLOOKUP($E314,$D$6:$AI$659,G$2,)/VLOOKUP($E314,$D$6:$AI$659,3,))*$F314</f>
        <v>0</v>
      </c>
      <c r="H314" s="147">
        <f>(VLOOKUP($E314,$D$6:$AI$659,H$2,)/VLOOKUP($E314,$D$6:$AI$659,3,))*$F314</f>
        <v>0</v>
      </c>
      <c r="I314" s="147">
        <f>(VLOOKUP($E314,$D$6:$AI$659,I$2,)/VLOOKUP($E314,$D$6:$AI$659,3,))*$F314</f>
        <v>0</v>
      </c>
      <c r="J314" s="147">
        <f>(VLOOKUP($E314,$D$6:$AI$659,J$2,)/VLOOKUP($E314,$D$6:$AI$659,3,))*$F314</f>
        <v>0</v>
      </c>
      <c r="K314" s="147">
        <f>(VLOOKUP($E314,$D$6:$AI$659,8,)/VLOOKUP($E314,$D$6:$AI$659,3,))*$F314</f>
        <v>0</v>
      </c>
      <c r="L314" s="147">
        <f>(VLOOKUP($E314,$D$6:$AI$659,L$2,)/VLOOKUP($E314,$D$6:$AI$659,3,))*$F314</f>
        <v>0</v>
      </c>
      <c r="M314" s="147">
        <f>(VLOOKUP($E314,$D$6:$AI$659,M$2,)/VLOOKUP($E314,$D$6:$AI$659,3,))*$F314</f>
        <v>0</v>
      </c>
      <c r="N314" s="147">
        <f>(VLOOKUP($E314,$D$6:$AI$659,11,)/VLOOKUP($E314,$D$6:$AI$659,3,))*$F314</f>
        <v>0</v>
      </c>
      <c r="O314" s="147">
        <f>(VLOOKUP($E314,$D$6:$AI$659,O$2,)/VLOOKUP($E314,$D$6:$AI$659,3,))*$F314</f>
        <v>0</v>
      </c>
      <c r="P314" s="147">
        <f>(VLOOKUP($E314,$D$6:$AI$659,P$2,)/VLOOKUP($E314,$D$6:$AI$659,3,))*$F314</f>
        <v>0</v>
      </c>
      <c r="Q314" s="147">
        <f>(VLOOKUP($E314,$D$6:$AI$659,Q$2,)/VLOOKUP($E314,$D$6:$AI$659,3,))*$F314</f>
        <v>0</v>
      </c>
      <c r="R314" s="147">
        <f>(VLOOKUP($E314,$D$6:$AI$659,15,)/VLOOKUP($E314,$D$6:$AI$659,3,))*$F314</f>
        <v>0</v>
      </c>
      <c r="S314" s="147">
        <f>(VLOOKUP($E314,$D$6:$AI$659,16,)/VLOOKUP($E314,$D$6:$AI$659,3,))*$F314</f>
        <v>0</v>
      </c>
      <c r="T314" s="147">
        <f>(VLOOKUP($E314,$D$6:$AI$659,17,)/VLOOKUP($E314,$D$6:$AI$659,3,))*$F314</f>
        <v>0</v>
      </c>
      <c r="U314" s="148">
        <f>SUM(G314:M314)</f>
        <v>0</v>
      </c>
      <c r="V314" s="133" t="str">
        <f>IF(ABS(F314-U314)&lt;0.01,"ok","err")</f>
        <v>ok</v>
      </c>
      <c r="W314" s="149"/>
    </row>
    <row r="315" spans="1:23" x14ac:dyDescent="0.25">
      <c r="F315" s="15"/>
      <c r="U315" s="148"/>
    </row>
    <row r="316" spans="1:23" x14ac:dyDescent="0.25">
      <c r="A316" s="134" t="s">
        <v>11</v>
      </c>
      <c r="F316" s="15"/>
      <c r="U316" s="148"/>
    </row>
    <row r="317" spans="1:23" x14ac:dyDescent="0.25">
      <c r="A317" s="146" t="s">
        <v>208</v>
      </c>
      <c r="C317" s="150" t="s">
        <v>731</v>
      </c>
      <c r="D317" s="140" t="s">
        <v>277</v>
      </c>
      <c r="E317" s="140" t="s">
        <v>321</v>
      </c>
      <c r="F317" s="147">
        <f>VLOOKUP(C317,'Functional Assignment'!$C$1:$AR$730,18,)</f>
        <v>0</v>
      </c>
      <c r="G317" s="147">
        <f>(VLOOKUP($E317,$D$6:$AI$659,G$2,)/VLOOKUP($E317,$D$6:$AI$659,3,))*$F317</f>
        <v>0</v>
      </c>
      <c r="H317" s="147">
        <f>(VLOOKUP($E317,$D$6:$AI$659,H$2,)/VLOOKUP($E317,$D$6:$AI$659,3,))*$F317</f>
        <v>0</v>
      </c>
      <c r="I317" s="147">
        <f>(VLOOKUP($E317,$D$6:$AI$659,I$2,)/VLOOKUP($E317,$D$6:$AI$659,3,))*$F317</f>
        <v>0</v>
      </c>
      <c r="J317" s="147">
        <f>(VLOOKUP($E317,$D$6:$AI$659,J$2,)/VLOOKUP($E317,$D$6:$AI$659,3,))*$F317</f>
        <v>0</v>
      </c>
      <c r="K317" s="147">
        <f>(VLOOKUP($E317,$D$6:$AI$659,8,)/VLOOKUP($E317,$D$6:$AI$659,3,))*$F317</f>
        <v>0</v>
      </c>
      <c r="L317" s="147">
        <f>(VLOOKUP($E317,$D$6:$AI$659,L$2,)/VLOOKUP($E317,$D$6:$AI$659,3,))*$F317</f>
        <v>0</v>
      </c>
      <c r="M317" s="147">
        <f>(VLOOKUP($E317,$D$6:$AI$659,M$2,)/VLOOKUP($E317,$D$6:$AI$659,3,))*$F317</f>
        <v>0</v>
      </c>
      <c r="N317" s="147">
        <f>(VLOOKUP($E317,$D$6:$AI$659,11,)/VLOOKUP($E317,$D$6:$AI$659,3,))*$F317</f>
        <v>0</v>
      </c>
      <c r="O317" s="147">
        <f>(VLOOKUP($E317,$D$6:$AI$659,O$2,)/VLOOKUP($E317,$D$6:$AI$659,3,))*$F317</f>
        <v>0</v>
      </c>
      <c r="P317" s="147">
        <f>(VLOOKUP($E317,$D$6:$AI$659,P$2,)/VLOOKUP($E317,$D$6:$AI$659,3,))*$F317</f>
        <v>0</v>
      </c>
      <c r="Q317" s="147">
        <f>(VLOOKUP($E317,$D$6:$AI$659,Q$2,)/VLOOKUP($E317,$D$6:$AI$659,3,))*$F317</f>
        <v>0</v>
      </c>
      <c r="R317" s="147">
        <f>(VLOOKUP($E317,$D$6:$AI$659,15,)/VLOOKUP($E317,$D$6:$AI$659,3,))*$F317</f>
        <v>0</v>
      </c>
      <c r="S317" s="147">
        <f>(VLOOKUP($E317,$D$6:$AI$659,16,)/VLOOKUP($E317,$D$6:$AI$659,3,))*$F317</f>
        <v>0</v>
      </c>
      <c r="T317" s="147">
        <f>(VLOOKUP($E317,$D$6:$AI$659,17,)/VLOOKUP($E317,$D$6:$AI$659,3,))*$F317</f>
        <v>0</v>
      </c>
      <c r="U317" s="148">
        <f>SUM(G317:M317)</f>
        <v>0</v>
      </c>
      <c r="V317" s="133" t="str">
        <f>IF(ABS(F317-U317)&lt;0.01,"ok","err")</f>
        <v>ok</v>
      </c>
    </row>
    <row r="318" spans="1:23" x14ac:dyDescent="0.25">
      <c r="F318" s="15"/>
      <c r="U318" s="148"/>
    </row>
    <row r="319" spans="1:23" x14ac:dyDescent="0.25">
      <c r="A319" s="134" t="s">
        <v>12</v>
      </c>
      <c r="F319" s="15"/>
      <c r="U319" s="148"/>
    </row>
    <row r="320" spans="1:23" x14ac:dyDescent="0.25">
      <c r="A320" s="146" t="s">
        <v>208</v>
      </c>
      <c r="C320" s="150" t="s">
        <v>731</v>
      </c>
      <c r="D320" s="140" t="s">
        <v>278</v>
      </c>
      <c r="E320" s="140" t="s">
        <v>322</v>
      </c>
      <c r="F320" s="147">
        <f>VLOOKUP(C320,'Functional Assignment'!$C$1:$AR$730,19,)</f>
        <v>0</v>
      </c>
      <c r="G320" s="147">
        <f>(VLOOKUP($E320,$D$6:$AI$659,G$2,)/VLOOKUP($E320,$D$6:$AI$659,3,))*$F320</f>
        <v>0</v>
      </c>
      <c r="H320" s="147">
        <f>(VLOOKUP($E320,$D$6:$AI$659,H$2,)/VLOOKUP($E320,$D$6:$AI$659,3,))*$F320</f>
        <v>0</v>
      </c>
      <c r="I320" s="147">
        <f>(VLOOKUP($E320,$D$6:$AI$659,I$2,)/VLOOKUP($E320,$D$6:$AI$659,3,))*$F320</f>
        <v>0</v>
      </c>
      <c r="J320" s="147">
        <f>(VLOOKUP($E320,$D$6:$AI$659,J$2,)/VLOOKUP($E320,$D$6:$AI$659,3,))*$F320</f>
        <v>0</v>
      </c>
      <c r="K320" s="147">
        <f>(VLOOKUP($E320,$D$6:$AI$659,8,)/VLOOKUP($E320,$D$6:$AI$659,3,))*$F320</f>
        <v>0</v>
      </c>
      <c r="L320" s="147">
        <f>(VLOOKUP($E320,$D$6:$AI$659,L$2,)/VLOOKUP($E320,$D$6:$AI$659,3,))*$F320</f>
        <v>0</v>
      </c>
      <c r="M320" s="147">
        <f>(VLOOKUP($E320,$D$6:$AI$659,M$2,)/VLOOKUP($E320,$D$6:$AI$659,3,))*$F320</f>
        <v>0</v>
      </c>
      <c r="N320" s="147">
        <f>(VLOOKUP($E320,$D$6:$AI$659,11,)/VLOOKUP($E320,$D$6:$AI$659,3,))*$F320</f>
        <v>0</v>
      </c>
      <c r="O320" s="147">
        <f>(VLOOKUP($E320,$D$6:$AI$659,O$2,)/VLOOKUP($E320,$D$6:$AI$659,3,))*$F320</f>
        <v>0</v>
      </c>
      <c r="P320" s="147">
        <f>(VLOOKUP($E320,$D$6:$AI$659,P$2,)/VLOOKUP($E320,$D$6:$AI$659,3,))*$F320</f>
        <v>0</v>
      </c>
      <c r="Q320" s="147">
        <f>(VLOOKUP($E320,$D$6:$AI$659,Q$2,)/VLOOKUP($E320,$D$6:$AI$659,3,))*$F320</f>
        <v>0</v>
      </c>
      <c r="R320" s="147">
        <f>(VLOOKUP($E320,$D$6:$AI$659,15,)/VLOOKUP($E320,$D$6:$AI$659,3,))*$F320</f>
        <v>0</v>
      </c>
      <c r="S320" s="147">
        <f>(VLOOKUP($E320,$D$6:$AI$659,16,)/VLOOKUP($E320,$D$6:$AI$659,3,))*$F320</f>
        <v>0</v>
      </c>
      <c r="T320" s="147">
        <f>(VLOOKUP($E320,$D$6:$AI$659,17,)/VLOOKUP($E320,$D$6:$AI$659,3,))*$F320</f>
        <v>0</v>
      </c>
      <c r="U320" s="148">
        <f>SUM(G320:M320)</f>
        <v>0</v>
      </c>
      <c r="V320" s="133" t="str">
        <f>IF(ABS(F320-U320)&lt;0.01,"ok","err")</f>
        <v>ok</v>
      </c>
    </row>
    <row r="321" spans="1:24" x14ac:dyDescent="0.25">
      <c r="F321" s="15"/>
      <c r="U321" s="148"/>
    </row>
    <row r="322" spans="1:24" x14ac:dyDescent="0.25">
      <c r="A322" s="134" t="s">
        <v>13</v>
      </c>
      <c r="F322" s="15"/>
      <c r="U322" s="148"/>
    </row>
    <row r="323" spans="1:24" x14ac:dyDescent="0.25">
      <c r="A323" s="146" t="s">
        <v>208</v>
      </c>
      <c r="C323" s="150" t="s">
        <v>731</v>
      </c>
      <c r="D323" s="140" t="s">
        <v>279</v>
      </c>
      <c r="E323" s="140" t="s">
        <v>323</v>
      </c>
      <c r="F323" s="147">
        <f>VLOOKUP(C323,'Functional Assignment'!$C$1:$AR$730,20,)</f>
        <v>0</v>
      </c>
      <c r="G323" s="147">
        <f>(VLOOKUP($E323,$D$6:$AI$659,G$2,)/VLOOKUP($E323,$D$6:$AI$659,3,))*$F323</f>
        <v>0</v>
      </c>
      <c r="H323" s="147">
        <f>(VLOOKUP($E323,$D$6:$AI$659,H$2,)/VLOOKUP($E323,$D$6:$AI$659,3,))*$F323</f>
        <v>0</v>
      </c>
      <c r="I323" s="147">
        <f>(VLOOKUP($E323,$D$6:$AI$659,I$2,)/VLOOKUP($E323,$D$6:$AI$659,3,))*$F323</f>
        <v>0</v>
      </c>
      <c r="J323" s="147">
        <f>(VLOOKUP($E323,$D$6:$AI$659,J$2,)/VLOOKUP($E323,$D$6:$AI$659,3,))*$F323</f>
        <v>0</v>
      </c>
      <c r="K323" s="147">
        <f>(VLOOKUP($E323,$D$6:$AI$659,8,)/VLOOKUP($E323,$D$6:$AI$659,3,))*$F323</f>
        <v>0</v>
      </c>
      <c r="L323" s="147">
        <f>(VLOOKUP($E323,$D$6:$AI$659,L$2,)/VLOOKUP($E323,$D$6:$AI$659,3,))*$F323</f>
        <v>0</v>
      </c>
      <c r="M323" s="147">
        <f>(VLOOKUP($E323,$D$6:$AI$659,M$2,)/VLOOKUP($E323,$D$6:$AI$659,3,))*$F323</f>
        <v>0</v>
      </c>
      <c r="N323" s="147">
        <f>(VLOOKUP($E323,$D$6:$AI$659,11,)/VLOOKUP($E323,$D$6:$AI$659,3,))*$F323</f>
        <v>0</v>
      </c>
      <c r="O323" s="147">
        <f>(VLOOKUP($E323,$D$6:$AI$659,O$2,)/VLOOKUP($E323,$D$6:$AI$659,3,))*$F323</f>
        <v>0</v>
      </c>
      <c r="P323" s="147">
        <f>(VLOOKUP($E323,$D$6:$AI$659,P$2,)/VLOOKUP($E323,$D$6:$AI$659,3,))*$F323</f>
        <v>0</v>
      </c>
      <c r="Q323" s="147">
        <f>(VLOOKUP($E323,$D$6:$AI$659,Q$2,)/VLOOKUP($E323,$D$6:$AI$659,3,))*$F323</f>
        <v>0</v>
      </c>
      <c r="R323" s="147">
        <f>(VLOOKUP($E323,$D$6:$AI$659,15,)/VLOOKUP($E323,$D$6:$AI$659,3,))*$F323</f>
        <v>0</v>
      </c>
      <c r="S323" s="147">
        <f>(VLOOKUP($E323,$D$6:$AI$659,16,)/VLOOKUP($E323,$D$6:$AI$659,3,))*$F323</f>
        <v>0</v>
      </c>
      <c r="T323" s="147">
        <f>(VLOOKUP($E323,$D$6:$AI$659,17,)/VLOOKUP($E323,$D$6:$AI$659,3,))*$F323</f>
        <v>0</v>
      </c>
      <c r="U323" s="148">
        <f>SUM(G323:M323)</f>
        <v>0</v>
      </c>
      <c r="V323" s="133" t="str">
        <f>IF(ABS(F323-U323)&lt;0.01,"ok","err")</f>
        <v>ok</v>
      </c>
    </row>
    <row r="324" spans="1:24" x14ac:dyDescent="0.25">
      <c r="F324" s="15"/>
      <c r="U324" s="148"/>
    </row>
    <row r="325" spans="1:24" x14ac:dyDescent="0.25">
      <c r="A325" s="140" t="s">
        <v>14</v>
      </c>
      <c r="D325" s="140" t="s">
        <v>736</v>
      </c>
      <c r="F325" s="147">
        <f t="shared" ref="F325:T325" si="98">F288+F293+F298+F301+F304+F311+F314+F317+F320+F323</f>
        <v>0</v>
      </c>
      <c r="G325" s="147">
        <f t="shared" si="98"/>
        <v>0</v>
      </c>
      <c r="H325" s="147">
        <f t="shared" si="98"/>
        <v>0</v>
      </c>
      <c r="I325" s="147">
        <f t="shared" si="98"/>
        <v>0</v>
      </c>
      <c r="J325" s="147">
        <f t="shared" si="98"/>
        <v>0</v>
      </c>
      <c r="K325" s="147">
        <f t="shared" si="98"/>
        <v>0</v>
      </c>
      <c r="L325" s="147">
        <f t="shared" si="98"/>
        <v>0</v>
      </c>
      <c r="M325" s="147">
        <f t="shared" si="98"/>
        <v>0</v>
      </c>
      <c r="N325" s="147">
        <f t="shared" si="98"/>
        <v>0</v>
      </c>
      <c r="O325" s="147">
        <f t="shared" si="98"/>
        <v>0</v>
      </c>
      <c r="P325" s="147">
        <f t="shared" si="98"/>
        <v>0</v>
      </c>
      <c r="Q325" s="147">
        <f t="shared" si="98"/>
        <v>0</v>
      </c>
      <c r="R325" s="147">
        <f t="shared" si="98"/>
        <v>0</v>
      </c>
      <c r="S325" s="147">
        <f t="shared" si="98"/>
        <v>0</v>
      </c>
      <c r="T325" s="147">
        <f t="shared" si="98"/>
        <v>0</v>
      </c>
      <c r="U325" s="148">
        <f>SUM(G325:M325)</f>
        <v>0</v>
      </c>
      <c r="V325" s="133" t="str">
        <f>IF(ABS(F325-U325)&lt;0.01,"ok","err")</f>
        <v>ok</v>
      </c>
      <c r="W325" s="148"/>
      <c r="X325" s="133"/>
    </row>
    <row r="326" spans="1:24" x14ac:dyDescent="0.25">
      <c r="U326" s="148"/>
    </row>
    <row r="327" spans="1:24" x14ac:dyDescent="0.25">
      <c r="A327" s="145" t="s">
        <v>735</v>
      </c>
      <c r="U327" s="148"/>
    </row>
    <row r="328" spans="1:24" x14ac:dyDescent="0.25">
      <c r="U328" s="148"/>
    </row>
    <row r="329" spans="1:24" x14ac:dyDescent="0.25">
      <c r="A329" s="134" t="s">
        <v>455</v>
      </c>
      <c r="U329" s="148"/>
    </row>
    <row r="330" spans="1:24" x14ac:dyDescent="0.25">
      <c r="A330" s="146" t="s">
        <v>207</v>
      </c>
      <c r="C330" s="150" t="s">
        <v>732</v>
      </c>
      <c r="D330" s="140" t="s">
        <v>280</v>
      </c>
      <c r="E330" s="140" t="s">
        <v>310</v>
      </c>
      <c r="F330" s="147">
        <f>VLOOKUP(C330,'Functional Assignment'!$C$1:$AR$730,5,)</f>
        <v>0</v>
      </c>
      <c r="G330" s="147">
        <f t="shared" ref="G330:J331" si="99">(VLOOKUP($E330,$D$6:$AI$659,G$2,)/VLOOKUP($E330,$D$6:$AI$659,3,))*$F330</f>
        <v>0</v>
      </c>
      <c r="H330" s="147">
        <f t="shared" si="99"/>
        <v>0</v>
      </c>
      <c r="I330" s="147">
        <f t="shared" si="99"/>
        <v>0</v>
      </c>
      <c r="J330" s="147">
        <f t="shared" si="99"/>
        <v>0</v>
      </c>
      <c r="K330" s="147">
        <f>(VLOOKUP($E330,$D$6:$AI$659,8,)/VLOOKUP($E330,$D$6:$AI$659,3,))*$F330</f>
        <v>0</v>
      </c>
      <c r="L330" s="147">
        <f>(VLOOKUP($E330,$D$6:$AI$659,L$2,)/VLOOKUP($E330,$D$6:$AI$659,3,))*$F330</f>
        <v>0</v>
      </c>
      <c r="M330" s="147">
        <f>(VLOOKUP($E330,$D$6:$AI$659,M$2,)/VLOOKUP($E330,$D$6:$AI$659,3,))*$F330</f>
        <v>0</v>
      </c>
      <c r="N330" s="147">
        <f>(VLOOKUP($E330,$D$6:$AI$659,11,)/VLOOKUP($E330,$D$6:$AI$659,3,))*$F330</f>
        <v>0</v>
      </c>
      <c r="O330" s="147">
        <f t="shared" ref="O330:Q331" si="100">(VLOOKUP($E330,$D$6:$AI$659,O$2,)/VLOOKUP($E330,$D$6:$AI$659,3,))*$F330</f>
        <v>0</v>
      </c>
      <c r="P330" s="147">
        <f t="shared" si="100"/>
        <v>0</v>
      </c>
      <c r="Q330" s="147">
        <f t="shared" si="100"/>
        <v>0</v>
      </c>
      <c r="R330" s="147">
        <f>(VLOOKUP($E330,$D$6:$AI$659,15,)/VLOOKUP($E330,$D$6:$AI$659,3,))*$F330</f>
        <v>0</v>
      </c>
      <c r="S330" s="147">
        <f>(VLOOKUP($E330,$D$6:$AI$659,16,)/VLOOKUP($E330,$D$6:$AI$659,3,))*$F330</f>
        <v>0</v>
      </c>
      <c r="T330" s="147">
        <f>(VLOOKUP($E330,$D$6:$AI$659,17,)/VLOOKUP($E330,$D$6:$AI$659,3,))*$F330</f>
        <v>0</v>
      </c>
      <c r="U330" s="148">
        <f>SUM(G330:M330)</f>
        <v>0</v>
      </c>
      <c r="V330" s="133" t="str">
        <f>IF(ABS(F330-U330)&lt;0.01,"ok","err")</f>
        <v>ok</v>
      </c>
    </row>
    <row r="331" spans="1:24" x14ac:dyDescent="0.25">
      <c r="A331" s="146" t="s">
        <v>226</v>
      </c>
      <c r="C331" s="150" t="s">
        <v>732</v>
      </c>
      <c r="D331" s="140" t="s">
        <v>268</v>
      </c>
      <c r="E331" s="140" t="s">
        <v>311</v>
      </c>
      <c r="F331" s="15">
        <f>VLOOKUP(C331,'Functional Assignment'!$C$1:$AR$730,6,)</f>
        <v>0</v>
      </c>
      <c r="G331" s="15">
        <f t="shared" si="99"/>
        <v>0</v>
      </c>
      <c r="H331" s="15">
        <f t="shared" si="99"/>
        <v>0</v>
      </c>
      <c r="I331" s="15">
        <f t="shared" si="99"/>
        <v>0</v>
      </c>
      <c r="J331" s="15">
        <f t="shared" si="99"/>
        <v>0</v>
      </c>
      <c r="K331" s="15">
        <f>(VLOOKUP($E331,$D$6:$AI$659,8,)/VLOOKUP($E331,$D$6:$AI$659,3,))*$F331</f>
        <v>0</v>
      </c>
      <c r="L331" s="15">
        <f>(VLOOKUP($E331,$D$6:$AI$659,L$2,)/VLOOKUP($E331,$D$6:$AI$659,3,))*$F331</f>
        <v>0</v>
      </c>
      <c r="M331" s="15">
        <f>(VLOOKUP($E331,$D$6:$AI$659,M$2,)/VLOOKUP($E331,$D$6:$AI$659,3,))*$F331</f>
        <v>0</v>
      </c>
      <c r="N331" s="15">
        <f>(VLOOKUP($E331,$D$6:$AI$659,11,)/VLOOKUP($E331,$D$6:$AI$659,3,))*$F331</f>
        <v>0</v>
      </c>
      <c r="O331" s="15">
        <f t="shared" si="100"/>
        <v>0</v>
      </c>
      <c r="P331" s="15">
        <f t="shared" si="100"/>
        <v>0</v>
      </c>
      <c r="Q331" s="15">
        <f t="shared" si="100"/>
        <v>0</v>
      </c>
      <c r="R331" s="15">
        <f>(VLOOKUP($E331,$D$6:$AI$659,15,)/VLOOKUP($E331,$D$6:$AI$659,3,))*$F331</f>
        <v>0</v>
      </c>
      <c r="S331" s="15">
        <f>(VLOOKUP($E331,$D$6:$AI$659,16,)/VLOOKUP($E331,$D$6:$AI$659,3,))*$F331</f>
        <v>0</v>
      </c>
      <c r="T331" s="15">
        <f>(VLOOKUP($E331,$D$6:$AI$659,17,)/VLOOKUP($E331,$D$6:$AI$659,3,))*$F331</f>
        <v>0</v>
      </c>
      <c r="U331" s="148">
        <f>SUM(G331:M331)</f>
        <v>0</v>
      </c>
      <c r="V331" s="133" t="str">
        <f>IF(ABS(F331-U331)&lt;0.01,"ok","err")</f>
        <v>ok</v>
      </c>
    </row>
    <row r="332" spans="1:24" x14ac:dyDescent="0.25">
      <c r="A332" s="140" t="s">
        <v>658</v>
      </c>
      <c r="D332" s="140" t="s">
        <v>338</v>
      </c>
      <c r="F332" s="147">
        <f t="shared" ref="F332:T332" si="101">F330+F331</f>
        <v>0</v>
      </c>
      <c r="G332" s="147">
        <f t="shared" si="101"/>
        <v>0</v>
      </c>
      <c r="H332" s="147">
        <f t="shared" si="101"/>
        <v>0</v>
      </c>
      <c r="I332" s="147">
        <f t="shared" si="101"/>
        <v>0</v>
      </c>
      <c r="J332" s="147">
        <f t="shared" si="101"/>
        <v>0</v>
      </c>
      <c r="K332" s="147">
        <f t="shared" si="101"/>
        <v>0</v>
      </c>
      <c r="L332" s="147">
        <f t="shared" si="101"/>
        <v>0</v>
      </c>
      <c r="M332" s="147">
        <f t="shared" si="101"/>
        <v>0</v>
      </c>
      <c r="N332" s="147">
        <f t="shared" si="101"/>
        <v>0</v>
      </c>
      <c r="O332" s="147">
        <f t="shared" si="101"/>
        <v>0</v>
      </c>
      <c r="P332" s="147">
        <f t="shared" si="101"/>
        <v>0</v>
      </c>
      <c r="Q332" s="147">
        <f t="shared" si="101"/>
        <v>0</v>
      </c>
      <c r="R332" s="147">
        <f t="shared" si="101"/>
        <v>0</v>
      </c>
      <c r="S332" s="147">
        <f t="shared" si="101"/>
        <v>0</v>
      </c>
      <c r="T332" s="147">
        <f t="shared" si="101"/>
        <v>0</v>
      </c>
      <c r="U332" s="148">
        <f>SUM(G332:M332)</f>
        <v>0</v>
      </c>
      <c r="V332" s="133" t="str">
        <f>IF(ABS(F332-U332)&lt;0.01,"ok","err")</f>
        <v>ok</v>
      </c>
    </row>
    <row r="333" spans="1:24" x14ac:dyDescent="0.25">
      <c r="F333" s="15"/>
      <c r="G333" s="15"/>
      <c r="U333" s="148"/>
    </row>
    <row r="334" spans="1:24" x14ac:dyDescent="0.25">
      <c r="A334" s="134" t="s">
        <v>3</v>
      </c>
      <c r="F334" s="15"/>
      <c r="G334" s="15"/>
      <c r="U334" s="148"/>
    </row>
    <row r="335" spans="1:24" x14ac:dyDescent="0.25">
      <c r="A335" s="146" t="s">
        <v>207</v>
      </c>
      <c r="C335" s="150" t="s">
        <v>732</v>
      </c>
      <c r="D335" s="140" t="s">
        <v>269</v>
      </c>
      <c r="E335" s="140" t="s">
        <v>312</v>
      </c>
      <c r="F335" s="147">
        <f>VLOOKUP(C335,'Functional Assignment'!$C$1:$AR$730,7,)</f>
        <v>-4857.2255695709746</v>
      </c>
      <c r="G335" s="147">
        <f t="shared" ref="G335:J336" si="102">(VLOOKUP($E335,$D$6:$AI$659,G$2,)/VLOOKUP($E335,$D$6:$AI$659,3,))*$F335</f>
        <v>-3235.086934876852</v>
      </c>
      <c r="H335" s="147">
        <f t="shared" si="102"/>
        <v>-1455.8675865317227</v>
      </c>
      <c r="I335" s="147">
        <f t="shared" si="102"/>
        <v>-123.88854798625361</v>
      </c>
      <c r="J335" s="147">
        <f t="shared" si="102"/>
        <v>0</v>
      </c>
      <c r="K335" s="147">
        <f>(VLOOKUP($E335,$D$6:$AI$659,8,)/VLOOKUP($E335,$D$6:$AI$659,3,))*$F335</f>
        <v>-42.38250017614633</v>
      </c>
      <c r="L335" s="147">
        <f>(VLOOKUP($E335,$D$6:$AI$659,L$2,)/VLOOKUP($E335,$D$6:$AI$659,3,))*$F335</f>
        <v>0</v>
      </c>
      <c r="M335" s="147">
        <f>(VLOOKUP($E335,$D$6:$AI$659,M$2,)/VLOOKUP($E335,$D$6:$AI$659,3,))*$F335</f>
        <v>0</v>
      </c>
      <c r="N335" s="147">
        <f>(VLOOKUP($E335,$D$6:$AI$659,11,)/VLOOKUP($E335,$D$6:$AI$659,3,))*$F335</f>
        <v>-42.38250017614633</v>
      </c>
      <c r="O335" s="147">
        <f t="shared" ref="O335:Q336" si="103">(VLOOKUP($E335,$D$6:$AI$659,O$2,)/VLOOKUP($E335,$D$6:$AI$659,3,))*$F335</f>
        <v>0</v>
      </c>
      <c r="P335" s="147">
        <f t="shared" si="103"/>
        <v>0</v>
      </c>
      <c r="Q335" s="147">
        <f t="shared" si="103"/>
        <v>0</v>
      </c>
      <c r="R335" s="147">
        <f>(VLOOKUP($E335,$D$6:$AI$659,15,)/VLOOKUP($E335,$D$6:$AI$659,3,))*$F335</f>
        <v>0</v>
      </c>
      <c r="S335" s="147">
        <f>(VLOOKUP($E335,$D$6:$AI$659,16,)/VLOOKUP($E335,$D$6:$AI$659,3,))*$F335</f>
        <v>0</v>
      </c>
      <c r="T335" s="147">
        <f>(VLOOKUP($E335,$D$6:$AI$659,17,)/VLOOKUP($E335,$D$6:$AI$659,3,))*$F335</f>
        <v>0</v>
      </c>
      <c r="U335" s="148">
        <f>SUM(G335:M335)</f>
        <v>-4857.2255695709746</v>
      </c>
      <c r="V335" s="133" t="str">
        <f>IF(ABS(F335-U335)&lt;0.01,"ok","err")</f>
        <v>ok</v>
      </c>
    </row>
    <row r="336" spans="1:24" x14ac:dyDescent="0.25">
      <c r="A336" s="140" t="s">
        <v>226</v>
      </c>
      <c r="C336" s="150" t="s">
        <v>732</v>
      </c>
      <c r="D336" s="140" t="s">
        <v>270</v>
      </c>
      <c r="E336" s="140" t="s">
        <v>313</v>
      </c>
      <c r="F336" s="15">
        <f>VLOOKUP(C336,'Functional Assignment'!$C$1:$AR$730,8,)</f>
        <v>0</v>
      </c>
      <c r="G336" s="15">
        <f t="shared" si="102"/>
        <v>0</v>
      </c>
      <c r="H336" s="15">
        <f t="shared" si="102"/>
        <v>0</v>
      </c>
      <c r="I336" s="15">
        <f t="shared" si="102"/>
        <v>0</v>
      </c>
      <c r="J336" s="15">
        <f t="shared" si="102"/>
        <v>0</v>
      </c>
      <c r="K336" s="15">
        <f>(VLOOKUP($E336,$D$6:$AI$659,8,)/VLOOKUP($E336,$D$6:$AI$659,3,))*$F336</f>
        <v>0</v>
      </c>
      <c r="L336" s="15">
        <f>(VLOOKUP($E336,$D$6:$AI$659,L$2,)/VLOOKUP($E336,$D$6:$AI$659,3,))*$F336</f>
        <v>0</v>
      </c>
      <c r="M336" s="15">
        <f>(VLOOKUP($E336,$D$6:$AI$659,M$2,)/VLOOKUP($E336,$D$6:$AI$659,3,))*$F336</f>
        <v>0</v>
      </c>
      <c r="N336" s="15">
        <f>(VLOOKUP($E336,$D$6:$AI$659,11,)/VLOOKUP($E336,$D$6:$AI$659,3,))*$F336</f>
        <v>0</v>
      </c>
      <c r="O336" s="15">
        <f t="shared" si="103"/>
        <v>0</v>
      </c>
      <c r="P336" s="15">
        <f t="shared" si="103"/>
        <v>0</v>
      </c>
      <c r="Q336" s="15">
        <f t="shared" si="103"/>
        <v>0</v>
      </c>
      <c r="R336" s="15">
        <f>(VLOOKUP($E336,$D$6:$AI$659,15,)/VLOOKUP($E336,$D$6:$AI$659,3,))*$F336</f>
        <v>0</v>
      </c>
      <c r="S336" s="15">
        <f>(VLOOKUP($E336,$D$6:$AI$659,16,)/VLOOKUP($E336,$D$6:$AI$659,3,))*$F336</f>
        <v>0</v>
      </c>
      <c r="T336" s="15">
        <f>(VLOOKUP($E336,$D$6:$AI$659,17,)/VLOOKUP($E336,$D$6:$AI$659,3,))*$F336</f>
        <v>0</v>
      </c>
      <c r="U336" s="148">
        <f>SUM(G336:M336)</f>
        <v>0</v>
      </c>
      <c r="V336" s="133" t="str">
        <f>IF(ABS(F336-U336)&lt;0.01,"ok","err")</f>
        <v>ok</v>
      </c>
    </row>
    <row r="337" spans="1:23" x14ac:dyDescent="0.25">
      <c r="A337" s="140" t="s">
        <v>227</v>
      </c>
      <c r="D337" s="140" t="s">
        <v>339</v>
      </c>
      <c r="F337" s="147">
        <f>SUM(F335:F336)</f>
        <v>-4857.2255695709746</v>
      </c>
      <c r="G337" s="147">
        <f t="shared" ref="G337:T337" si="104">G335+G336</f>
        <v>-3235.086934876852</v>
      </c>
      <c r="H337" s="147">
        <f t="shared" si="104"/>
        <v>-1455.8675865317227</v>
      </c>
      <c r="I337" s="147">
        <f t="shared" si="104"/>
        <v>-123.88854798625361</v>
      </c>
      <c r="J337" s="147">
        <f t="shared" si="104"/>
        <v>0</v>
      </c>
      <c r="K337" s="147">
        <f t="shared" si="104"/>
        <v>-42.38250017614633</v>
      </c>
      <c r="L337" s="147">
        <f t="shared" si="104"/>
        <v>0</v>
      </c>
      <c r="M337" s="147">
        <f t="shared" si="104"/>
        <v>0</v>
      </c>
      <c r="N337" s="147">
        <f t="shared" si="104"/>
        <v>-42.38250017614633</v>
      </c>
      <c r="O337" s="147">
        <f t="shared" si="104"/>
        <v>0</v>
      </c>
      <c r="P337" s="147">
        <f t="shared" si="104"/>
        <v>0</v>
      </c>
      <c r="Q337" s="147">
        <f t="shared" si="104"/>
        <v>0</v>
      </c>
      <c r="R337" s="147">
        <f t="shared" si="104"/>
        <v>0</v>
      </c>
      <c r="S337" s="147">
        <f t="shared" si="104"/>
        <v>0</v>
      </c>
      <c r="T337" s="147">
        <f t="shared" si="104"/>
        <v>0</v>
      </c>
      <c r="U337" s="148">
        <f>SUM(G337:M337)</f>
        <v>-4857.2255695709746</v>
      </c>
      <c r="V337" s="133" t="str">
        <f>IF(ABS(F337-U337)&lt;0.01,"ok","err")</f>
        <v>ok</v>
      </c>
    </row>
    <row r="338" spans="1:23" x14ac:dyDescent="0.25">
      <c r="F338" s="15"/>
      <c r="G338" s="15"/>
      <c r="U338" s="148"/>
    </row>
    <row r="339" spans="1:23" x14ac:dyDescent="0.25">
      <c r="A339" s="134" t="s">
        <v>4</v>
      </c>
      <c r="F339" s="15"/>
      <c r="G339" s="15"/>
      <c r="U339" s="148"/>
    </row>
    <row r="340" spans="1:23" x14ac:dyDescent="0.25">
      <c r="A340" s="146" t="s">
        <v>870</v>
      </c>
      <c r="C340" s="150" t="s">
        <v>732</v>
      </c>
      <c r="D340" s="140" t="s">
        <v>271</v>
      </c>
      <c r="E340" s="140" t="s">
        <v>317</v>
      </c>
      <c r="F340" s="147">
        <f>VLOOKUP(C340,'Functional Assignment'!$C$1:$AR$730,9,)</f>
        <v>-293.28531676168086</v>
      </c>
      <c r="G340" s="147">
        <f t="shared" ref="G340:J341" si="105">(VLOOKUP($E340,$D$6:$AI$659,G$2,)/VLOOKUP($E340,$D$6:$AI$659,3,))*$F340</f>
        <v>-159.22708234201133</v>
      </c>
      <c r="H340" s="147">
        <f t="shared" si="105"/>
        <v>-72.770239013115997</v>
      </c>
      <c r="I340" s="147">
        <f t="shared" si="105"/>
        <v>-7.1996461305259425</v>
      </c>
      <c r="J340" s="147">
        <f t="shared" si="105"/>
        <v>-1.609264160549877</v>
      </c>
      <c r="K340" s="147">
        <f>(VLOOKUP($E340,$D$6:$AI$659,8,)/VLOOKUP($E340,$D$6:$AI$659,3,))*$F340</f>
        <v>-52.479085115477723</v>
      </c>
      <c r="L340" s="147">
        <f>(VLOOKUP($E340,$D$6:$AI$659,L$2,)/VLOOKUP($E340,$D$6:$AI$659,3,))*$F340</f>
        <v>0</v>
      </c>
      <c r="M340" s="147">
        <f>(VLOOKUP($E340,$D$6:$AI$659,M$2,)/VLOOKUP($E340,$D$6:$AI$659,3,))*$F340</f>
        <v>0</v>
      </c>
      <c r="N340" s="147">
        <f>(VLOOKUP($E340,$D$6:$AI$659,11,)/VLOOKUP($E340,$D$6:$AI$659,3,))*$F340</f>
        <v>0</v>
      </c>
      <c r="O340" s="147">
        <f t="shared" ref="O340:Q341" si="106">(VLOOKUP($E340,$D$6:$AI$659,O$2,)/VLOOKUP($E340,$D$6:$AI$659,3,))*$F340</f>
        <v>0</v>
      </c>
      <c r="P340" s="147">
        <f t="shared" si="106"/>
        <v>0</v>
      </c>
      <c r="Q340" s="147">
        <f t="shared" si="106"/>
        <v>0</v>
      </c>
      <c r="R340" s="147">
        <f>(VLOOKUP($E340,$D$6:$AI$659,15,)/VLOOKUP($E340,$D$6:$AI$659,3,))*$F340</f>
        <v>0</v>
      </c>
      <c r="S340" s="147">
        <f>(VLOOKUP($E340,$D$6:$AI$659,16,)/VLOOKUP($E340,$D$6:$AI$659,3,))*$F340</f>
        <v>0</v>
      </c>
      <c r="T340" s="147">
        <f>(VLOOKUP($E340,$D$6:$AI$659,17,)/VLOOKUP($E340,$D$6:$AI$659,3,))*$F340</f>
        <v>0</v>
      </c>
      <c r="U340" s="148">
        <f>SUM(G340:M340)</f>
        <v>-293.28531676168086</v>
      </c>
      <c r="V340" s="133" t="str">
        <f>IF(ABS(F340-U340)&lt;0.01,"ok","err")</f>
        <v>ok</v>
      </c>
    </row>
    <row r="341" spans="1:23" x14ac:dyDescent="0.25">
      <c r="A341" s="140" t="s">
        <v>865</v>
      </c>
      <c r="C341" s="150" t="s">
        <v>732</v>
      </c>
      <c r="D341" s="140" t="s">
        <v>272</v>
      </c>
      <c r="E341" s="140" t="s">
        <v>314</v>
      </c>
      <c r="F341" s="15">
        <f>VLOOKUP(C341,'Functional Assignment'!$C$1:$AR$730,10,)</f>
        <v>-1389.4568335684316</v>
      </c>
      <c r="G341" s="15">
        <f t="shared" si="105"/>
        <v>-925.42822738405903</v>
      </c>
      <c r="H341" s="15">
        <f t="shared" si="105"/>
        <v>-416.46514824222095</v>
      </c>
      <c r="I341" s="15">
        <f t="shared" si="105"/>
        <v>-35.439529652228011</v>
      </c>
      <c r="J341" s="15">
        <f t="shared" si="105"/>
        <v>0</v>
      </c>
      <c r="K341" s="15">
        <f>(VLOOKUP($E341,$D$6:$AI$659,8,)/VLOOKUP($E341,$D$6:$AI$659,3,))*$F341</f>
        <v>-12.123928289923594</v>
      </c>
      <c r="L341" s="15">
        <f>(VLOOKUP($E341,$D$6:$AI$659,L$2,)/VLOOKUP($E341,$D$6:$AI$659,3,))*$F341</f>
        <v>0</v>
      </c>
      <c r="M341" s="15">
        <f>(VLOOKUP($E341,$D$6:$AI$659,M$2,)/VLOOKUP($E341,$D$6:$AI$659,3,))*$F341</f>
        <v>0</v>
      </c>
      <c r="N341" s="15">
        <f>(VLOOKUP($E341,$D$6:$AI$659,11,)/VLOOKUP($E341,$D$6:$AI$659,3,))*$F341</f>
        <v>-12.123928289923594</v>
      </c>
      <c r="O341" s="15">
        <f t="shared" si="106"/>
        <v>0</v>
      </c>
      <c r="P341" s="15">
        <f t="shared" si="106"/>
        <v>0</v>
      </c>
      <c r="Q341" s="15">
        <f t="shared" si="106"/>
        <v>0</v>
      </c>
      <c r="R341" s="15">
        <f>(VLOOKUP($E341,$D$6:$AI$659,15,)/VLOOKUP($E341,$D$6:$AI$659,3,))*$F341</f>
        <v>0</v>
      </c>
      <c r="S341" s="15">
        <f>(VLOOKUP($E341,$D$6:$AI$659,16,)/VLOOKUP($E341,$D$6:$AI$659,3,))*$F341</f>
        <v>0</v>
      </c>
      <c r="T341" s="15">
        <f>(VLOOKUP($E341,$D$6:$AI$659,17,)/VLOOKUP($E341,$D$6:$AI$659,3,))*$F341</f>
        <v>0</v>
      </c>
      <c r="U341" s="148">
        <f>SUM(G341:M341)</f>
        <v>-1389.4568335684316</v>
      </c>
      <c r="V341" s="133" t="str">
        <f>IF(ABS(F341-U341)&lt;0.01,"ok","err")</f>
        <v>ok</v>
      </c>
    </row>
    <row r="342" spans="1:23" x14ac:dyDescent="0.25">
      <c r="A342" s="140" t="s">
        <v>228</v>
      </c>
      <c r="D342" s="140" t="s">
        <v>340</v>
      </c>
      <c r="F342" s="147">
        <f>SUM(F340:F341)</f>
        <v>-1682.7421503301125</v>
      </c>
      <c r="G342" s="147">
        <f t="shared" ref="G342:T342" si="107">G340+G341</f>
        <v>-1084.6553097260703</v>
      </c>
      <c r="H342" s="147">
        <f t="shared" si="107"/>
        <v>-489.23538725533695</v>
      </c>
      <c r="I342" s="147">
        <f t="shared" si="107"/>
        <v>-42.639175782753952</v>
      </c>
      <c r="J342" s="147">
        <f t="shared" si="107"/>
        <v>-1.609264160549877</v>
      </c>
      <c r="K342" s="147">
        <f t="shared" si="107"/>
        <v>-64.603013405401313</v>
      </c>
      <c r="L342" s="147">
        <f t="shared" si="107"/>
        <v>0</v>
      </c>
      <c r="M342" s="147">
        <f t="shared" si="107"/>
        <v>0</v>
      </c>
      <c r="N342" s="147">
        <f t="shared" si="107"/>
        <v>-12.123928289923594</v>
      </c>
      <c r="O342" s="147">
        <f t="shared" si="107"/>
        <v>0</v>
      </c>
      <c r="P342" s="147">
        <f t="shared" si="107"/>
        <v>0</v>
      </c>
      <c r="Q342" s="147">
        <f t="shared" si="107"/>
        <v>0</v>
      </c>
      <c r="R342" s="147">
        <f t="shared" si="107"/>
        <v>0</v>
      </c>
      <c r="S342" s="147">
        <f t="shared" si="107"/>
        <v>0</v>
      </c>
      <c r="T342" s="147">
        <f t="shared" si="107"/>
        <v>0</v>
      </c>
      <c r="U342" s="148">
        <f>SUM(G342:M342)</f>
        <v>-1682.7421503301123</v>
      </c>
      <c r="V342" s="133" t="str">
        <f>IF(ABS(F342-U342)&lt;0.01,"ok","err")</f>
        <v>ok</v>
      </c>
    </row>
    <row r="343" spans="1:23" x14ac:dyDescent="0.25">
      <c r="F343" s="15"/>
      <c r="U343" s="148"/>
    </row>
    <row r="344" spans="1:23" x14ac:dyDescent="0.25">
      <c r="A344" s="134" t="s">
        <v>6</v>
      </c>
      <c r="F344" s="15"/>
      <c r="U344" s="148"/>
    </row>
    <row r="345" spans="1:23" x14ac:dyDescent="0.25">
      <c r="A345" s="140" t="s">
        <v>226</v>
      </c>
      <c r="C345" s="150" t="s">
        <v>732</v>
      </c>
      <c r="D345" s="140" t="s">
        <v>273</v>
      </c>
      <c r="E345" s="140" t="s">
        <v>316</v>
      </c>
      <c r="F345" s="147">
        <f>VLOOKUP(C345,'Functional Assignment'!$C$1:$AR$730,11,)</f>
        <v>0</v>
      </c>
      <c r="G345" s="147">
        <f>(VLOOKUP($E345,$D$6:$AI$659,G$2,)/VLOOKUP($E345,$D$6:$AI$659,3,))*$F345</f>
        <v>0</v>
      </c>
      <c r="H345" s="147">
        <f>(VLOOKUP($E345,$D$6:$AI$659,H$2,)/VLOOKUP($E345,$D$6:$AI$659,3,))*$F345</f>
        <v>0</v>
      </c>
      <c r="I345" s="147">
        <f>(VLOOKUP($E345,$D$6:$AI$659,I$2,)/VLOOKUP($E345,$D$6:$AI$659,3,))*$F345</f>
        <v>0</v>
      </c>
      <c r="J345" s="147">
        <f>(VLOOKUP($E345,$D$6:$AI$659,J$2,)/VLOOKUP($E345,$D$6:$AI$659,3,))*$F345</f>
        <v>0</v>
      </c>
      <c r="K345" s="147">
        <f>(VLOOKUP($E345,$D$6:$AI$659,8,)/VLOOKUP($E345,$D$6:$AI$659,3,))*$F345</f>
        <v>0</v>
      </c>
      <c r="L345" s="147">
        <f>(VLOOKUP($E345,$D$6:$AI$659,L$2,)/VLOOKUP($E345,$D$6:$AI$659,3,))*$F345</f>
        <v>0</v>
      </c>
      <c r="M345" s="147">
        <f>(VLOOKUP($E345,$D$6:$AI$659,M$2,)/VLOOKUP($E345,$D$6:$AI$659,3,))*$F345</f>
        <v>0</v>
      </c>
      <c r="N345" s="147">
        <f>(VLOOKUP($E345,$D$6:$AI$659,11,)/VLOOKUP($E345,$D$6:$AI$659,3,))*$F345</f>
        <v>0</v>
      </c>
      <c r="O345" s="147">
        <f>(VLOOKUP($E345,$D$6:$AI$659,O$2,)/VLOOKUP($E345,$D$6:$AI$659,3,))*$F345</f>
        <v>0</v>
      </c>
      <c r="P345" s="147">
        <f>(VLOOKUP($E345,$D$6:$AI$659,P$2,)/VLOOKUP($E345,$D$6:$AI$659,3,))*$F345</f>
        <v>0</v>
      </c>
      <c r="Q345" s="147">
        <f>(VLOOKUP($E345,$D$6:$AI$659,Q$2,)/VLOOKUP($E345,$D$6:$AI$659,3,))*$F345</f>
        <v>0</v>
      </c>
      <c r="R345" s="147">
        <f>(VLOOKUP($E345,$D$6:$AI$659,15,)/VLOOKUP($E345,$D$6:$AI$659,3,))*$F345</f>
        <v>0</v>
      </c>
      <c r="S345" s="147">
        <f>(VLOOKUP($E345,$D$6:$AI$659,16,)/VLOOKUP($E345,$D$6:$AI$659,3,))*$F345</f>
        <v>0</v>
      </c>
      <c r="T345" s="147">
        <f>(VLOOKUP($E345,$D$6:$AI$659,17,)/VLOOKUP($E345,$D$6:$AI$659,3,))*$F345</f>
        <v>0</v>
      </c>
      <c r="U345" s="148">
        <f>SUM(G345:M345)</f>
        <v>0</v>
      </c>
      <c r="V345" s="133" t="str">
        <f>IF(ABS(F345-U345)&lt;0.01,"ok","err")</f>
        <v>ok</v>
      </c>
    </row>
    <row r="346" spans="1:23" x14ac:dyDescent="0.25">
      <c r="A346" s="146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48"/>
      <c r="V346" s="133"/>
    </row>
    <row r="347" spans="1:23" x14ac:dyDescent="0.25">
      <c r="A347" s="134" t="s">
        <v>7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48"/>
      <c r="V347" s="133"/>
    </row>
    <row r="348" spans="1:23" x14ac:dyDescent="0.25">
      <c r="A348" s="146" t="s">
        <v>207</v>
      </c>
      <c r="C348" s="150" t="s">
        <v>732</v>
      </c>
      <c r="D348" s="140" t="s">
        <v>274</v>
      </c>
      <c r="E348" s="140" t="s">
        <v>317</v>
      </c>
      <c r="F348" s="147">
        <f>VLOOKUP(C348,'Functional Assignment'!$C$1:$AR$730,12,)</f>
        <v>-1189.7639019475409</v>
      </c>
      <c r="G348" s="147">
        <f>(VLOOKUP($E348,$D$6:$AI$659,G$2,)/VLOOKUP($E348,$D$6:$AI$659,3,))*$F348</f>
        <v>-645.93289863499012</v>
      </c>
      <c r="H348" s="147">
        <f>(VLOOKUP($E348,$D$6:$AI$659,H$2,)/VLOOKUP($E348,$D$6:$AI$659,3,))*$F348</f>
        <v>-295.20538044614466</v>
      </c>
      <c r="I348" s="147">
        <f>(VLOOKUP($E348,$D$6:$AI$659,I$2,)/VLOOKUP($E348,$D$6:$AI$659,3,))*$F348</f>
        <v>-29.206641394381709</v>
      </c>
      <c r="J348" s="147">
        <f>(VLOOKUP($E348,$D$6:$AI$659,J$2,)/VLOOKUP($E348,$D$6:$AI$659,3,))*$F348</f>
        <v>-6.5282654722055735</v>
      </c>
      <c r="K348" s="147">
        <f>(VLOOKUP($E348,$D$6:$AI$659,8,)/VLOOKUP($E348,$D$6:$AI$659,3,))*$F348</f>
        <v>-212.89071599981878</v>
      </c>
      <c r="L348" s="147">
        <f>(VLOOKUP($E348,$D$6:$AI$659,L$2,)/VLOOKUP($E348,$D$6:$AI$659,3,))*$F348</f>
        <v>0</v>
      </c>
      <c r="M348" s="147">
        <f>(VLOOKUP($E348,$D$6:$AI$659,M$2,)/VLOOKUP($E348,$D$6:$AI$659,3,))*$F348</f>
        <v>0</v>
      </c>
      <c r="N348" s="147">
        <f>(VLOOKUP($E348,$D$6:$AI$659,11,)/VLOOKUP($E348,$D$6:$AI$659,3,))*$F348</f>
        <v>0</v>
      </c>
      <c r="O348" s="147">
        <f>(VLOOKUP($E348,$D$6:$AI$659,O$2,)/VLOOKUP($E348,$D$6:$AI$659,3,))*$F348</f>
        <v>0</v>
      </c>
      <c r="P348" s="147">
        <f>(VLOOKUP($E348,$D$6:$AI$659,P$2,)/VLOOKUP($E348,$D$6:$AI$659,3,))*$F348</f>
        <v>0</v>
      </c>
      <c r="Q348" s="147">
        <f>(VLOOKUP($E348,$D$6:$AI$659,Q$2,)/VLOOKUP($E348,$D$6:$AI$659,3,))*$F348</f>
        <v>0</v>
      </c>
      <c r="R348" s="147">
        <f>(VLOOKUP($E348,$D$6:$AI$659,15,)/VLOOKUP($E348,$D$6:$AI$659,3,))*$F348</f>
        <v>0</v>
      </c>
      <c r="S348" s="147">
        <f>(VLOOKUP($E348,$D$6:$AI$659,16,)/VLOOKUP($E348,$D$6:$AI$659,3,))*$F348</f>
        <v>0</v>
      </c>
      <c r="T348" s="147">
        <f>(VLOOKUP($E348,$D$6:$AI$659,17,)/VLOOKUP($E348,$D$6:$AI$659,3,))*$F348</f>
        <v>0</v>
      </c>
      <c r="U348" s="148">
        <f>SUM(G348:M348)</f>
        <v>-1189.7639019475409</v>
      </c>
      <c r="V348" s="133" t="str">
        <f>IF(ABS(F348-U348)&lt;0.01,"ok","err")</f>
        <v>ok</v>
      </c>
    </row>
    <row r="349" spans="1:23" x14ac:dyDescent="0.25">
      <c r="F349" s="15"/>
      <c r="U349" s="148"/>
    </row>
    <row r="350" spans="1:23" x14ac:dyDescent="0.25">
      <c r="A350" s="134" t="s">
        <v>8</v>
      </c>
      <c r="F350" s="15"/>
      <c r="U350" s="148"/>
    </row>
    <row r="351" spans="1:23" x14ac:dyDescent="0.25">
      <c r="A351" s="146" t="s">
        <v>680</v>
      </c>
      <c r="C351" s="150" t="s">
        <v>732</v>
      </c>
      <c r="D351" s="140" t="s">
        <v>275</v>
      </c>
      <c r="E351" s="140" t="s">
        <v>932</v>
      </c>
      <c r="F351" s="147">
        <f>VLOOKUP(C351,'Functional Assignment'!$C$1:$AR$730,13,)</f>
        <v>-12183.233994600087</v>
      </c>
      <c r="G351" s="147">
        <f t="shared" ref="G351:J354" si="108">(VLOOKUP($E351,$D$6:$AI$659,G$2,)/VLOOKUP($E351,$D$6:$AI$659,3,))*$F351</f>
        <v>-7447.7564145814504</v>
      </c>
      <c r="H351" s="147">
        <f t="shared" si="108"/>
        <v>-3624.4948357046524</v>
      </c>
      <c r="I351" s="147">
        <f t="shared" si="108"/>
        <v>-495.35839189748856</v>
      </c>
      <c r="J351" s="147">
        <f t="shared" si="108"/>
        <v>-92.608649395544774</v>
      </c>
      <c r="K351" s="147">
        <f>(VLOOKUP($E351,$D$6:$AI$659,8,)/VLOOKUP($E351,$D$6:$AI$659,3,))*$F351</f>
        <v>-523.01570302095206</v>
      </c>
      <c r="L351" s="147">
        <f t="shared" ref="L351:M354" si="109">(VLOOKUP($E351,$D$6:$AI$659,L$2,)/VLOOKUP($E351,$D$6:$AI$659,3,))*$F351</f>
        <v>0</v>
      </c>
      <c r="M351" s="147">
        <f t="shared" si="109"/>
        <v>0</v>
      </c>
      <c r="N351" s="147">
        <f>(VLOOKUP($E351,$D$6:$AI$659,11,)/VLOOKUP($E351,$D$6:$AI$659,3,))*$F351</f>
        <v>0</v>
      </c>
      <c r="O351" s="147">
        <f t="shared" ref="O351:Q354" si="110">(VLOOKUP($E351,$D$6:$AI$659,O$2,)/VLOOKUP($E351,$D$6:$AI$659,3,))*$F351</f>
        <v>0</v>
      </c>
      <c r="P351" s="147">
        <f t="shared" si="110"/>
        <v>0</v>
      </c>
      <c r="Q351" s="147">
        <f t="shared" si="110"/>
        <v>0</v>
      </c>
      <c r="R351" s="147">
        <f>(VLOOKUP($E351,$D$6:$AI$659,15,)/VLOOKUP($E351,$D$6:$AI$659,3,))*$F351</f>
        <v>0</v>
      </c>
      <c r="S351" s="147">
        <f>(VLOOKUP($E351,$D$6:$AI$659,16,)/VLOOKUP($E351,$D$6:$AI$659,3,))*$F351</f>
        <v>0</v>
      </c>
      <c r="T351" s="147">
        <f>(VLOOKUP($E351,$D$6:$AI$659,17,)/VLOOKUP($E351,$D$6:$AI$659,3,))*$F351</f>
        <v>0</v>
      </c>
      <c r="U351" s="148">
        <f>SUM(G351:M351)</f>
        <v>-12183.233994600088</v>
      </c>
      <c r="V351" s="133" t="str">
        <f>IF(ABS(F351-U351)&lt;0.01,"ok","err")</f>
        <v>ok</v>
      </c>
    </row>
    <row r="352" spans="1:23" x14ac:dyDescent="0.25">
      <c r="A352" s="146" t="s">
        <v>679</v>
      </c>
      <c r="C352" s="150" t="s">
        <v>732</v>
      </c>
      <c r="D352" s="140" t="s">
        <v>276</v>
      </c>
      <c r="E352" s="140" t="s">
        <v>684</v>
      </c>
      <c r="F352" s="15">
        <f>VLOOKUP(C352,'Functional Assignment'!$C$1:$AR$730,14,)</f>
        <v>0</v>
      </c>
      <c r="G352" s="15">
        <f t="shared" si="108"/>
        <v>0</v>
      </c>
      <c r="H352" s="15">
        <f t="shared" si="108"/>
        <v>0</v>
      </c>
      <c r="I352" s="15">
        <f t="shared" si="108"/>
        <v>0</v>
      </c>
      <c r="J352" s="15">
        <f t="shared" si="108"/>
        <v>0</v>
      </c>
      <c r="K352" s="15">
        <f>(VLOOKUP($E352,$D$6:$AI$659,8,)/VLOOKUP($E352,$D$6:$AI$659,3,))*$F352</f>
        <v>0</v>
      </c>
      <c r="L352" s="15">
        <f t="shared" si="109"/>
        <v>0</v>
      </c>
      <c r="M352" s="15">
        <f t="shared" si="109"/>
        <v>0</v>
      </c>
      <c r="N352" s="15">
        <f>(VLOOKUP($E352,$D$6:$AI$659,11,)/VLOOKUP($E352,$D$6:$AI$659,3,))*$F352</f>
        <v>0</v>
      </c>
      <c r="O352" s="15">
        <f t="shared" si="110"/>
        <v>0</v>
      </c>
      <c r="P352" s="15">
        <f t="shared" si="110"/>
        <v>0</v>
      </c>
      <c r="Q352" s="15">
        <f t="shared" si="110"/>
        <v>0</v>
      </c>
      <c r="R352" s="15">
        <f>(VLOOKUP($E352,$D$6:$AI$659,15,)/VLOOKUP($E352,$D$6:$AI$659,3,))*$F352</f>
        <v>0</v>
      </c>
      <c r="S352" s="15">
        <f>(VLOOKUP($E352,$D$6:$AI$659,16,)/VLOOKUP($E352,$D$6:$AI$659,3,))*$F352</f>
        <v>0</v>
      </c>
      <c r="T352" s="15">
        <f>(VLOOKUP($E352,$D$6:$AI$659,17,)/VLOOKUP($E352,$D$6:$AI$659,3,))*$F352</f>
        <v>0</v>
      </c>
      <c r="U352" s="148">
        <f>SUM(G352:M352)</f>
        <v>0</v>
      </c>
      <c r="V352" s="133" t="str">
        <f>IF(ABS(F352-U352)&lt;0.01,"ok","err")</f>
        <v>ok</v>
      </c>
      <c r="W352" s="149"/>
    </row>
    <row r="353" spans="1:23" x14ac:dyDescent="0.25">
      <c r="A353" s="146" t="s">
        <v>681</v>
      </c>
      <c r="C353" s="150" t="s">
        <v>732</v>
      </c>
      <c r="D353" s="140" t="s">
        <v>275</v>
      </c>
      <c r="E353" s="140" t="s">
        <v>931</v>
      </c>
      <c r="F353" s="15">
        <f>VLOOKUP(C353,'Functional Assignment'!$C$1:$AR$730,15,)</f>
        <v>-1337.2389463537934</v>
      </c>
      <c r="G353" s="15">
        <f t="shared" si="108"/>
        <v>-657.55236266494751</v>
      </c>
      <c r="H353" s="15">
        <f t="shared" si="108"/>
        <v>-318.90646999393738</v>
      </c>
      <c r="I353" s="15">
        <f t="shared" si="108"/>
        <v>-45.825126233996663</v>
      </c>
      <c r="J353" s="15">
        <f t="shared" si="108"/>
        <v>-9.4660687180094758</v>
      </c>
      <c r="K353" s="15">
        <f>(VLOOKUP($E353,$D$6:$AI$659,8,)/VLOOKUP($E353,$D$6:$AI$659,3,))*$F353</f>
        <v>-305.48891874290246</v>
      </c>
      <c r="L353" s="15">
        <f t="shared" si="109"/>
        <v>0</v>
      </c>
      <c r="M353" s="15">
        <f t="shared" si="109"/>
        <v>0</v>
      </c>
      <c r="N353" s="15">
        <f>(VLOOKUP($E353,$D$6:$AI$659,11,)/VLOOKUP($E353,$D$6:$AI$659,3,))*$F353</f>
        <v>0</v>
      </c>
      <c r="O353" s="15">
        <f t="shared" si="110"/>
        <v>0</v>
      </c>
      <c r="P353" s="15">
        <f t="shared" si="110"/>
        <v>0</v>
      </c>
      <c r="Q353" s="15">
        <f t="shared" si="110"/>
        <v>0</v>
      </c>
      <c r="R353" s="15"/>
      <c r="S353" s="15"/>
      <c r="T353" s="15"/>
      <c r="U353" s="148"/>
      <c r="V353" s="133"/>
    </row>
    <row r="354" spans="1:23" x14ac:dyDescent="0.25">
      <c r="A354" s="146" t="s">
        <v>678</v>
      </c>
      <c r="C354" s="150" t="s">
        <v>732</v>
      </c>
      <c r="D354" s="140" t="s">
        <v>276</v>
      </c>
      <c r="E354" s="140" t="s">
        <v>319</v>
      </c>
      <c r="F354" s="15">
        <f>VLOOKUP(C354,'Functional Assignment'!$C$1:$AR$730,16,)</f>
        <v>0</v>
      </c>
      <c r="G354" s="15">
        <f t="shared" si="108"/>
        <v>0</v>
      </c>
      <c r="H354" s="15">
        <f t="shared" si="108"/>
        <v>0</v>
      </c>
      <c r="I354" s="15">
        <f t="shared" si="108"/>
        <v>0</v>
      </c>
      <c r="J354" s="15">
        <f t="shared" si="108"/>
        <v>0</v>
      </c>
      <c r="K354" s="15">
        <f>(VLOOKUP($E354,$D$6:$AI$659,8,)/VLOOKUP($E354,$D$6:$AI$659,3,))*$F354</f>
        <v>0</v>
      </c>
      <c r="L354" s="15">
        <f t="shared" si="109"/>
        <v>0</v>
      </c>
      <c r="M354" s="15">
        <f t="shared" si="109"/>
        <v>0</v>
      </c>
      <c r="N354" s="15">
        <f>(VLOOKUP($E354,$D$6:$AI$659,11,)/VLOOKUP($E354,$D$6:$AI$659,3,))*$F354</f>
        <v>0</v>
      </c>
      <c r="O354" s="15">
        <f t="shared" si="110"/>
        <v>0</v>
      </c>
      <c r="P354" s="15">
        <f t="shared" si="110"/>
        <v>0</v>
      </c>
      <c r="Q354" s="15">
        <f t="shared" si="110"/>
        <v>0</v>
      </c>
      <c r="R354" s="15"/>
      <c r="S354" s="15"/>
      <c r="T354" s="15"/>
      <c r="U354" s="148"/>
      <c r="V354" s="133"/>
    </row>
    <row r="355" spans="1:23" x14ac:dyDescent="0.25">
      <c r="A355" s="140" t="s">
        <v>229</v>
      </c>
      <c r="F355" s="147">
        <f t="shared" ref="F355:Q355" si="111">SUM(F351:F354)</f>
        <v>-13520.47294095388</v>
      </c>
      <c r="G355" s="147">
        <f t="shared" si="111"/>
        <v>-8105.3087772463978</v>
      </c>
      <c r="H355" s="147">
        <f t="shared" si="111"/>
        <v>-3943.4013056985896</v>
      </c>
      <c r="I355" s="147">
        <f t="shared" si="111"/>
        <v>-541.18351813148524</v>
      </c>
      <c r="J355" s="147">
        <f t="shared" si="111"/>
        <v>-102.07471811355425</v>
      </c>
      <c r="K355" s="147">
        <f t="shared" si="111"/>
        <v>-828.50462176385452</v>
      </c>
      <c r="L355" s="147">
        <f t="shared" si="111"/>
        <v>0</v>
      </c>
      <c r="M355" s="147">
        <f t="shared" si="111"/>
        <v>0</v>
      </c>
      <c r="N355" s="147">
        <f t="shared" si="111"/>
        <v>0</v>
      </c>
      <c r="O355" s="147">
        <f t="shared" si="111"/>
        <v>0</v>
      </c>
      <c r="P355" s="147">
        <f t="shared" si="111"/>
        <v>0</v>
      </c>
      <c r="Q355" s="147">
        <f t="shared" si="111"/>
        <v>0</v>
      </c>
      <c r="R355" s="147">
        <f>R351+R352</f>
        <v>0</v>
      </c>
      <c r="S355" s="147">
        <f>S351+S352</f>
        <v>0</v>
      </c>
      <c r="T355" s="147">
        <f>T351+T352</f>
        <v>0</v>
      </c>
      <c r="U355" s="148">
        <f>SUM(G355:M355)</f>
        <v>-13520.472940953881</v>
      </c>
      <c r="V355" s="133" t="str">
        <f>IF(ABS(F355-U355)&lt;0.01,"ok","err")</f>
        <v>ok</v>
      </c>
      <c r="W355" s="149"/>
    </row>
    <row r="356" spans="1:23" x14ac:dyDescent="0.25">
      <c r="F356" s="15"/>
      <c r="U356" s="148"/>
    </row>
    <row r="357" spans="1:23" x14ac:dyDescent="0.25">
      <c r="A357" s="134" t="s">
        <v>10</v>
      </c>
      <c r="F357" s="15"/>
      <c r="U357" s="148"/>
    </row>
    <row r="358" spans="1:23" x14ac:dyDescent="0.25">
      <c r="A358" s="146" t="s">
        <v>208</v>
      </c>
      <c r="C358" s="150" t="s">
        <v>732</v>
      </c>
      <c r="D358" s="140" t="s">
        <v>270</v>
      </c>
      <c r="E358" s="140" t="s">
        <v>320</v>
      </c>
      <c r="F358" s="147">
        <f>VLOOKUP(C358,'Functional Assignment'!$C$1:$AR$730,17,)</f>
        <v>-11868.050554214431</v>
      </c>
      <c r="G358" s="147">
        <f>(VLOOKUP($E358,$D$6:$AI$659,G$2,)/VLOOKUP($E358,$D$6:$AI$659,3,))*$F358</f>
        <v>-8828.7236162441404</v>
      </c>
      <c r="H358" s="147">
        <f>(VLOOKUP($E358,$D$6:$AI$659,H$2,)/VLOOKUP($E358,$D$6:$AI$659,3,))*$F358</f>
        <v>-2849.4969017177432</v>
      </c>
      <c r="I358" s="147">
        <f>(VLOOKUP($E358,$D$6:$AI$659,I$2,)/VLOOKUP($E358,$D$6:$AI$659,3,))*$F358</f>
        <v>-79.529420043158481</v>
      </c>
      <c r="J358" s="147">
        <f>(VLOOKUP($E358,$D$6:$AI$659,J$2,)/VLOOKUP($E358,$D$6:$AI$659,3,))*$F358</f>
        <v>-1.7838374589119659</v>
      </c>
      <c r="K358" s="147">
        <f>(VLOOKUP($E358,$D$6:$AI$659,8,)/VLOOKUP($E358,$D$6:$AI$659,3,))*$F358</f>
        <v>-108.51677875047793</v>
      </c>
      <c r="L358" s="147">
        <f>(VLOOKUP($E358,$D$6:$AI$659,L$2,)/VLOOKUP($E358,$D$6:$AI$659,3,))*$F358</f>
        <v>0</v>
      </c>
      <c r="M358" s="147">
        <f>(VLOOKUP($E358,$D$6:$AI$659,M$2,)/VLOOKUP($E358,$D$6:$AI$659,3,))*$F358</f>
        <v>0</v>
      </c>
      <c r="N358" s="147">
        <f>(VLOOKUP($E358,$D$6:$AI$659,11,)/VLOOKUP($E358,$D$6:$AI$659,3,))*$F358</f>
        <v>0</v>
      </c>
      <c r="O358" s="147">
        <f>(VLOOKUP($E358,$D$6:$AI$659,O$2,)/VLOOKUP($E358,$D$6:$AI$659,3,))*$F358</f>
        <v>0</v>
      </c>
      <c r="P358" s="147">
        <f>(VLOOKUP($E358,$D$6:$AI$659,P$2,)/VLOOKUP($E358,$D$6:$AI$659,3,))*$F358</f>
        <v>0</v>
      </c>
      <c r="Q358" s="147">
        <f>(VLOOKUP($E358,$D$6:$AI$659,Q$2,)/VLOOKUP($E358,$D$6:$AI$659,3,))*$F358</f>
        <v>0</v>
      </c>
      <c r="R358" s="147">
        <f>(VLOOKUP($E358,$D$6:$AI$659,15,)/VLOOKUP($E358,$D$6:$AI$659,3,))*$F358</f>
        <v>0</v>
      </c>
      <c r="S358" s="147">
        <f>(VLOOKUP($E358,$D$6:$AI$659,16,)/VLOOKUP($E358,$D$6:$AI$659,3,))*$F358</f>
        <v>0</v>
      </c>
      <c r="T358" s="147">
        <f>(VLOOKUP($E358,$D$6:$AI$659,17,)/VLOOKUP($E358,$D$6:$AI$659,3,))*$F358</f>
        <v>0</v>
      </c>
      <c r="U358" s="148">
        <f>SUM(G358:M358)</f>
        <v>-11868.050554214431</v>
      </c>
      <c r="V358" s="133" t="str">
        <f>IF(ABS(F358-U358)&lt;0.01,"ok","err")</f>
        <v>ok</v>
      </c>
      <c r="W358" s="149"/>
    </row>
    <row r="359" spans="1:23" x14ac:dyDescent="0.25">
      <c r="F359" s="15"/>
      <c r="U359" s="148"/>
    </row>
    <row r="360" spans="1:23" x14ac:dyDescent="0.25">
      <c r="A360" s="134" t="s">
        <v>11</v>
      </c>
      <c r="F360" s="15"/>
      <c r="U360" s="148"/>
    </row>
    <row r="361" spans="1:23" x14ac:dyDescent="0.25">
      <c r="A361" s="146" t="s">
        <v>208</v>
      </c>
      <c r="C361" s="150" t="s">
        <v>732</v>
      </c>
      <c r="D361" s="140" t="s">
        <v>277</v>
      </c>
      <c r="E361" s="140" t="s">
        <v>321</v>
      </c>
      <c r="F361" s="147">
        <f>VLOOKUP(C361,'Functional Assignment'!$C$1:$AR$730,18,)</f>
        <v>-2751.7448829830628</v>
      </c>
      <c r="G361" s="147">
        <f>(VLOOKUP($E361,$D$6:$AI$659,G$2,)/VLOOKUP($E361,$D$6:$AI$659,3,))*$F361</f>
        <v>-1849.2574117285492</v>
      </c>
      <c r="H361" s="147">
        <f>(VLOOKUP($E361,$D$6:$AI$659,H$2,)/VLOOKUP($E361,$D$6:$AI$659,3,))*$F361</f>
        <v>-759.51447746571046</v>
      </c>
      <c r="I361" s="147">
        <f>(VLOOKUP($E361,$D$6:$AI$659,I$2,)/VLOOKUP($E361,$D$6:$AI$659,3,))*$F361</f>
        <v>-62.418222173419849</v>
      </c>
      <c r="J361" s="147">
        <f>(VLOOKUP($E361,$D$6:$AI$659,J$2,)/VLOOKUP($E361,$D$6:$AI$659,3,))*$F361</f>
        <v>-1.761628194696109</v>
      </c>
      <c r="K361" s="147">
        <f>(VLOOKUP($E361,$D$6:$AI$659,8,)/VLOOKUP($E361,$D$6:$AI$659,3,))*$F361</f>
        <v>-78.793143420686675</v>
      </c>
      <c r="L361" s="147">
        <f>(VLOOKUP($E361,$D$6:$AI$659,L$2,)/VLOOKUP($E361,$D$6:$AI$659,3,))*$F361</f>
        <v>0</v>
      </c>
      <c r="M361" s="147">
        <f>(VLOOKUP($E361,$D$6:$AI$659,M$2,)/VLOOKUP($E361,$D$6:$AI$659,3,))*$F361</f>
        <v>0</v>
      </c>
      <c r="N361" s="147">
        <f>(VLOOKUP($E361,$D$6:$AI$659,11,)/VLOOKUP($E361,$D$6:$AI$659,3,))*$F361</f>
        <v>0</v>
      </c>
      <c r="O361" s="147">
        <f>(VLOOKUP($E361,$D$6:$AI$659,O$2,)/VLOOKUP($E361,$D$6:$AI$659,3,))*$F361</f>
        <v>0</v>
      </c>
      <c r="P361" s="147">
        <f>(VLOOKUP($E361,$D$6:$AI$659,P$2,)/VLOOKUP($E361,$D$6:$AI$659,3,))*$F361</f>
        <v>0</v>
      </c>
      <c r="Q361" s="147">
        <f>(VLOOKUP($E361,$D$6:$AI$659,Q$2,)/VLOOKUP($E361,$D$6:$AI$659,3,))*$F361</f>
        <v>0</v>
      </c>
      <c r="R361" s="147">
        <f>(VLOOKUP($E361,$D$6:$AI$659,15,)/VLOOKUP($E361,$D$6:$AI$659,3,))*$F361</f>
        <v>0</v>
      </c>
      <c r="S361" s="147">
        <f>(VLOOKUP($E361,$D$6:$AI$659,16,)/VLOOKUP($E361,$D$6:$AI$659,3,))*$F361</f>
        <v>0</v>
      </c>
      <c r="T361" s="147">
        <f>(VLOOKUP($E361,$D$6:$AI$659,17,)/VLOOKUP($E361,$D$6:$AI$659,3,))*$F361</f>
        <v>0</v>
      </c>
      <c r="U361" s="148">
        <f>SUM(G361:M361)</f>
        <v>-2751.7448829830623</v>
      </c>
      <c r="V361" s="133" t="str">
        <f>IF(ABS(F361-U361)&lt;0.01,"ok","err")</f>
        <v>ok</v>
      </c>
    </row>
    <row r="362" spans="1:23" x14ac:dyDescent="0.25">
      <c r="F362" s="15"/>
      <c r="U362" s="148"/>
    </row>
    <row r="363" spans="1:23" x14ac:dyDescent="0.25">
      <c r="A363" s="134" t="s">
        <v>12</v>
      </c>
      <c r="F363" s="15"/>
      <c r="U363" s="148"/>
    </row>
    <row r="364" spans="1:23" x14ac:dyDescent="0.25">
      <c r="A364" s="146" t="s">
        <v>208</v>
      </c>
      <c r="C364" s="150" t="s">
        <v>732</v>
      </c>
      <c r="D364" s="140" t="s">
        <v>278</v>
      </c>
      <c r="E364" s="140" t="s">
        <v>322</v>
      </c>
      <c r="F364" s="147">
        <f>VLOOKUP(C364,'Functional Assignment'!$C$1:$AR$730,19,)</f>
        <v>0</v>
      </c>
      <c r="G364" s="147">
        <f>(VLOOKUP($E364,$D$6:$AI$659,G$2,)/VLOOKUP($E364,$D$6:$AI$659,3,))*$F364</f>
        <v>0</v>
      </c>
      <c r="H364" s="147">
        <f>(VLOOKUP($E364,$D$6:$AI$659,H$2,)/VLOOKUP($E364,$D$6:$AI$659,3,))*$F364</f>
        <v>0</v>
      </c>
      <c r="I364" s="147">
        <f>(VLOOKUP($E364,$D$6:$AI$659,I$2,)/VLOOKUP($E364,$D$6:$AI$659,3,))*$F364</f>
        <v>0</v>
      </c>
      <c r="J364" s="147">
        <f>(VLOOKUP($E364,$D$6:$AI$659,J$2,)/VLOOKUP($E364,$D$6:$AI$659,3,))*$F364</f>
        <v>0</v>
      </c>
      <c r="K364" s="147">
        <f>(VLOOKUP($E364,$D$6:$AI$659,8,)/VLOOKUP($E364,$D$6:$AI$659,3,))*$F364</f>
        <v>0</v>
      </c>
      <c r="L364" s="147">
        <f>(VLOOKUP($E364,$D$6:$AI$659,L$2,)/VLOOKUP($E364,$D$6:$AI$659,3,))*$F364</f>
        <v>0</v>
      </c>
      <c r="M364" s="147">
        <f>(VLOOKUP($E364,$D$6:$AI$659,M$2,)/VLOOKUP($E364,$D$6:$AI$659,3,))*$F364</f>
        <v>0</v>
      </c>
      <c r="N364" s="147">
        <f>(VLOOKUP($E364,$D$6:$AI$659,11,)/VLOOKUP($E364,$D$6:$AI$659,3,))*$F364</f>
        <v>0</v>
      </c>
      <c r="O364" s="147">
        <f>(VLOOKUP($E364,$D$6:$AI$659,O$2,)/VLOOKUP($E364,$D$6:$AI$659,3,))*$F364</f>
        <v>0</v>
      </c>
      <c r="P364" s="147">
        <f>(VLOOKUP($E364,$D$6:$AI$659,P$2,)/VLOOKUP($E364,$D$6:$AI$659,3,))*$F364</f>
        <v>0</v>
      </c>
      <c r="Q364" s="147">
        <f>(VLOOKUP($E364,$D$6:$AI$659,Q$2,)/VLOOKUP($E364,$D$6:$AI$659,3,))*$F364</f>
        <v>0</v>
      </c>
      <c r="R364" s="147">
        <f>(VLOOKUP($E364,$D$6:$AI$659,15,)/VLOOKUP($E364,$D$6:$AI$659,3,))*$F364</f>
        <v>0</v>
      </c>
      <c r="S364" s="147">
        <f>(VLOOKUP($E364,$D$6:$AI$659,16,)/VLOOKUP($E364,$D$6:$AI$659,3,))*$F364</f>
        <v>0</v>
      </c>
      <c r="T364" s="147">
        <f>(VLOOKUP($E364,$D$6:$AI$659,17,)/VLOOKUP($E364,$D$6:$AI$659,3,))*$F364</f>
        <v>0</v>
      </c>
      <c r="U364" s="148">
        <f>SUM(G364:M364)</f>
        <v>0</v>
      </c>
      <c r="V364" s="133" t="str">
        <f>IF(ABS(F364-U364)&lt;0.01,"ok","err")</f>
        <v>ok</v>
      </c>
    </row>
    <row r="365" spans="1:23" x14ac:dyDescent="0.25">
      <c r="F365" s="15"/>
      <c r="U365" s="148"/>
    </row>
    <row r="366" spans="1:23" x14ac:dyDescent="0.25">
      <c r="A366" s="134" t="s">
        <v>13</v>
      </c>
      <c r="F366" s="15"/>
      <c r="U366" s="148"/>
    </row>
    <row r="367" spans="1:23" x14ac:dyDescent="0.25">
      <c r="A367" s="146" t="s">
        <v>208</v>
      </c>
      <c r="C367" s="150" t="s">
        <v>732</v>
      </c>
      <c r="D367" s="140" t="s">
        <v>279</v>
      </c>
      <c r="E367" s="140" t="s">
        <v>323</v>
      </c>
      <c r="F367" s="147">
        <f>VLOOKUP(C367,'Functional Assignment'!$C$1:$AR$730,20,)</f>
        <v>0</v>
      </c>
      <c r="G367" s="147">
        <f>(VLOOKUP($E367,$D$6:$AI$659,G$2,)/VLOOKUP($E367,$D$6:$AI$659,3,))*$F367</f>
        <v>0</v>
      </c>
      <c r="H367" s="147">
        <f>(VLOOKUP($E367,$D$6:$AI$659,H$2,)/VLOOKUP($E367,$D$6:$AI$659,3,))*$F367</f>
        <v>0</v>
      </c>
      <c r="I367" s="147">
        <f>(VLOOKUP($E367,$D$6:$AI$659,I$2,)/VLOOKUP($E367,$D$6:$AI$659,3,))*$F367</f>
        <v>0</v>
      </c>
      <c r="J367" s="147">
        <f>(VLOOKUP($E367,$D$6:$AI$659,J$2,)/VLOOKUP($E367,$D$6:$AI$659,3,))*$F367</f>
        <v>0</v>
      </c>
      <c r="K367" s="147">
        <f>(VLOOKUP($E367,$D$6:$AI$659,8,)/VLOOKUP($E367,$D$6:$AI$659,3,))*$F367</f>
        <v>0</v>
      </c>
      <c r="L367" s="147">
        <f>(VLOOKUP($E367,$D$6:$AI$659,L$2,)/VLOOKUP($E367,$D$6:$AI$659,3,))*$F367</f>
        <v>0</v>
      </c>
      <c r="M367" s="147">
        <f>(VLOOKUP($E367,$D$6:$AI$659,M$2,)/VLOOKUP($E367,$D$6:$AI$659,3,))*$F367</f>
        <v>0</v>
      </c>
      <c r="N367" s="147">
        <f>(VLOOKUP($E367,$D$6:$AI$659,11,)/VLOOKUP($E367,$D$6:$AI$659,3,))*$F367</f>
        <v>0</v>
      </c>
      <c r="O367" s="147">
        <f>(VLOOKUP($E367,$D$6:$AI$659,O$2,)/VLOOKUP($E367,$D$6:$AI$659,3,))*$F367</f>
        <v>0</v>
      </c>
      <c r="P367" s="147">
        <f>(VLOOKUP($E367,$D$6:$AI$659,P$2,)/VLOOKUP($E367,$D$6:$AI$659,3,))*$F367</f>
        <v>0</v>
      </c>
      <c r="Q367" s="147">
        <f>(VLOOKUP($E367,$D$6:$AI$659,Q$2,)/VLOOKUP($E367,$D$6:$AI$659,3,))*$F367</f>
        <v>0</v>
      </c>
      <c r="R367" s="147">
        <f>(VLOOKUP($E367,$D$6:$AI$659,15,)/VLOOKUP($E367,$D$6:$AI$659,3,))*$F367</f>
        <v>0</v>
      </c>
      <c r="S367" s="147">
        <f>(VLOOKUP($E367,$D$6:$AI$659,16,)/VLOOKUP($E367,$D$6:$AI$659,3,))*$F367</f>
        <v>0</v>
      </c>
      <c r="T367" s="147">
        <f>(VLOOKUP($E367,$D$6:$AI$659,17,)/VLOOKUP($E367,$D$6:$AI$659,3,))*$F367</f>
        <v>0</v>
      </c>
      <c r="U367" s="148">
        <f>SUM(G367:M367)</f>
        <v>0</v>
      </c>
      <c r="V367" s="133" t="str">
        <f>IF(ABS(F367-U367)&lt;0.01,"ok","err")</f>
        <v>ok</v>
      </c>
    </row>
    <row r="368" spans="1:23" x14ac:dyDescent="0.25">
      <c r="F368" s="15"/>
      <c r="U368" s="148"/>
    </row>
    <row r="369" spans="1:24" x14ac:dyDescent="0.25">
      <c r="A369" s="140" t="s">
        <v>14</v>
      </c>
      <c r="D369" s="140" t="s">
        <v>81</v>
      </c>
      <c r="F369" s="147">
        <f t="shared" ref="F369:T369" si="112">F332+F337+F342+F345+F348+F355+F358+F361+F364+F367</f>
        <v>-35870</v>
      </c>
      <c r="G369" s="147">
        <f t="shared" si="112"/>
        <v>-23748.964948456996</v>
      </c>
      <c r="H369" s="147">
        <f t="shared" si="112"/>
        <v>-9792.7210391152475</v>
      </c>
      <c r="I369" s="147">
        <f t="shared" si="112"/>
        <v>-878.8655255114528</v>
      </c>
      <c r="J369" s="147">
        <f t="shared" si="112"/>
        <v>-113.75771339991778</v>
      </c>
      <c r="K369" s="147">
        <f t="shared" si="112"/>
        <v>-1335.6907735163854</v>
      </c>
      <c r="L369" s="147">
        <f t="shared" si="112"/>
        <v>0</v>
      </c>
      <c r="M369" s="147">
        <f t="shared" si="112"/>
        <v>0</v>
      </c>
      <c r="N369" s="147">
        <f t="shared" si="112"/>
        <v>-54.50642846606992</v>
      </c>
      <c r="O369" s="147">
        <f t="shared" si="112"/>
        <v>0</v>
      </c>
      <c r="P369" s="147">
        <f t="shared" si="112"/>
        <v>0</v>
      </c>
      <c r="Q369" s="147">
        <f t="shared" si="112"/>
        <v>0</v>
      </c>
      <c r="R369" s="147">
        <f t="shared" si="112"/>
        <v>0</v>
      </c>
      <c r="S369" s="147">
        <f t="shared" si="112"/>
        <v>0</v>
      </c>
      <c r="T369" s="147">
        <f t="shared" si="112"/>
        <v>0</v>
      </c>
      <c r="U369" s="148">
        <f>SUM(G369:M369)</f>
        <v>-35869.999999999993</v>
      </c>
      <c r="V369" s="133" t="str">
        <f>IF(ABS(F369-U369)&lt;0.01,"ok","err")</f>
        <v>ok</v>
      </c>
      <c r="W369" s="148"/>
      <c r="X369" s="133"/>
    </row>
    <row r="370" spans="1:24" x14ac:dyDescent="0.25">
      <c r="U370" s="148"/>
    </row>
    <row r="371" spans="1:24" x14ac:dyDescent="0.25">
      <c r="A371" s="145" t="s">
        <v>215</v>
      </c>
      <c r="U371" s="148"/>
    </row>
    <row r="372" spans="1:24" x14ac:dyDescent="0.25">
      <c r="U372" s="148"/>
    </row>
    <row r="373" spans="1:24" x14ac:dyDescent="0.25">
      <c r="A373" s="134" t="s">
        <v>455</v>
      </c>
      <c r="U373" s="148"/>
    </row>
    <row r="374" spans="1:24" x14ac:dyDescent="0.25">
      <c r="A374" s="146" t="s">
        <v>207</v>
      </c>
      <c r="C374" s="140" t="s">
        <v>177</v>
      </c>
      <c r="D374" s="140" t="s">
        <v>281</v>
      </c>
      <c r="E374" s="140" t="s">
        <v>310</v>
      </c>
      <c r="F374" s="147">
        <f>VLOOKUP(C374,'Functional Assignment'!$C$1:$AR$730,5,)</f>
        <v>0</v>
      </c>
      <c r="G374" s="147">
        <f t="shared" ref="G374:J375" si="113">(VLOOKUP($E374,$D$6:$AI$659,G$2,)/VLOOKUP($E374,$D$6:$AI$659,3,))*$F374</f>
        <v>0</v>
      </c>
      <c r="H374" s="147">
        <f t="shared" si="113"/>
        <v>0</v>
      </c>
      <c r="I374" s="147">
        <f t="shared" si="113"/>
        <v>0</v>
      </c>
      <c r="J374" s="147">
        <f t="shared" si="113"/>
        <v>0</v>
      </c>
      <c r="K374" s="147">
        <f>(VLOOKUP($E374,$D$6:$AI$659,8,)/VLOOKUP($E374,$D$6:$AI$659,3,))*$F374</f>
        <v>0</v>
      </c>
      <c r="L374" s="147">
        <f>(VLOOKUP($E374,$D$6:$AI$659,L$2,)/VLOOKUP($E374,$D$6:$AI$659,3,))*$F374</f>
        <v>0</v>
      </c>
      <c r="M374" s="147">
        <f>(VLOOKUP($E374,$D$6:$AI$659,M$2,)/VLOOKUP($E374,$D$6:$AI$659,3,))*$F374</f>
        <v>0</v>
      </c>
      <c r="N374" s="147">
        <f>(VLOOKUP($E374,$D$6:$AI$659,11,)/VLOOKUP($E374,$D$6:$AI$659,3,))*$F374</f>
        <v>0</v>
      </c>
      <c r="O374" s="147">
        <f t="shared" ref="O374:Q375" si="114">(VLOOKUP($E374,$D$6:$AI$659,O$2,)/VLOOKUP($E374,$D$6:$AI$659,3,))*$F374</f>
        <v>0</v>
      </c>
      <c r="P374" s="147">
        <f t="shared" si="114"/>
        <v>0</v>
      </c>
      <c r="Q374" s="147">
        <f t="shared" si="114"/>
        <v>0</v>
      </c>
      <c r="R374" s="147">
        <f>(VLOOKUP($E374,$D$6:$AI$659,15,)/VLOOKUP($E374,$D$6:$AI$659,3,))*$F374</f>
        <v>0</v>
      </c>
      <c r="S374" s="147">
        <f>(VLOOKUP($E374,$D$6:$AI$659,16,)/VLOOKUP($E374,$D$6:$AI$659,3,))*$F374</f>
        <v>0</v>
      </c>
      <c r="T374" s="147">
        <f>(VLOOKUP($E374,$D$6:$AI$659,17,)/VLOOKUP($E374,$D$6:$AI$659,3,))*$F374</f>
        <v>0</v>
      </c>
      <c r="U374" s="148">
        <f>SUM(G374:M374)</f>
        <v>0</v>
      </c>
      <c r="V374" s="133" t="str">
        <f>IF(ABS(F374-U374)&lt;0.01,"ok","err")</f>
        <v>ok</v>
      </c>
    </row>
    <row r="375" spans="1:24" x14ac:dyDescent="0.25">
      <c r="A375" s="146" t="s">
        <v>226</v>
      </c>
      <c r="C375" s="140" t="s">
        <v>177</v>
      </c>
      <c r="D375" s="140" t="s">
        <v>282</v>
      </c>
      <c r="E375" s="140" t="s">
        <v>311</v>
      </c>
      <c r="F375" s="15">
        <f>VLOOKUP(C375,'Functional Assignment'!$C$1:$AR$730,6,)</f>
        <v>0</v>
      </c>
      <c r="G375" s="15">
        <f t="shared" si="113"/>
        <v>0</v>
      </c>
      <c r="H375" s="15">
        <f t="shared" si="113"/>
        <v>0</v>
      </c>
      <c r="I375" s="15">
        <f t="shared" si="113"/>
        <v>0</v>
      </c>
      <c r="J375" s="15">
        <f t="shared" si="113"/>
        <v>0</v>
      </c>
      <c r="K375" s="15">
        <f>(VLOOKUP($E375,$D$6:$AI$659,8,)/VLOOKUP($E375,$D$6:$AI$659,3,))*$F375</f>
        <v>0</v>
      </c>
      <c r="L375" s="15">
        <f>(VLOOKUP($E375,$D$6:$AI$659,L$2,)/VLOOKUP($E375,$D$6:$AI$659,3,))*$F375</f>
        <v>0</v>
      </c>
      <c r="M375" s="15">
        <f>(VLOOKUP($E375,$D$6:$AI$659,M$2,)/VLOOKUP($E375,$D$6:$AI$659,3,))*$F375</f>
        <v>0</v>
      </c>
      <c r="N375" s="15">
        <f>(VLOOKUP($E375,$D$6:$AI$659,11,)/VLOOKUP($E375,$D$6:$AI$659,3,))*$F375</f>
        <v>0</v>
      </c>
      <c r="O375" s="15">
        <f t="shared" si="114"/>
        <v>0</v>
      </c>
      <c r="P375" s="15">
        <f t="shared" si="114"/>
        <v>0</v>
      </c>
      <c r="Q375" s="15">
        <f t="shared" si="114"/>
        <v>0</v>
      </c>
      <c r="R375" s="15">
        <f>(VLOOKUP($E375,$D$6:$AI$659,15,)/VLOOKUP($E375,$D$6:$AI$659,3,))*$F375</f>
        <v>0</v>
      </c>
      <c r="S375" s="15">
        <f>(VLOOKUP($E375,$D$6:$AI$659,16,)/VLOOKUP($E375,$D$6:$AI$659,3,))*$F375</f>
        <v>0</v>
      </c>
      <c r="T375" s="15">
        <f>(VLOOKUP($E375,$D$6:$AI$659,17,)/VLOOKUP($E375,$D$6:$AI$659,3,))*$F375</f>
        <v>0</v>
      </c>
      <c r="U375" s="148">
        <f>SUM(G375:M375)</f>
        <v>0</v>
      </c>
      <c r="V375" s="133" t="str">
        <f>IF(ABS(F375-U375)&lt;0.01,"ok","err")</f>
        <v>ok</v>
      </c>
    </row>
    <row r="376" spans="1:24" x14ac:dyDescent="0.25">
      <c r="A376" s="140" t="s">
        <v>658</v>
      </c>
      <c r="D376" s="140" t="s">
        <v>341</v>
      </c>
      <c r="F376" s="147">
        <f t="shared" ref="F376:T376" si="115">F374+F375</f>
        <v>0</v>
      </c>
      <c r="G376" s="147">
        <f t="shared" si="115"/>
        <v>0</v>
      </c>
      <c r="H376" s="147">
        <f t="shared" si="115"/>
        <v>0</v>
      </c>
      <c r="I376" s="147">
        <f t="shared" si="115"/>
        <v>0</v>
      </c>
      <c r="J376" s="147">
        <f t="shared" si="115"/>
        <v>0</v>
      </c>
      <c r="K376" s="147">
        <f t="shared" si="115"/>
        <v>0</v>
      </c>
      <c r="L376" s="147">
        <f t="shared" si="115"/>
        <v>0</v>
      </c>
      <c r="M376" s="147">
        <f t="shared" si="115"/>
        <v>0</v>
      </c>
      <c r="N376" s="147">
        <f t="shared" si="115"/>
        <v>0</v>
      </c>
      <c r="O376" s="147">
        <f t="shared" si="115"/>
        <v>0</v>
      </c>
      <c r="P376" s="147">
        <f t="shared" si="115"/>
        <v>0</v>
      </c>
      <c r="Q376" s="147">
        <f t="shared" si="115"/>
        <v>0</v>
      </c>
      <c r="R376" s="147">
        <f t="shared" si="115"/>
        <v>0</v>
      </c>
      <c r="S376" s="147">
        <f t="shared" si="115"/>
        <v>0</v>
      </c>
      <c r="T376" s="147">
        <f t="shared" si="115"/>
        <v>0</v>
      </c>
      <c r="U376" s="148">
        <f>SUM(G376:M376)</f>
        <v>0</v>
      </c>
      <c r="V376" s="133" t="str">
        <f>IF(ABS(F376-U376)&lt;0.01,"ok","err")</f>
        <v>ok</v>
      </c>
    </row>
    <row r="377" spans="1:24" x14ac:dyDescent="0.25">
      <c r="F377" s="15"/>
      <c r="G377" s="15"/>
      <c r="U377" s="148"/>
    </row>
    <row r="378" spans="1:24" x14ac:dyDescent="0.25">
      <c r="A378" s="134" t="s">
        <v>3</v>
      </c>
      <c r="F378" s="15"/>
      <c r="G378" s="15"/>
      <c r="U378" s="148"/>
    </row>
    <row r="379" spans="1:24" x14ac:dyDescent="0.25">
      <c r="A379" s="146" t="s">
        <v>207</v>
      </c>
      <c r="C379" s="140" t="s">
        <v>177</v>
      </c>
      <c r="D379" s="140" t="s">
        <v>283</v>
      </c>
      <c r="E379" s="140" t="s">
        <v>312</v>
      </c>
      <c r="F379" s="147">
        <f>VLOOKUP(C379,'Functional Assignment'!$C$1:$AR$730,7,)</f>
        <v>1612964.7433649923</v>
      </c>
      <c r="G379" s="147">
        <f t="shared" ref="G379:J380" si="116">(VLOOKUP($E379,$D$6:$AI$659,G$2,)/VLOOKUP($E379,$D$6:$AI$659,3,))*$F379</f>
        <v>1074292.5344803329</v>
      </c>
      <c r="H379" s="147">
        <f t="shared" si="116"/>
        <v>483457.6970842568</v>
      </c>
      <c r="I379" s="147">
        <f t="shared" si="116"/>
        <v>41140.329421875984</v>
      </c>
      <c r="J379" s="147">
        <f t="shared" si="116"/>
        <v>0</v>
      </c>
      <c r="K379" s="147">
        <f>(VLOOKUP($E379,$D$6:$AI$659,8,)/VLOOKUP($E379,$D$6:$AI$659,3,))*$F379</f>
        <v>14074.182378526595</v>
      </c>
      <c r="L379" s="147">
        <f>(VLOOKUP($E379,$D$6:$AI$659,L$2,)/VLOOKUP($E379,$D$6:$AI$659,3,))*$F379</f>
        <v>0</v>
      </c>
      <c r="M379" s="147">
        <f>(VLOOKUP($E379,$D$6:$AI$659,M$2,)/VLOOKUP($E379,$D$6:$AI$659,3,))*$F379</f>
        <v>0</v>
      </c>
      <c r="N379" s="147">
        <f>(VLOOKUP($E379,$D$6:$AI$659,11,)/VLOOKUP($E379,$D$6:$AI$659,3,))*$F379</f>
        <v>14074.182378526595</v>
      </c>
      <c r="O379" s="147">
        <f t="shared" ref="O379:Q380" si="117">(VLOOKUP($E379,$D$6:$AI$659,O$2,)/VLOOKUP($E379,$D$6:$AI$659,3,))*$F379</f>
        <v>0</v>
      </c>
      <c r="P379" s="147">
        <f t="shared" si="117"/>
        <v>0</v>
      </c>
      <c r="Q379" s="147">
        <f t="shared" si="117"/>
        <v>0</v>
      </c>
      <c r="R379" s="147">
        <f>(VLOOKUP($E379,$D$6:$AI$659,15,)/VLOOKUP($E379,$D$6:$AI$659,3,))*$F379</f>
        <v>0</v>
      </c>
      <c r="S379" s="147">
        <f>(VLOOKUP($E379,$D$6:$AI$659,16,)/VLOOKUP($E379,$D$6:$AI$659,3,))*$F379</f>
        <v>0</v>
      </c>
      <c r="T379" s="147">
        <f>(VLOOKUP($E379,$D$6:$AI$659,17,)/VLOOKUP($E379,$D$6:$AI$659,3,))*$F379</f>
        <v>0</v>
      </c>
      <c r="U379" s="148">
        <f>SUM(G379:M379)</f>
        <v>1612964.7433649923</v>
      </c>
      <c r="V379" s="133" t="str">
        <f>IF(ABS(F379-U379)&lt;0.01,"ok","err")</f>
        <v>ok</v>
      </c>
    </row>
    <row r="380" spans="1:24" x14ac:dyDescent="0.25">
      <c r="A380" s="140" t="s">
        <v>226</v>
      </c>
      <c r="C380" s="140" t="s">
        <v>177</v>
      </c>
      <c r="D380" s="140" t="s">
        <v>284</v>
      </c>
      <c r="E380" s="140" t="s">
        <v>313</v>
      </c>
      <c r="F380" s="15">
        <f>VLOOKUP(C380,'Functional Assignment'!$C$1:$AR$730,8,)</f>
        <v>0</v>
      </c>
      <c r="G380" s="15">
        <f t="shared" si="116"/>
        <v>0</v>
      </c>
      <c r="H380" s="15">
        <f t="shared" si="116"/>
        <v>0</v>
      </c>
      <c r="I380" s="15">
        <f t="shared" si="116"/>
        <v>0</v>
      </c>
      <c r="J380" s="15">
        <f t="shared" si="116"/>
        <v>0</v>
      </c>
      <c r="K380" s="15">
        <f>(VLOOKUP($E380,$D$6:$AI$659,8,)/VLOOKUP($E380,$D$6:$AI$659,3,))*$F380</f>
        <v>0</v>
      </c>
      <c r="L380" s="15">
        <f>(VLOOKUP($E380,$D$6:$AI$659,L$2,)/VLOOKUP($E380,$D$6:$AI$659,3,))*$F380</f>
        <v>0</v>
      </c>
      <c r="M380" s="15">
        <f>(VLOOKUP($E380,$D$6:$AI$659,M$2,)/VLOOKUP($E380,$D$6:$AI$659,3,))*$F380</f>
        <v>0</v>
      </c>
      <c r="N380" s="15">
        <f>(VLOOKUP($E380,$D$6:$AI$659,11,)/VLOOKUP($E380,$D$6:$AI$659,3,))*$F380</f>
        <v>0</v>
      </c>
      <c r="O380" s="15">
        <f t="shared" si="117"/>
        <v>0</v>
      </c>
      <c r="P380" s="15">
        <f t="shared" si="117"/>
        <v>0</v>
      </c>
      <c r="Q380" s="15">
        <f t="shared" si="117"/>
        <v>0</v>
      </c>
      <c r="R380" s="15">
        <f>(VLOOKUP($E380,$D$6:$AI$659,15,)/VLOOKUP($E380,$D$6:$AI$659,3,))*$F380</f>
        <v>0</v>
      </c>
      <c r="S380" s="15">
        <f>(VLOOKUP($E380,$D$6:$AI$659,16,)/VLOOKUP($E380,$D$6:$AI$659,3,))*$F380</f>
        <v>0</v>
      </c>
      <c r="T380" s="15">
        <f>(VLOOKUP($E380,$D$6:$AI$659,17,)/VLOOKUP($E380,$D$6:$AI$659,3,))*$F380</f>
        <v>0</v>
      </c>
      <c r="U380" s="148">
        <f>SUM(G380:M380)</f>
        <v>0</v>
      </c>
      <c r="V380" s="133" t="str">
        <f>IF(ABS(F380-U380)&lt;0.01,"ok","err")</f>
        <v>ok</v>
      </c>
      <c r="W380" s="149"/>
    </row>
    <row r="381" spans="1:24" x14ac:dyDescent="0.25">
      <c r="A381" s="140" t="s">
        <v>227</v>
      </c>
      <c r="D381" s="140" t="s">
        <v>342</v>
      </c>
      <c r="F381" s="147">
        <f>SUM(F379:F380)</f>
        <v>1612964.7433649923</v>
      </c>
      <c r="G381" s="147">
        <f t="shared" ref="G381:T381" si="118">G379+G380</f>
        <v>1074292.5344803329</v>
      </c>
      <c r="H381" s="147">
        <f t="shared" si="118"/>
        <v>483457.6970842568</v>
      </c>
      <c r="I381" s="147">
        <f t="shared" si="118"/>
        <v>41140.329421875984</v>
      </c>
      <c r="J381" s="147">
        <f t="shared" si="118"/>
        <v>0</v>
      </c>
      <c r="K381" s="147">
        <f t="shared" si="118"/>
        <v>14074.182378526595</v>
      </c>
      <c r="L381" s="147">
        <f t="shared" si="118"/>
        <v>0</v>
      </c>
      <c r="M381" s="147">
        <f t="shared" si="118"/>
        <v>0</v>
      </c>
      <c r="N381" s="147">
        <f t="shared" si="118"/>
        <v>14074.182378526595</v>
      </c>
      <c r="O381" s="147">
        <f t="shared" si="118"/>
        <v>0</v>
      </c>
      <c r="P381" s="147">
        <f t="shared" si="118"/>
        <v>0</v>
      </c>
      <c r="Q381" s="147">
        <f t="shared" si="118"/>
        <v>0</v>
      </c>
      <c r="R381" s="147">
        <f t="shared" si="118"/>
        <v>0</v>
      </c>
      <c r="S381" s="147">
        <f t="shared" si="118"/>
        <v>0</v>
      </c>
      <c r="T381" s="147">
        <f t="shared" si="118"/>
        <v>0</v>
      </c>
      <c r="U381" s="148">
        <f>SUM(G381:M381)</f>
        <v>1612964.7433649923</v>
      </c>
      <c r="V381" s="133" t="str">
        <f>IF(ABS(F381-U381)&lt;0.01,"ok","err")</f>
        <v>ok</v>
      </c>
      <c r="W381" s="149"/>
    </row>
    <row r="382" spans="1:24" x14ac:dyDescent="0.25">
      <c r="F382" s="15"/>
      <c r="G382" s="15"/>
      <c r="U382" s="148"/>
    </row>
    <row r="383" spans="1:24" x14ac:dyDescent="0.25">
      <c r="A383" s="134" t="s">
        <v>4</v>
      </c>
      <c r="F383" s="15"/>
      <c r="G383" s="15"/>
      <c r="U383" s="148"/>
    </row>
    <row r="384" spans="1:24" x14ac:dyDescent="0.25">
      <c r="A384" s="146" t="s">
        <v>870</v>
      </c>
      <c r="C384" s="140" t="s">
        <v>177</v>
      </c>
      <c r="D384" s="140" t="s">
        <v>285</v>
      </c>
      <c r="E384" s="140" t="s">
        <v>317</v>
      </c>
      <c r="F384" s="147">
        <f>VLOOKUP(C384,'Functional Assignment'!$C$1:$AR$730,9,)</f>
        <v>99301.262883194722</v>
      </c>
      <c r="G384" s="147">
        <f t="shared" ref="G384:J385" si="119">(VLOOKUP($E384,$D$6:$AI$659,G$2,)/VLOOKUP($E384,$D$6:$AI$659,3,))*$F384</f>
        <v>53911.496614800868</v>
      </c>
      <c r="H384" s="147">
        <f t="shared" si="119"/>
        <v>24638.726255042027</v>
      </c>
      <c r="I384" s="147">
        <f t="shared" si="119"/>
        <v>2437.6738698251183</v>
      </c>
      <c r="J384" s="147">
        <f t="shared" si="119"/>
        <v>544.8686119705053</v>
      </c>
      <c r="K384" s="147">
        <f>(VLOOKUP($E384,$D$6:$AI$659,8,)/VLOOKUP($E384,$D$6:$AI$659,3,))*$F384</f>
        <v>17768.497531556201</v>
      </c>
      <c r="L384" s="147">
        <f>(VLOOKUP($E384,$D$6:$AI$659,L$2,)/VLOOKUP($E384,$D$6:$AI$659,3,))*$F384</f>
        <v>0</v>
      </c>
      <c r="M384" s="147">
        <f>(VLOOKUP($E384,$D$6:$AI$659,M$2,)/VLOOKUP($E384,$D$6:$AI$659,3,))*$F384</f>
        <v>0</v>
      </c>
      <c r="N384" s="147">
        <f>(VLOOKUP($E384,$D$6:$AI$659,11,)/VLOOKUP($E384,$D$6:$AI$659,3,))*$F384</f>
        <v>0</v>
      </c>
      <c r="O384" s="147">
        <f t="shared" ref="O384:Q385" si="120">(VLOOKUP($E384,$D$6:$AI$659,O$2,)/VLOOKUP($E384,$D$6:$AI$659,3,))*$F384</f>
        <v>0</v>
      </c>
      <c r="P384" s="147">
        <f t="shared" si="120"/>
        <v>0</v>
      </c>
      <c r="Q384" s="147">
        <f t="shared" si="120"/>
        <v>0</v>
      </c>
      <c r="R384" s="147">
        <f>(VLOOKUP($E384,$D$6:$AI$659,15,)/VLOOKUP($E384,$D$6:$AI$659,3,))*$F384</f>
        <v>0</v>
      </c>
      <c r="S384" s="147">
        <f>(VLOOKUP($E384,$D$6:$AI$659,16,)/VLOOKUP($E384,$D$6:$AI$659,3,))*$F384</f>
        <v>0</v>
      </c>
      <c r="T384" s="147">
        <f>(VLOOKUP($E384,$D$6:$AI$659,17,)/VLOOKUP($E384,$D$6:$AI$659,3,))*$F384</f>
        <v>0</v>
      </c>
      <c r="U384" s="148">
        <f>SUM(G384:M384)</f>
        <v>99301.262883194722</v>
      </c>
      <c r="V384" s="133" t="str">
        <f>IF(ABS(F384-U384)&lt;0.01,"ok","err")</f>
        <v>ok</v>
      </c>
    </row>
    <row r="385" spans="1:23" x14ac:dyDescent="0.25">
      <c r="A385" s="140" t="s">
        <v>865</v>
      </c>
      <c r="C385" s="140" t="s">
        <v>177</v>
      </c>
      <c r="D385" s="140" t="s">
        <v>286</v>
      </c>
      <c r="E385" s="140" t="s">
        <v>314</v>
      </c>
      <c r="F385" s="15">
        <f>VLOOKUP(C385,'Functional Assignment'!$C$1:$AR$730,10,)</f>
        <v>470445.7073353809</v>
      </c>
      <c r="G385" s="15">
        <f t="shared" si="119"/>
        <v>313333.76215921098</v>
      </c>
      <c r="H385" s="15">
        <f t="shared" si="119"/>
        <v>141007.7927661626</v>
      </c>
      <c r="I385" s="15">
        <f t="shared" si="119"/>
        <v>11999.20299219176</v>
      </c>
      <c r="J385" s="15">
        <f t="shared" si="119"/>
        <v>0</v>
      </c>
      <c r="K385" s="15">
        <f>(VLOOKUP($E385,$D$6:$AI$659,8,)/VLOOKUP($E385,$D$6:$AI$659,3,))*$F385</f>
        <v>4104.9494178155273</v>
      </c>
      <c r="L385" s="15">
        <f>(VLOOKUP($E385,$D$6:$AI$659,L$2,)/VLOOKUP($E385,$D$6:$AI$659,3,))*$F385</f>
        <v>0</v>
      </c>
      <c r="M385" s="15">
        <f>(VLOOKUP($E385,$D$6:$AI$659,M$2,)/VLOOKUP($E385,$D$6:$AI$659,3,))*$F385</f>
        <v>0</v>
      </c>
      <c r="N385" s="15">
        <f>(VLOOKUP($E385,$D$6:$AI$659,11,)/VLOOKUP($E385,$D$6:$AI$659,3,))*$F385</f>
        <v>4104.9494178155273</v>
      </c>
      <c r="O385" s="15">
        <f t="shared" si="120"/>
        <v>0</v>
      </c>
      <c r="P385" s="15">
        <f t="shared" si="120"/>
        <v>0</v>
      </c>
      <c r="Q385" s="15">
        <f t="shared" si="120"/>
        <v>0</v>
      </c>
      <c r="R385" s="15">
        <f>(VLOOKUP($E385,$D$6:$AI$659,15,)/VLOOKUP($E385,$D$6:$AI$659,3,))*$F385</f>
        <v>0</v>
      </c>
      <c r="S385" s="15">
        <f>(VLOOKUP($E385,$D$6:$AI$659,16,)/VLOOKUP($E385,$D$6:$AI$659,3,))*$F385</f>
        <v>0</v>
      </c>
      <c r="T385" s="15">
        <f>(VLOOKUP($E385,$D$6:$AI$659,17,)/VLOOKUP($E385,$D$6:$AI$659,3,))*$F385</f>
        <v>0</v>
      </c>
      <c r="U385" s="148">
        <f>SUM(G385:M385)</f>
        <v>470445.7073353809</v>
      </c>
      <c r="V385" s="133" t="str">
        <f>IF(ABS(F385-U385)&lt;0.01,"ok","err")</f>
        <v>ok</v>
      </c>
    </row>
    <row r="386" spans="1:23" x14ac:dyDescent="0.25">
      <c r="A386" s="140" t="s">
        <v>228</v>
      </c>
      <c r="D386" s="140" t="s">
        <v>343</v>
      </c>
      <c r="F386" s="147">
        <f>SUM(F384:F385)</f>
        <v>569746.97021857556</v>
      </c>
      <c r="G386" s="147">
        <f t="shared" ref="G386:T386" si="121">G384+G385</f>
        <v>367245.25877401186</v>
      </c>
      <c r="H386" s="147">
        <f t="shared" si="121"/>
        <v>165646.51902120461</v>
      </c>
      <c r="I386" s="147">
        <f t="shared" si="121"/>
        <v>14436.876862016878</v>
      </c>
      <c r="J386" s="147">
        <f t="shared" si="121"/>
        <v>544.8686119705053</v>
      </c>
      <c r="K386" s="147">
        <f t="shared" si="121"/>
        <v>21873.446949371726</v>
      </c>
      <c r="L386" s="147">
        <f t="shared" si="121"/>
        <v>0</v>
      </c>
      <c r="M386" s="147">
        <f t="shared" si="121"/>
        <v>0</v>
      </c>
      <c r="N386" s="147">
        <f t="shared" si="121"/>
        <v>4104.9494178155273</v>
      </c>
      <c r="O386" s="147">
        <f t="shared" si="121"/>
        <v>0</v>
      </c>
      <c r="P386" s="147">
        <f t="shared" si="121"/>
        <v>0</v>
      </c>
      <c r="Q386" s="147">
        <f t="shared" si="121"/>
        <v>0</v>
      </c>
      <c r="R386" s="147">
        <f t="shared" si="121"/>
        <v>0</v>
      </c>
      <c r="S386" s="147">
        <f t="shared" si="121"/>
        <v>0</v>
      </c>
      <c r="T386" s="147">
        <f t="shared" si="121"/>
        <v>0</v>
      </c>
      <c r="U386" s="148">
        <f>SUM(G386:M386)</f>
        <v>569746.97021857556</v>
      </c>
      <c r="V386" s="133" t="str">
        <f>IF(ABS(F386-U386)&lt;0.01,"ok","err")</f>
        <v>ok</v>
      </c>
    </row>
    <row r="387" spans="1:23" x14ac:dyDescent="0.25">
      <c r="F387" s="15"/>
      <c r="U387" s="148"/>
    </row>
    <row r="388" spans="1:23" x14ac:dyDescent="0.25">
      <c r="A388" s="134" t="s">
        <v>6</v>
      </c>
      <c r="F388" s="15"/>
      <c r="U388" s="148"/>
    </row>
    <row r="389" spans="1:23" x14ac:dyDescent="0.25">
      <c r="A389" s="140" t="s">
        <v>226</v>
      </c>
      <c r="C389" s="140" t="s">
        <v>177</v>
      </c>
      <c r="D389" s="140" t="s">
        <v>287</v>
      </c>
      <c r="E389" s="140" t="s">
        <v>316</v>
      </c>
      <c r="F389" s="147">
        <f>VLOOKUP(C389,'Functional Assignment'!$C$1:$AR$730,11,)</f>
        <v>0</v>
      </c>
      <c r="G389" s="147">
        <f>(VLOOKUP($E389,$D$6:$AI$659,G$2,)/VLOOKUP($E389,$D$6:$AI$659,3,))*$F389</f>
        <v>0</v>
      </c>
      <c r="H389" s="147">
        <f>(VLOOKUP($E389,$D$6:$AI$659,H$2,)/VLOOKUP($E389,$D$6:$AI$659,3,))*$F389</f>
        <v>0</v>
      </c>
      <c r="I389" s="147">
        <f>(VLOOKUP($E389,$D$6:$AI$659,I$2,)/VLOOKUP($E389,$D$6:$AI$659,3,))*$F389</f>
        <v>0</v>
      </c>
      <c r="J389" s="147">
        <f>(VLOOKUP($E389,$D$6:$AI$659,J$2,)/VLOOKUP($E389,$D$6:$AI$659,3,))*$F389</f>
        <v>0</v>
      </c>
      <c r="K389" s="147">
        <f>(VLOOKUP($E389,$D$6:$AI$659,8,)/VLOOKUP($E389,$D$6:$AI$659,3,))*$F389</f>
        <v>0</v>
      </c>
      <c r="L389" s="147">
        <f>(VLOOKUP($E389,$D$6:$AI$659,L$2,)/VLOOKUP($E389,$D$6:$AI$659,3,))*$F389</f>
        <v>0</v>
      </c>
      <c r="M389" s="147">
        <f>(VLOOKUP($E389,$D$6:$AI$659,M$2,)/VLOOKUP($E389,$D$6:$AI$659,3,))*$F389</f>
        <v>0</v>
      </c>
      <c r="N389" s="147">
        <f>(VLOOKUP($E389,$D$6:$AI$659,11,)/VLOOKUP($E389,$D$6:$AI$659,3,))*$F389</f>
        <v>0</v>
      </c>
      <c r="O389" s="147">
        <f>(VLOOKUP($E389,$D$6:$AI$659,O$2,)/VLOOKUP($E389,$D$6:$AI$659,3,))*$F389</f>
        <v>0</v>
      </c>
      <c r="P389" s="147">
        <f>(VLOOKUP($E389,$D$6:$AI$659,P$2,)/VLOOKUP($E389,$D$6:$AI$659,3,))*$F389</f>
        <v>0</v>
      </c>
      <c r="Q389" s="147">
        <f>(VLOOKUP($E389,$D$6:$AI$659,Q$2,)/VLOOKUP($E389,$D$6:$AI$659,3,))*$F389</f>
        <v>0</v>
      </c>
      <c r="R389" s="147">
        <f>(VLOOKUP($E389,$D$6:$AI$659,15,)/VLOOKUP($E389,$D$6:$AI$659,3,))*$F389</f>
        <v>0</v>
      </c>
      <c r="S389" s="147">
        <f>(VLOOKUP($E389,$D$6:$AI$659,16,)/VLOOKUP($E389,$D$6:$AI$659,3,))*$F389</f>
        <v>0</v>
      </c>
      <c r="T389" s="147">
        <f>(VLOOKUP($E389,$D$6:$AI$659,17,)/VLOOKUP($E389,$D$6:$AI$659,3,))*$F389</f>
        <v>0</v>
      </c>
      <c r="U389" s="148">
        <f>SUM(G389:M389)</f>
        <v>0</v>
      </c>
      <c r="V389" s="133" t="str">
        <f>IF(ABS(F389-U389)&lt;0.01,"ok","err")</f>
        <v>ok</v>
      </c>
    </row>
    <row r="390" spans="1:23" x14ac:dyDescent="0.25">
      <c r="A390" s="146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48"/>
      <c r="V390" s="133"/>
    </row>
    <row r="391" spans="1:23" x14ac:dyDescent="0.25">
      <c r="A391" s="134" t="s">
        <v>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48"/>
      <c r="V391" s="133"/>
    </row>
    <row r="392" spans="1:23" x14ac:dyDescent="0.25">
      <c r="A392" s="146" t="s">
        <v>207</v>
      </c>
      <c r="C392" s="140" t="s">
        <v>177</v>
      </c>
      <c r="D392" s="140" t="s">
        <v>288</v>
      </c>
      <c r="E392" s="140" t="s">
        <v>317</v>
      </c>
      <c r="F392" s="147">
        <f>VLOOKUP(C392,'Functional Assignment'!$C$1:$AR$730,12,)</f>
        <v>360269.65758810419</v>
      </c>
      <c r="G392" s="147">
        <f>(VLOOKUP($E392,$D$6:$AI$659,G$2,)/VLOOKUP($E392,$D$6:$AI$659,3,))*$F392</f>
        <v>195593.44827590859</v>
      </c>
      <c r="H392" s="147">
        <f>(VLOOKUP($E392,$D$6:$AI$659,H$2,)/VLOOKUP($E392,$D$6:$AI$659,3,))*$F392</f>
        <v>89390.459029230085</v>
      </c>
      <c r="I392" s="147">
        <f>(VLOOKUP($E392,$D$6:$AI$659,I$2,)/VLOOKUP($E392,$D$6:$AI$659,3,))*$F392</f>
        <v>8843.9955836854733</v>
      </c>
      <c r="J392" s="147">
        <f>(VLOOKUP($E392,$D$6:$AI$659,J$2,)/VLOOKUP($E392,$D$6:$AI$659,3,))*$F392</f>
        <v>1976.8089807278814</v>
      </c>
      <c r="K392" s="147">
        <f>(VLOOKUP($E392,$D$6:$AI$659,8,)/VLOOKUP($E392,$D$6:$AI$659,3,))*$F392</f>
        <v>64464.945718552168</v>
      </c>
      <c r="L392" s="147">
        <f>(VLOOKUP($E392,$D$6:$AI$659,L$2,)/VLOOKUP($E392,$D$6:$AI$659,3,))*$F392</f>
        <v>0</v>
      </c>
      <c r="M392" s="147">
        <f>(VLOOKUP($E392,$D$6:$AI$659,M$2,)/VLOOKUP($E392,$D$6:$AI$659,3,))*$F392</f>
        <v>0</v>
      </c>
      <c r="N392" s="147">
        <f>(VLOOKUP($E392,$D$6:$AI$659,11,)/VLOOKUP($E392,$D$6:$AI$659,3,))*$F392</f>
        <v>0</v>
      </c>
      <c r="O392" s="147">
        <f>(VLOOKUP($E392,$D$6:$AI$659,O$2,)/VLOOKUP($E392,$D$6:$AI$659,3,))*$F392</f>
        <v>0</v>
      </c>
      <c r="P392" s="147">
        <f>(VLOOKUP($E392,$D$6:$AI$659,P$2,)/VLOOKUP($E392,$D$6:$AI$659,3,))*$F392</f>
        <v>0</v>
      </c>
      <c r="Q392" s="147">
        <f>(VLOOKUP($E392,$D$6:$AI$659,Q$2,)/VLOOKUP($E392,$D$6:$AI$659,3,))*$F392</f>
        <v>0</v>
      </c>
      <c r="R392" s="147">
        <f>(VLOOKUP($E392,$D$6:$AI$659,15,)/VLOOKUP($E392,$D$6:$AI$659,3,))*$F392</f>
        <v>0</v>
      </c>
      <c r="S392" s="147">
        <f>(VLOOKUP($E392,$D$6:$AI$659,16,)/VLOOKUP($E392,$D$6:$AI$659,3,))*$F392</f>
        <v>0</v>
      </c>
      <c r="T392" s="147">
        <f>(VLOOKUP($E392,$D$6:$AI$659,17,)/VLOOKUP($E392,$D$6:$AI$659,3,))*$F392</f>
        <v>0</v>
      </c>
      <c r="U392" s="148">
        <f>SUM(G392:M392)</f>
        <v>360269.65758810414</v>
      </c>
      <c r="V392" s="133" t="str">
        <f>IF(ABS(F392-U392)&lt;0.01,"ok","err")</f>
        <v>ok</v>
      </c>
    </row>
    <row r="393" spans="1:23" x14ac:dyDescent="0.25">
      <c r="F393" s="15"/>
      <c r="U393" s="148"/>
    </row>
    <row r="394" spans="1:23" x14ac:dyDescent="0.25">
      <c r="A394" s="134" t="s">
        <v>8</v>
      </c>
      <c r="F394" s="15"/>
      <c r="U394" s="148"/>
    </row>
    <row r="395" spans="1:23" x14ac:dyDescent="0.25">
      <c r="A395" s="146" t="s">
        <v>680</v>
      </c>
      <c r="C395" s="140" t="s">
        <v>177</v>
      </c>
      <c r="D395" s="140" t="s">
        <v>289</v>
      </c>
      <c r="E395" s="140" t="s">
        <v>932</v>
      </c>
      <c r="F395" s="147">
        <f>VLOOKUP(C395,'Functional Assignment'!$C$1:$AR$730,13,)</f>
        <v>3733776.4810490273</v>
      </c>
      <c r="G395" s="147">
        <f t="shared" ref="G395:J398" si="122">(VLOOKUP($E395,$D$6:$AI$659,G$2,)/VLOOKUP($E395,$D$6:$AI$659,3,))*$F395</f>
        <v>2282502.1459549707</v>
      </c>
      <c r="H395" s="147">
        <f t="shared" si="122"/>
        <v>1110793.2080460638</v>
      </c>
      <c r="I395" s="147">
        <f t="shared" si="122"/>
        <v>151811.70403333628</v>
      </c>
      <c r="J395" s="147">
        <f t="shared" si="122"/>
        <v>28381.626521173166</v>
      </c>
      <c r="K395" s="147">
        <f>(VLOOKUP($E395,$D$6:$AI$659,8,)/VLOOKUP($E395,$D$6:$AI$659,3,))*$F395</f>
        <v>160287.79649348391</v>
      </c>
      <c r="L395" s="147">
        <f t="shared" ref="L395:M398" si="123">(VLOOKUP($E395,$D$6:$AI$659,L$2,)/VLOOKUP($E395,$D$6:$AI$659,3,))*$F395</f>
        <v>0</v>
      </c>
      <c r="M395" s="147">
        <f t="shared" si="123"/>
        <v>0</v>
      </c>
      <c r="N395" s="147">
        <f>(VLOOKUP($E395,$D$6:$AI$659,11,)/VLOOKUP($E395,$D$6:$AI$659,3,))*$F395</f>
        <v>0</v>
      </c>
      <c r="O395" s="147">
        <f t="shared" ref="O395:Q398" si="124">(VLOOKUP($E395,$D$6:$AI$659,O$2,)/VLOOKUP($E395,$D$6:$AI$659,3,))*$F395</f>
        <v>0</v>
      </c>
      <c r="P395" s="147">
        <f t="shared" si="124"/>
        <v>0</v>
      </c>
      <c r="Q395" s="147">
        <f t="shared" si="124"/>
        <v>0</v>
      </c>
      <c r="R395" s="147">
        <f>(VLOOKUP($E395,$D$6:$AI$659,15,)/VLOOKUP($E395,$D$6:$AI$659,3,))*$F395</f>
        <v>0</v>
      </c>
      <c r="S395" s="147">
        <f>(VLOOKUP($E395,$D$6:$AI$659,16,)/VLOOKUP($E395,$D$6:$AI$659,3,))*$F395</f>
        <v>0</v>
      </c>
      <c r="T395" s="147">
        <f>(VLOOKUP($E395,$D$6:$AI$659,17,)/VLOOKUP($E395,$D$6:$AI$659,3,))*$F395</f>
        <v>0</v>
      </c>
      <c r="U395" s="148">
        <f>SUM(G395:M395)</f>
        <v>3733776.4810490273</v>
      </c>
      <c r="V395" s="133" t="str">
        <f>IF(ABS(F395-U395)&lt;0.01,"ok","err")</f>
        <v>ok</v>
      </c>
    </row>
    <row r="396" spans="1:23" x14ac:dyDescent="0.25">
      <c r="A396" s="146" t="s">
        <v>679</v>
      </c>
      <c r="C396" s="140" t="s">
        <v>177</v>
      </c>
      <c r="D396" s="140" t="s">
        <v>290</v>
      </c>
      <c r="E396" s="140" t="s">
        <v>684</v>
      </c>
      <c r="F396" s="15">
        <f>VLOOKUP(C396,'Functional Assignment'!$C$1:$AR$730,14,)</f>
        <v>0</v>
      </c>
      <c r="G396" s="15">
        <f t="shared" si="122"/>
        <v>0</v>
      </c>
      <c r="H396" s="15">
        <f t="shared" si="122"/>
        <v>0</v>
      </c>
      <c r="I396" s="15">
        <f t="shared" si="122"/>
        <v>0</v>
      </c>
      <c r="J396" s="15">
        <f t="shared" si="122"/>
        <v>0</v>
      </c>
      <c r="K396" s="15">
        <f>(VLOOKUP($E396,$D$6:$AI$659,8,)/VLOOKUP($E396,$D$6:$AI$659,3,))*$F396</f>
        <v>0</v>
      </c>
      <c r="L396" s="15">
        <f t="shared" si="123"/>
        <v>0</v>
      </c>
      <c r="M396" s="15">
        <f t="shared" si="123"/>
        <v>0</v>
      </c>
      <c r="N396" s="15">
        <f>(VLOOKUP($E396,$D$6:$AI$659,11,)/VLOOKUP($E396,$D$6:$AI$659,3,))*$F396</f>
        <v>0</v>
      </c>
      <c r="O396" s="15">
        <f t="shared" si="124"/>
        <v>0</v>
      </c>
      <c r="P396" s="15">
        <f t="shared" si="124"/>
        <v>0</v>
      </c>
      <c r="Q396" s="15">
        <f t="shared" si="124"/>
        <v>0</v>
      </c>
      <c r="R396" s="15">
        <f>(VLOOKUP($E396,$D$6:$AI$659,15,)/VLOOKUP($E396,$D$6:$AI$659,3,))*$F396</f>
        <v>0</v>
      </c>
      <c r="S396" s="15">
        <f>(VLOOKUP($E396,$D$6:$AI$659,16,)/VLOOKUP($E396,$D$6:$AI$659,3,))*$F396</f>
        <v>0</v>
      </c>
      <c r="T396" s="15">
        <f>(VLOOKUP($E396,$D$6:$AI$659,17,)/VLOOKUP($E396,$D$6:$AI$659,3,))*$F396</f>
        <v>0</v>
      </c>
      <c r="U396" s="148">
        <f>SUM(G396:M396)</f>
        <v>0</v>
      </c>
      <c r="V396" s="133" t="str">
        <f>IF(ABS(F396-U396)&lt;0.01,"ok","err")</f>
        <v>ok</v>
      </c>
      <c r="W396" s="149"/>
    </row>
    <row r="397" spans="1:23" x14ac:dyDescent="0.25">
      <c r="A397" s="146" t="s">
        <v>681</v>
      </c>
      <c r="C397" s="140" t="s">
        <v>177</v>
      </c>
      <c r="D397" s="140" t="s">
        <v>289</v>
      </c>
      <c r="E397" s="140" t="s">
        <v>931</v>
      </c>
      <c r="F397" s="15">
        <f>VLOOKUP(C397,'Functional Assignment'!$C$1:$AR$730,15,)</f>
        <v>409821.50795524218</v>
      </c>
      <c r="G397" s="15">
        <f t="shared" si="122"/>
        <v>201519.03409757928</v>
      </c>
      <c r="H397" s="15">
        <f t="shared" si="122"/>
        <v>97734.762202342172</v>
      </c>
      <c r="I397" s="15">
        <f t="shared" si="122"/>
        <v>14043.954064202961</v>
      </c>
      <c r="J397" s="15">
        <f t="shared" si="122"/>
        <v>2901.0511300171306</v>
      </c>
      <c r="K397" s="15">
        <f>(VLOOKUP($E397,$D$6:$AI$659,8,)/VLOOKUP($E397,$D$6:$AI$659,3,))*$F397</f>
        <v>93622.706461100664</v>
      </c>
      <c r="L397" s="15">
        <f t="shared" si="123"/>
        <v>0</v>
      </c>
      <c r="M397" s="15">
        <f t="shared" si="123"/>
        <v>0</v>
      </c>
      <c r="N397" s="15">
        <f>(VLOOKUP($E397,$D$6:$AI$659,11,)/VLOOKUP($E397,$D$6:$AI$659,3,))*$F397</f>
        <v>0</v>
      </c>
      <c r="O397" s="15">
        <f t="shared" si="124"/>
        <v>0</v>
      </c>
      <c r="P397" s="15">
        <f t="shared" si="124"/>
        <v>0</v>
      </c>
      <c r="Q397" s="15">
        <f t="shared" si="124"/>
        <v>0</v>
      </c>
      <c r="R397" s="15"/>
      <c r="S397" s="15"/>
      <c r="T397" s="15"/>
      <c r="U397" s="148"/>
      <c r="V397" s="133"/>
    </row>
    <row r="398" spans="1:23" x14ac:dyDescent="0.25">
      <c r="A398" s="146" t="s">
        <v>678</v>
      </c>
      <c r="C398" s="140" t="s">
        <v>177</v>
      </c>
      <c r="D398" s="140" t="s">
        <v>290</v>
      </c>
      <c r="E398" s="140" t="s">
        <v>319</v>
      </c>
      <c r="F398" s="15">
        <f>VLOOKUP(C398,'Functional Assignment'!$C$1:$AR$730,16,)</f>
        <v>0</v>
      </c>
      <c r="G398" s="15">
        <f t="shared" si="122"/>
        <v>0</v>
      </c>
      <c r="H398" s="15">
        <f t="shared" si="122"/>
        <v>0</v>
      </c>
      <c r="I398" s="15">
        <f t="shared" si="122"/>
        <v>0</v>
      </c>
      <c r="J398" s="15">
        <f t="shared" si="122"/>
        <v>0</v>
      </c>
      <c r="K398" s="15">
        <f>(VLOOKUP($E398,$D$6:$AI$659,8,)/VLOOKUP($E398,$D$6:$AI$659,3,))*$F398</f>
        <v>0</v>
      </c>
      <c r="L398" s="15">
        <f t="shared" si="123"/>
        <v>0</v>
      </c>
      <c r="M398" s="15">
        <f t="shared" si="123"/>
        <v>0</v>
      </c>
      <c r="N398" s="15">
        <f>(VLOOKUP($E398,$D$6:$AI$659,11,)/VLOOKUP($E398,$D$6:$AI$659,3,))*$F398</f>
        <v>0</v>
      </c>
      <c r="O398" s="15">
        <f t="shared" si="124"/>
        <v>0</v>
      </c>
      <c r="P398" s="15">
        <f t="shared" si="124"/>
        <v>0</v>
      </c>
      <c r="Q398" s="15">
        <f t="shared" si="124"/>
        <v>0</v>
      </c>
      <c r="R398" s="15"/>
      <c r="S398" s="15"/>
      <c r="T398" s="15"/>
      <c r="U398" s="148"/>
      <c r="V398" s="133"/>
    </row>
    <row r="399" spans="1:23" x14ac:dyDescent="0.25">
      <c r="A399" s="140" t="s">
        <v>229</v>
      </c>
      <c r="F399" s="147">
        <f>SUM(F395:F398)</f>
        <v>4143597.9890042692</v>
      </c>
      <c r="G399" s="147">
        <f t="shared" ref="G399:Q399" si="125">SUM(G395:G398)</f>
        <v>2484021.18005255</v>
      </c>
      <c r="H399" s="147">
        <f t="shared" si="125"/>
        <v>1208527.9702484061</v>
      </c>
      <c r="I399" s="147">
        <f t="shared" si="125"/>
        <v>165855.65809753924</v>
      </c>
      <c r="J399" s="147">
        <f t="shared" si="125"/>
        <v>31282.677651190297</v>
      </c>
      <c r="K399" s="147">
        <f t="shared" si="125"/>
        <v>253910.50295458458</v>
      </c>
      <c r="L399" s="147">
        <f t="shared" si="125"/>
        <v>0</v>
      </c>
      <c r="M399" s="147">
        <f t="shared" si="125"/>
        <v>0</v>
      </c>
      <c r="N399" s="147">
        <f t="shared" si="125"/>
        <v>0</v>
      </c>
      <c r="O399" s="147">
        <f t="shared" si="125"/>
        <v>0</v>
      </c>
      <c r="P399" s="147">
        <f t="shared" si="125"/>
        <v>0</v>
      </c>
      <c r="Q399" s="147">
        <f t="shared" si="125"/>
        <v>0</v>
      </c>
      <c r="R399" s="147">
        <f>R395+R396</f>
        <v>0</v>
      </c>
      <c r="S399" s="147">
        <f>S395+S396</f>
        <v>0</v>
      </c>
      <c r="T399" s="147">
        <f>T395+T396</f>
        <v>0</v>
      </c>
      <c r="U399" s="148">
        <f>SUM(G399:M399)</f>
        <v>4143597.9890042702</v>
      </c>
      <c r="V399" s="133" t="str">
        <f>IF(ABS(F399-U399)&lt;0.01,"ok","err")</f>
        <v>ok</v>
      </c>
      <c r="W399" s="149"/>
    </row>
    <row r="400" spans="1:23" x14ac:dyDescent="0.25">
      <c r="F400" s="15"/>
      <c r="U400" s="148"/>
    </row>
    <row r="401" spans="1:24" x14ac:dyDescent="0.25">
      <c r="A401" s="134" t="s">
        <v>10</v>
      </c>
      <c r="F401" s="15"/>
      <c r="U401" s="148"/>
    </row>
    <row r="402" spans="1:24" x14ac:dyDescent="0.25">
      <c r="A402" s="146" t="s">
        <v>208</v>
      </c>
      <c r="C402" s="140" t="s">
        <v>177</v>
      </c>
      <c r="D402" s="140" t="s">
        <v>284</v>
      </c>
      <c r="E402" s="140" t="s">
        <v>320</v>
      </c>
      <c r="F402" s="147">
        <f>VLOOKUP(C402,'Functional Assignment'!$C$1:$AR$730,17,)</f>
        <v>3593736.9610947128</v>
      </c>
      <c r="G402" s="147">
        <f>(VLOOKUP($E402,$D$6:$AI$659,G$2,)/VLOOKUP($E402,$D$6:$AI$659,3,))*$F402</f>
        <v>2673405.3949340028</v>
      </c>
      <c r="H402" s="147">
        <f>(VLOOKUP($E402,$D$6:$AI$659,H$2,)/VLOOKUP($E402,$D$6:$AI$659,3,))*$F402</f>
        <v>862849.57158288325</v>
      </c>
      <c r="I402" s="147">
        <f>(VLOOKUP($E402,$D$6:$AI$659,I$2,)/VLOOKUP($E402,$D$6:$AI$659,3,))*$F402</f>
        <v>24082.119889692658</v>
      </c>
      <c r="J402" s="147">
        <f>(VLOOKUP($E402,$D$6:$AI$659,J$2,)/VLOOKUP($E402,$D$6:$AI$659,3,))*$F402</f>
        <v>540.15969846039604</v>
      </c>
      <c r="K402" s="147">
        <f>(VLOOKUP($E402,$D$6:$AI$659,8,)/VLOOKUP($E402,$D$6:$AI$659,3,))*$F402</f>
        <v>32859.714989674088</v>
      </c>
      <c r="L402" s="147">
        <f>(VLOOKUP($E402,$D$6:$AI$659,L$2,)/VLOOKUP($E402,$D$6:$AI$659,3,))*$F402</f>
        <v>0</v>
      </c>
      <c r="M402" s="147">
        <f>(VLOOKUP($E402,$D$6:$AI$659,M$2,)/VLOOKUP($E402,$D$6:$AI$659,3,))*$F402</f>
        <v>0</v>
      </c>
      <c r="N402" s="147">
        <f>(VLOOKUP($E402,$D$6:$AI$659,11,)/VLOOKUP($E402,$D$6:$AI$659,3,))*$F402</f>
        <v>0</v>
      </c>
      <c r="O402" s="147">
        <f>(VLOOKUP($E402,$D$6:$AI$659,O$2,)/VLOOKUP($E402,$D$6:$AI$659,3,))*$F402</f>
        <v>0</v>
      </c>
      <c r="P402" s="147">
        <f>(VLOOKUP($E402,$D$6:$AI$659,P$2,)/VLOOKUP($E402,$D$6:$AI$659,3,))*$F402</f>
        <v>0</v>
      </c>
      <c r="Q402" s="147">
        <f>(VLOOKUP($E402,$D$6:$AI$659,Q$2,)/VLOOKUP($E402,$D$6:$AI$659,3,))*$F402</f>
        <v>0</v>
      </c>
      <c r="R402" s="147">
        <f>(VLOOKUP($E402,$D$6:$AI$659,15,)/VLOOKUP($E402,$D$6:$AI$659,3,))*$F402</f>
        <v>0</v>
      </c>
      <c r="S402" s="147">
        <f>(VLOOKUP($E402,$D$6:$AI$659,16,)/VLOOKUP($E402,$D$6:$AI$659,3,))*$F402</f>
        <v>0</v>
      </c>
      <c r="T402" s="147">
        <f>(VLOOKUP($E402,$D$6:$AI$659,17,)/VLOOKUP($E402,$D$6:$AI$659,3,))*$F402</f>
        <v>0</v>
      </c>
      <c r="U402" s="148">
        <f>SUM(G402:M402)</f>
        <v>3593736.9610947133</v>
      </c>
      <c r="V402" s="133" t="str">
        <f>IF(ABS(F402-U402)&lt;0.01,"ok","err")</f>
        <v>ok</v>
      </c>
      <c r="W402" s="149"/>
    </row>
    <row r="403" spans="1:24" x14ac:dyDescent="0.25">
      <c r="F403" s="15"/>
      <c r="U403" s="148"/>
    </row>
    <row r="404" spans="1:24" x14ac:dyDescent="0.25">
      <c r="A404" s="134" t="s">
        <v>11</v>
      </c>
      <c r="F404" s="15"/>
      <c r="U404" s="148"/>
    </row>
    <row r="405" spans="1:24" x14ac:dyDescent="0.25">
      <c r="A405" s="146" t="s">
        <v>208</v>
      </c>
      <c r="C405" s="140" t="s">
        <v>177</v>
      </c>
      <c r="D405" s="140" t="s">
        <v>291</v>
      </c>
      <c r="E405" s="140" t="s">
        <v>321</v>
      </c>
      <c r="F405" s="147">
        <f>VLOOKUP(C405,'Functional Assignment'!$C$1:$AR$730,18,)</f>
        <v>833249.50869608519</v>
      </c>
      <c r="G405" s="147">
        <f>(VLOOKUP($E405,$D$6:$AI$659,G$2,)/VLOOKUP($E405,$D$6:$AI$659,3,))*$F405</f>
        <v>559969.36318638083</v>
      </c>
      <c r="H405" s="147">
        <f>(VLOOKUP($E405,$D$6:$AI$659,H$2,)/VLOOKUP($E405,$D$6:$AI$659,3,))*$F405</f>
        <v>229986.82367305865</v>
      </c>
      <c r="I405" s="147">
        <f>(VLOOKUP($E405,$D$6:$AI$659,I$2,)/VLOOKUP($E405,$D$6:$AI$659,3,))*$F405</f>
        <v>18900.71760696913</v>
      </c>
      <c r="J405" s="147">
        <f>(VLOOKUP($E405,$D$6:$AI$659,J$2,)/VLOOKUP($E405,$D$6:$AI$659,3,))*$F405</f>
        <v>533.43456248910525</v>
      </c>
      <c r="K405" s="147">
        <f>(VLOOKUP($E405,$D$6:$AI$659,8,)/VLOOKUP($E405,$D$6:$AI$659,3,))*$F405</f>
        <v>23859.169667187296</v>
      </c>
      <c r="L405" s="147">
        <f>(VLOOKUP($E405,$D$6:$AI$659,L$2,)/VLOOKUP($E405,$D$6:$AI$659,3,))*$F405</f>
        <v>0</v>
      </c>
      <c r="M405" s="147">
        <f>(VLOOKUP($E405,$D$6:$AI$659,M$2,)/VLOOKUP($E405,$D$6:$AI$659,3,))*$F405</f>
        <v>0</v>
      </c>
      <c r="N405" s="147">
        <f>(VLOOKUP($E405,$D$6:$AI$659,11,)/VLOOKUP($E405,$D$6:$AI$659,3,))*$F405</f>
        <v>0</v>
      </c>
      <c r="O405" s="147">
        <f>(VLOOKUP($E405,$D$6:$AI$659,O$2,)/VLOOKUP($E405,$D$6:$AI$659,3,))*$F405</f>
        <v>0</v>
      </c>
      <c r="P405" s="147">
        <f>(VLOOKUP($E405,$D$6:$AI$659,P$2,)/VLOOKUP($E405,$D$6:$AI$659,3,))*$F405</f>
        <v>0</v>
      </c>
      <c r="Q405" s="147">
        <f>(VLOOKUP($E405,$D$6:$AI$659,Q$2,)/VLOOKUP($E405,$D$6:$AI$659,3,))*$F405</f>
        <v>0</v>
      </c>
      <c r="R405" s="147">
        <f>(VLOOKUP($E405,$D$6:$AI$659,15,)/VLOOKUP($E405,$D$6:$AI$659,3,))*$F405</f>
        <v>0</v>
      </c>
      <c r="S405" s="147">
        <f>(VLOOKUP($E405,$D$6:$AI$659,16,)/VLOOKUP($E405,$D$6:$AI$659,3,))*$F405</f>
        <v>0</v>
      </c>
      <c r="T405" s="147">
        <f>(VLOOKUP($E405,$D$6:$AI$659,17,)/VLOOKUP($E405,$D$6:$AI$659,3,))*$F405</f>
        <v>0</v>
      </c>
      <c r="U405" s="148">
        <f>SUM(G405:M405)</f>
        <v>833249.50869608507</v>
      </c>
      <c r="V405" s="133" t="str">
        <f>IF(ABS(F405-U405)&lt;0.01,"ok","err")</f>
        <v>ok</v>
      </c>
    </row>
    <row r="406" spans="1:24" x14ac:dyDescent="0.25">
      <c r="F406" s="15"/>
      <c r="U406" s="148"/>
    </row>
    <row r="407" spans="1:24" x14ac:dyDescent="0.25">
      <c r="A407" s="134" t="s">
        <v>12</v>
      </c>
      <c r="F407" s="15"/>
      <c r="U407" s="148"/>
    </row>
    <row r="408" spans="1:24" x14ac:dyDescent="0.25">
      <c r="A408" s="146" t="s">
        <v>208</v>
      </c>
      <c r="C408" s="140" t="s">
        <v>177</v>
      </c>
      <c r="D408" s="140" t="s">
        <v>292</v>
      </c>
      <c r="E408" s="140" t="s">
        <v>322</v>
      </c>
      <c r="F408" s="147">
        <f>VLOOKUP(C408,'Functional Assignment'!$C$1:$AR$730,19,)</f>
        <v>0</v>
      </c>
      <c r="G408" s="147">
        <f>(VLOOKUP($E408,$D$6:$AI$659,G$2,)/VLOOKUP($E408,$D$6:$AI$659,3,))*$F408</f>
        <v>0</v>
      </c>
      <c r="H408" s="147">
        <f>(VLOOKUP($E408,$D$6:$AI$659,H$2,)/VLOOKUP($E408,$D$6:$AI$659,3,))*$F408</f>
        <v>0</v>
      </c>
      <c r="I408" s="147">
        <f>(VLOOKUP($E408,$D$6:$AI$659,I$2,)/VLOOKUP($E408,$D$6:$AI$659,3,))*$F408</f>
        <v>0</v>
      </c>
      <c r="J408" s="147">
        <f>(VLOOKUP($E408,$D$6:$AI$659,J$2,)/VLOOKUP($E408,$D$6:$AI$659,3,))*$F408</f>
        <v>0</v>
      </c>
      <c r="K408" s="147">
        <f>(VLOOKUP($E408,$D$6:$AI$659,8,)/VLOOKUP($E408,$D$6:$AI$659,3,))*$F408</f>
        <v>0</v>
      </c>
      <c r="L408" s="147">
        <f>(VLOOKUP($E408,$D$6:$AI$659,L$2,)/VLOOKUP($E408,$D$6:$AI$659,3,))*$F408</f>
        <v>0</v>
      </c>
      <c r="M408" s="147">
        <f>(VLOOKUP($E408,$D$6:$AI$659,M$2,)/VLOOKUP($E408,$D$6:$AI$659,3,))*$F408</f>
        <v>0</v>
      </c>
      <c r="N408" s="147">
        <f>(VLOOKUP($E408,$D$6:$AI$659,11,)/VLOOKUP($E408,$D$6:$AI$659,3,))*$F408</f>
        <v>0</v>
      </c>
      <c r="O408" s="147">
        <f>(VLOOKUP($E408,$D$6:$AI$659,O$2,)/VLOOKUP($E408,$D$6:$AI$659,3,))*$F408</f>
        <v>0</v>
      </c>
      <c r="P408" s="147">
        <f>(VLOOKUP($E408,$D$6:$AI$659,P$2,)/VLOOKUP($E408,$D$6:$AI$659,3,))*$F408</f>
        <v>0</v>
      </c>
      <c r="Q408" s="147">
        <f>(VLOOKUP($E408,$D$6:$AI$659,Q$2,)/VLOOKUP($E408,$D$6:$AI$659,3,))*$F408</f>
        <v>0</v>
      </c>
      <c r="R408" s="147">
        <f>(VLOOKUP($E408,$D$6:$AI$659,15,)/VLOOKUP($E408,$D$6:$AI$659,3,))*$F408</f>
        <v>0</v>
      </c>
      <c r="S408" s="147">
        <f>(VLOOKUP($E408,$D$6:$AI$659,16,)/VLOOKUP($E408,$D$6:$AI$659,3,))*$F408</f>
        <v>0</v>
      </c>
      <c r="T408" s="147">
        <f>(VLOOKUP($E408,$D$6:$AI$659,17,)/VLOOKUP($E408,$D$6:$AI$659,3,))*$F408</f>
        <v>0</v>
      </c>
      <c r="U408" s="148">
        <f>SUM(G408:M408)</f>
        <v>0</v>
      </c>
      <c r="V408" s="133" t="str">
        <f>IF(ABS(F408-U408)&lt;0.01,"ok","err")</f>
        <v>ok</v>
      </c>
    </row>
    <row r="409" spans="1:24" x14ac:dyDescent="0.25">
      <c r="F409" s="15"/>
      <c r="U409" s="148"/>
    </row>
    <row r="410" spans="1:24" x14ac:dyDescent="0.25">
      <c r="A410" s="134" t="s">
        <v>13</v>
      </c>
      <c r="F410" s="15"/>
      <c r="U410" s="148"/>
    </row>
    <row r="411" spans="1:24" x14ac:dyDescent="0.25">
      <c r="A411" s="146" t="s">
        <v>208</v>
      </c>
      <c r="C411" s="140" t="s">
        <v>177</v>
      </c>
      <c r="D411" s="140" t="s">
        <v>293</v>
      </c>
      <c r="E411" s="140" t="s">
        <v>323</v>
      </c>
      <c r="F411" s="147">
        <f>VLOOKUP(C411,'Functional Assignment'!$C$1:$AR$730,20,)</f>
        <v>0</v>
      </c>
      <c r="G411" s="147">
        <f>(VLOOKUP($E411,$D$6:$AI$659,G$2,)/VLOOKUP($E411,$D$6:$AI$659,3,))*$F411</f>
        <v>0</v>
      </c>
      <c r="H411" s="147">
        <f>(VLOOKUP($E411,$D$6:$AI$659,H$2,)/VLOOKUP($E411,$D$6:$AI$659,3,))*$F411</f>
        <v>0</v>
      </c>
      <c r="I411" s="147">
        <f>(VLOOKUP($E411,$D$6:$AI$659,I$2,)/VLOOKUP($E411,$D$6:$AI$659,3,))*$F411</f>
        <v>0</v>
      </c>
      <c r="J411" s="147">
        <f>(VLOOKUP($E411,$D$6:$AI$659,J$2,)/VLOOKUP($E411,$D$6:$AI$659,3,))*$F411</f>
        <v>0</v>
      </c>
      <c r="K411" s="147">
        <f>(VLOOKUP($E411,$D$6:$AI$659,8,)/VLOOKUP($E411,$D$6:$AI$659,3,))*$F411</f>
        <v>0</v>
      </c>
      <c r="L411" s="147">
        <f>(VLOOKUP($E411,$D$6:$AI$659,L$2,)/VLOOKUP($E411,$D$6:$AI$659,3,))*$F411</f>
        <v>0</v>
      </c>
      <c r="M411" s="147">
        <f>(VLOOKUP($E411,$D$6:$AI$659,M$2,)/VLOOKUP($E411,$D$6:$AI$659,3,))*$F411</f>
        <v>0</v>
      </c>
      <c r="N411" s="147">
        <f>(VLOOKUP($E411,$D$6:$AI$659,11,)/VLOOKUP($E411,$D$6:$AI$659,3,))*$F411</f>
        <v>0</v>
      </c>
      <c r="O411" s="147">
        <f>(VLOOKUP($E411,$D$6:$AI$659,O$2,)/VLOOKUP($E411,$D$6:$AI$659,3,))*$F411</f>
        <v>0</v>
      </c>
      <c r="P411" s="147">
        <f>(VLOOKUP($E411,$D$6:$AI$659,P$2,)/VLOOKUP($E411,$D$6:$AI$659,3,))*$F411</f>
        <v>0</v>
      </c>
      <c r="Q411" s="147">
        <f>(VLOOKUP($E411,$D$6:$AI$659,Q$2,)/VLOOKUP($E411,$D$6:$AI$659,3,))*$F411</f>
        <v>0</v>
      </c>
      <c r="R411" s="147">
        <f>(VLOOKUP($E411,$D$6:$AI$659,15,)/VLOOKUP($E411,$D$6:$AI$659,3,))*$F411</f>
        <v>0</v>
      </c>
      <c r="S411" s="147">
        <f>(VLOOKUP($E411,$D$6:$AI$659,16,)/VLOOKUP($E411,$D$6:$AI$659,3,))*$F411</f>
        <v>0</v>
      </c>
      <c r="T411" s="147">
        <f>(VLOOKUP($E411,$D$6:$AI$659,17,)/VLOOKUP($E411,$D$6:$AI$659,3,))*$F411</f>
        <v>0</v>
      </c>
      <c r="U411" s="148">
        <f>SUM(G411:M411)</f>
        <v>0</v>
      </c>
      <c r="V411" s="133" t="str">
        <f>IF(ABS(F411-U411)&lt;0.01,"ok","err")</f>
        <v>ok</v>
      </c>
    </row>
    <row r="412" spans="1:24" x14ac:dyDescent="0.25">
      <c r="F412" s="15"/>
      <c r="U412" s="148"/>
    </row>
    <row r="413" spans="1:24" x14ac:dyDescent="0.25">
      <c r="A413" s="140" t="s">
        <v>14</v>
      </c>
      <c r="D413" s="140" t="s">
        <v>295</v>
      </c>
      <c r="F413" s="147">
        <f t="shared" ref="F413:T413" si="126">F376+F381+F386+F389+F392+F399+F402+F405+F408+F411</f>
        <v>11113565.829966739</v>
      </c>
      <c r="G413" s="147">
        <f t="shared" si="126"/>
        <v>7354527.1797031863</v>
      </c>
      <c r="H413" s="147">
        <f t="shared" si="126"/>
        <v>3039859.0406390396</v>
      </c>
      <c r="I413" s="147">
        <f t="shared" si="126"/>
        <v>273259.6974617794</v>
      </c>
      <c r="J413" s="147">
        <f t="shared" si="126"/>
        <v>34877.949504838187</v>
      </c>
      <c r="K413" s="147">
        <f t="shared" si="126"/>
        <v>411041.96265789645</v>
      </c>
      <c r="L413" s="147">
        <f t="shared" si="126"/>
        <v>0</v>
      </c>
      <c r="M413" s="147">
        <f t="shared" si="126"/>
        <v>0</v>
      </c>
      <c r="N413" s="147">
        <f t="shared" si="126"/>
        <v>18179.131796342124</v>
      </c>
      <c r="O413" s="147">
        <f t="shared" si="126"/>
        <v>0</v>
      </c>
      <c r="P413" s="147">
        <f t="shared" si="126"/>
        <v>0</v>
      </c>
      <c r="Q413" s="147">
        <f t="shared" si="126"/>
        <v>0</v>
      </c>
      <c r="R413" s="147">
        <f t="shared" si="126"/>
        <v>0</v>
      </c>
      <c r="S413" s="147">
        <f t="shared" si="126"/>
        <v>0</v>
      </c>
      <c r="T413" s="147">
        <f t="shared" si="126"/>
        <v>0</v>
      </c>
      <c r="U413" s="148">
        <f>SUM(G413:M413)</f>
        <v>11113565.829966741</v>
      </c>
      <c r="V413" s="133" t="str">
        <f>IF(ABS(F413-U413)&lt;0.01,"ok","err")</f>
        <v>ok</v>
      </c>
      <c r="W413" s="148"/>
      <c r="X413" s="133"/>
    </row>
    <row r="414" spans="1:24" x14ac:dyDescent="0.25">
      <c r="U414" s="148"/>
    </row>
    <row r="415" spans="1:24" x14ac:dyDescent="0.25">
      <c r="U415" s="148"/>
    </row>
    <row r="417" spans="1:22" x14ac:dyDescent="0.25">
      <c r="U417" s="148"/>
    </row>
    <row r="418" spans="1:22" x14ac:dyDescent="0.25">
      <c r="A418" s="145" t="s">
        <v>655</v>
      </c>
      <c r="U418" s="148"/>
    </row>
    <row r="419" spans="1:22" x14ac:dyDescent="0.25">
      <c r="U419" s="148"/>
    </row>
    <row r="420" spans="1:22" x14ac:dyDescent="0.25">
      <c r="A420" s="134" t="s">
        <v>455</v>
      </c>
      <c r="U420" s="148"/>
    </row>
    <row r="421" spans="1:22" x14ac:dyDescent="0.25">
      <c r="A421" s="146" t="s">
        <v>207</v>
      </c>
      <c r="C421" s="140" t="s">
        <v>307</v>
      </c>
      <c r="D421" s="140" t="s">
        <v>384</v>
      </c>
      <c r="E421" s="140" t="s">
        <v>310</v>
      </c>
      <c r="F421" s="147">
        <f>VLOOKUP(C421,'Functional Assignment'!$C$1:$AR$730,5,)</f>
        <v>0</v>
      </c>
      <c r="G421" s="147">
        <f t="shared" ref="G421:J422" si="127">(VLOOKUP($E421,$D$6:$AI$659,G$2,)/VLOOKUP($E421,$D$6:$AI$659,3,))*$F421</f>
        <v>0</v>
      </c>
      <c r="H421" s="147">
        <f t="shared" si="127"/>
        <v>0</v>
      </c>
      <c r="I421" s="147">
        <f t="shared" si="127"/>
        <v>0</v>
      </c>
      <c r="J421" s="147">
        <f t="shared" si="127"/>
        <v>0</v>
      </c>
      <c r="K421" s="147">
        <f>(VLOOKUP($E421,$D$6:$AI$659,8,)/VLOOKUP($E421,$D$6:$AI$659,3,))*$F421</f>
        <v>0</v>
      </c>
      <c r="L421" s="147">
        <f>(VLOOKUP($E421,$D$6:$AI$659,L$2,)/VLOOKUP($E421,$D$6:$AI$659,3,))*$F421</f>
        <v>0</v>
      </c>
      <c r="M421" s="147">
        <f>(VLOOKUP($E421,$D$6:$AI$659,M$2,)/VLOOKUP($E421,$D$6:$AI$659,3,))*$F421</f>
        <v>0</v>
      </c>
      <c r="N421" s="147">
        <f>(VLOOKUP($E421,$D$6:$AI$659,11,)/VLOOKUP($E421,$D$6:$AI$659,3,))*$F421</f>
        <v>0</v>
      </c>
      <c r="O421" s="147">
        <f t="shared" ref="O421:Q422" si="128">(VLOOKUP($E421,$D$6:$AI$659,O$2,)/VLOOKUP($E421,$D$6:$AI$659,3,))*$F421</f>
        <v>0</v>
      </c>
      <c r="P421" s="147">
        <f t="shared" si="128"/>
        <v>0</v>
      </c>
      <c r="Q421" s="147">
        <f t="shared" si="128"/>
        <v>0</v>
      </c>
      <c r="R421" s="147">
        <f>(VLOOKUP($E421,$D$6:$AI$659,15,)/VLOOKUP($E421,$D$6:$AI$659,3,))*$F421</f>
        <v>0</v>
      </c>
      <c r="S421" s="147">
        <f>(VLOOKUP($E421,$D$6:$AI$659,16,)/VLOOKUP($E421,$D$6:$AI$659,3,))*$F421</f>
        <v>0</v>
      </c>
      <c r="T421" s="147">
        <f>(VLOOKUP($E421,$D$6:$AI$659,17,)/VLOOKUP($E421,$D$6:$AI$659,3,))*$F421</f>
        <v>0</v>
      </c>
      <c r="U421" s="148">
        <f>SUM(G421:M421)</f>
        <v>0</v>
      </c>
      <c r="V421" s="133" t="str">
        <f>IF(ABS(F421-U421)&lt;0.01,"ok","err")</f>
        <v>ok</v>
      </c>
    </row>
    <row r="422" spans="1:22" x14ac:dyDescent="0.25">
      <c r="A422" s="146" t="s">
        <v>226</v>
      </c>
      <c r="C422" s="140" t="s">
        <v>307</v>
      </c>
      <c r="D422" s="140" t="s">
        <v>368</v>
      </c>
      <c r="E422" s="140" t="s">
        <v>311</v>
      </c>
      <c r="F422" s="15">
        <f>VLOOKUP(C422,'Functional Assignment'!$C$1:$AR$730,6,)</f>
        <v>0</v>
      </c>
      <c r="G422" s="15">
        <f t="shared" si="127"/>
        <v>0</v>
      </c>
      <c r="H422" s="15">
        <f t="shared" si="127"/>
        <v>0</v>
      </c>
      <c r="I422" s="15">
        <f t="shared" si="127"/>
        <v>0</v>
      </c>
      <c r="J422" s="15">
        <f t="shared" si="127"/>
        <v>0</v>
      </c>
      <c r="K422" s="15">
        <f>(VLOOKUP($E422,$D$6:$AI$659,8,)/VLOOKUP($E422,$D$6:$AI$659,3,))*$F422</f>
        <v>0</v>
      </c>
      <c r="L422" s="15">
        <f>(VLOOKUP($E422,$D$6:$AI$659,L$2,)/VLOOKUP($E422,$D$6:$AI$659,3,))*$F422</f>
        <v>0</v>
      </c>
      <c r="M422" s="15">
        <f>(VLOOKUP($E422,$D$6:$AI$659,M$2,)/VLOOKUP($E422,$D$6:$AI$659,3,))*$F422</f>
        <v>0</v>
      </c>
      <c r="N422" s="15">
        <f>(VLOOKUP($E422,$D$6:$AI$659,11,)/VLOOKUP($E422,$D$6:$AI$659,3,))*$F422</f>
        <v>0</v>
      </c>
      <c r="O422" s="15">
        <f t="shared" si="128"/>
        <v>0</v>
      </c>
      <c r="P422" s="15">
        <f t="shared" si="128"/>
        <v>0</v>
      </c>
      <c r="Q422" s="15">
        <f t="shared" si="128"/>
        <v>0</v>
      </c>
      <c r="R422" s="15">
        <f>(VLOOKUP($E422,$D$6:$AI$659,15,)/VLOOKUP($E422,$D$6:$AI$659,3,))*$F422</f>
        <v>0</v>
      </c>
      <c r="S422" s="15">
        <f>(VLOOKUP($E422,$D$6:$AI$659,16,)/VLOOKUP($E422,$D$6:$AI$659,3,))*$F422</f>
        <v>0</v>
      </c>
      <c r="T422" s="15">
        <f>(VLOOKUP($E422,$D$6:$AI$659,17,)/VLOOKUP($E422,$D$6:$AI$659,3,))*$F422</f>
        <v>0</v>
      </c>
      <c r="U422" s="148">
        <f>SUM(G422:M422)</f>
        <v>0</v>
      </c>
      <c r="V422" s="133" t="str">
        <f>IF(ABS(F422-U422)&lt;0.01,"ok","err")</f>
        <v>ok</v>
      </c>
    </row>
    <row r="423" spans="1:22" x14ac:dyDescent="0.25">
      <c r="A423" s="140" t="s">
        <v>658</v>
      </c>
      <c r="D423" s="140" t="s">
        <v>369</v>
      </c>
      <c r="F423" s="147">
        <f t="shared" ref="F423:T423" si="129">F421+F422</f>
        <v>0</v>
      </c>
      <c r="G423" s="147">
        <f t="shared" si="129"/>
        <v>0</v>
      </c>
      <c r="H423" s="147">
        <f t="shared" si="129"/>
        <v>0</v>
      </c>
      <c r="I423" s="147">
        <f t="shared" si="129"/>
        <v>0</v>
      </c>
      <c r="J423" s="147">
        <f t="shared" si="129"/>
        <v>0</v>
      </c>
      <c r="K423" s="147">
        <f t="shared" si="129"/>
        <v>0</v>
      </c>
      <c r="L423" s="147">
        <f t="shared" si="129"/>
        <v>0</v>
      </c>
      <c r="M423" s="147">
        <f t="shared" si="129"/>
        <v>0</v>
      </c>
      <c r="N423" s="147">
        <f t="shared" si="129"/>
        <v>0</v>
      </c>
      <c r="O423" s="147">
        <f t="shared" si="129"/>
        <v>0</v>
      </c>
      <c r="P423" s="147">
        <f t="shared" si="129"/>
        <v>0</v>
      </c>
      <c r="Q423" s="147">
        <f t="shared" si="129"/>
        <v>0</v>
      </c>
      <c r="R423" s="147">
        <f t="shared" si="129"/>
        <v>0</v>
      </c>
      <c r="S423" s="147">
        <f t="shared" si="129"/>
        <v>0</v>
      </c>
      <c r="T423" s="147">
        <f t="shared" si="129"/>
        <v>0</v>
      </c>
      <c r="U423" s="148">
        <f>SUM(G423:M423)</f>
        <v>0</v>
      </c>
      <c r="V423" s="133" t="str">
        <f>IF(ABS(F423-U423)&lt;0.01,"ok","err")</f>
        <v>ok</v>
      </c>
    </row>
    <row r="424" spans="1:22" x14ac:dyDescent="0.25">
      <c r="F424" s="15"/>
      <c r="G424" s="15"/>
      <c r="U424" s="148"/>
    </row>
    <row r="425" spans="1:22" x14ac:dyDescent="0.25">
      <c r="A425" s="134" t="s">
        <v>3</v>
      </c>
      <c r="F425" s="15"/>
      <c r="G425" s="15"/>
      <c r="U425" s="148"/>
    </row>
    <row r="426" spans="1:22" x14ac:dyDescent="0.25">
      <c r="A426" s="146" t="s">
        <v>207</v>
      </c>
      <c r="C426" s="140" t="s">
        <v>307</v>
      </c>
      <c r="D426" s="140" t="s">
        <v>370</v>
      </c>
      <c r="E426" s="140" t="s">
        <v>312</v>
      </c>
      <c r="F426" s="147">
        <f>VLOOKUP(C426,'Functional Assignment'!$C$1:$AR$730,7,)</f>
        <v>1848552.4869451984</v>
      </c>
      <c r="G426" s="147">
        <f t="shared" ref="G426:J427" si="130">(VLOOKUP($E426,$D$6:$AI$659,G$2,)/VLOOKUP($E426,$D$6:$AI$659,3,))*$F426</f>
        <v>1231202.4453660983</v>
      </c>
      <c r="H426" s="147">
        <f t="shared" si="130"/>
        <v>554070.96277470805</v>
      </c>
      <c r="I426" s="147">
        <f t="shared" si="130"/>
        <v>47149.237811544932</v>
      </c>
      <c r="J426" s="147">
        <f t="shared" si="130"/>
        <v>0</v>
      </c>
      <c r="K426" s="147">
        <f>(VLOOKUP($E426,$D$6:$AI$659,8,)/VLOOKUP($E426,$D$6:$AI$659,3,))*$F426</f>
        <v>16129.840992847019</v>
      </c>
      <c r="L426" s="147">
        <f>(VLOOKUP($E426,$D$6:$AI$659,L$2,)/VLOOKUP($E426,$D$6:$AI$659,3,))*$F426</f>
        <v>0</v>
      </c>
      <c r="M426" s="147">
        <f>(VLOOKUP($E426,$D$6:$AI$659,M$2,)/VLOOKUP($E426,$D$6:$AI$659,3,))*$F426</f>
        <v>0</v>
      </c>
      <c r="N426" s="147">
        <f>(VLOOKUP($E426,$D$6:$AI$659,11,)/VLOOKUP($E426,$D$6:$AI$659,3,))*$F426</f>
        <v>16129.840992847019</v>
      </c>
      <c r="O426" s="147">
        <f t="shared" ref="O426:Q427" si="131">(VLOOKUP($E426,$D$6:$AI$659,O$2,)/VLOOKUP($E426,$D$6:$AI$659,3,))*$F426</f>
        <v>0</v>
      </c>
      <c r="P426" s="147">
        <f t="shared" si="131"/>
        <v>0</v>
      </c>
      <c r="Q426" s="147">
        <f t="shared" si="131"/>
        <v>0</v>
      </c>
      <c r="R426" s="147">
        <f>(VLOOKUP($E426,$D$6:$AI$659,15,)/VLOOKUP($E426,$D$6:$AI$659,3,))*$F426</f>
        <v>0</v>
      </c>
      <c r="S426" s="147">
        <f>(VLOOKUP($E426,$D$6:$AI$659,16,)/VLOOKUP($E426,$D$6:$AI$659,3,))*$F426</f>
        <v>0</v>
      </c>
      <c r="T426" s="147">
        <f>(VLOOKUP($E426,$D$6:$AI$659,17,)/VLOOKUP($E426,$D$6:$AI$659,3,))*$F426</f>
        <v>0</v>
      </c>
      <c r="U426" s="148">
        <f>SUM(G426:M426)</f>
        <v>1848552.4869451984</v>
      </c>
      <c r="V426" s="133" t="str">
        <f>IF(ABS(F426-U426)&lt;0.01,"ok","err")</f>
        <v>ok</v>
      </c>
    </row>
    <row r="427" spans="1:22" x14ac:dyDescent="0.25">
      <c r="A427" s="140" t="s">
        <v>226</v>
      </c>
      <c r="C427" s="140" t="s">
        <v>307</v>
      </c>
      <c r="D427" s="140" t="s">
        <v>371</v>
      </c>
      <c r="E427" s="140" t="s">
        <v>313</v>
      </c>
      <c r="F427" s="15">
        <f>VLOOKUP(C427,'Functional Assignment'!$C$1:$AR$730,8,)</f>
        <v>0</v>
      </c>
      <c r="G427" s="15">
        <f t="shared" si="130"/>
        <v>0</v>
      </c>
      <c r="H427" s="15">
        <f t="shared" si="130"/>
        <v>0</v>
      </c>
      <c r="I427" s="15">
        <f t="shared" si="130"/>
        <v>0</v>
      </c>
      <c r="J427" s="15">
        <f t="shared" si="130"/>
        <v>0</v>
      </c>
      <c r="K427" s="15">
        <f>(VLOOKUP($E427,$D$6:$AI$659,8,)/VLOOKUP($E427,$D$6:$AI$659,3,))*$F427</f>
        <v>0</v>
      </c>
      <c r="L427" s="15">
        <f>(VLOOKUP($E427,$D$6:$AI$659,L$2,)/VLOOKUP($E427,$D$6:$AI$659,3,))*$F427</f>
        <v>0</v>
      </c>
      <c r="M427" s="15">
        <f>(VLOOKUP($E427,$D$6:$AI$659,M$2,)/VLOOKUP($E427,$D$6:$AI$659,3,))*$F427</f>
        <v>0</v>
      </c>
      <c r="N427" s="15">
        <f>(VLOOKUP($E427,$D$6:$AI$659,11,)/VLOOKUP($E427,$D$6:$AI$659,3,))*$F427</f>
        <v>0</v>
      </c>
      <c r="O427" s="15">
        <f t="shared" si="131"/>
        <v>0</v>
      </c>
      <c r="P427" s="15">
        <f t="shared" si="131"/>
        <v>0</v>
      </c>
      <c r="Q427" s="15">
        <f t="shared" si="131"/>
        <v>0</v>
      </c>
      <c r="R427" s="15">
        <f>(VLOOKUP($E427,$D$6:$AI$659,15,)/VLOOKUP($E427,$D$6:$AI$659,3,))*$F427</f>
        <v>0</v>
      </c>
      <c r="S427" s="15">
        <f>(VLOOKUP($E427,$D$6:$AI$659,16,)/VLOOKUP($E427,$D$6:$AI$659,3,))*$F427</f>
        <v>0</v>
      </c>
      <c r="T427" s="15">
        <f>(VLOOKUP($E427,$D$6:$AI$659,17,)/VLOOKUP($E427,$D$6:$AI$659,3,))*$F427</f>
        <v>0</v>
      </c>
      <c r="U427" s="148">
        <f>SUM(G427:M427)</f>
        <v>0</v>
      </c>
      <c r="V427" s="133" t="str">
        <f>IF(ABS(F427-U427)&lt;0.01,"ok","err")</f>
        <v>ok</v>
      </c>
    </row>
    <row r="428" spans="1:22" x14ac:dyDescent="0.25">
      <c r="A428" s="140" t="s">
        <v>227</v>
      </c>
      <c r="D428" s="140" t="s">
        <v>372</v>
      </c>
      <c r="F428" s="147">
        <f>SUM(F426:F427)</f>
        <v>1848552.4869451984</v>
      </c>
      <c r="G428" s="147">
        <f t="shared" ref="G428:T428" si="132">G426+G427</f>
        <v>1231202.4453660983</v>
      </c>
      <c r="H428" s="147">
        <f t="shared" si="132"/>
        <v>554070.96277470805</v>
      </c>
      <c r="I428" s="147">
        <f t="shared" si="132"/>
        <v>47149.237811544932</v>
      </c>
      <c r="J428" s="147">
        <f t="shared" si="132"/>
        <v>0</v>
      </c>
      <c r="K428" s="147">
        <f t="shared" si="132"/>
        <v>16129.840992847019</v>
      </c>
      <c r="L428" s="147">
        <f t="shared" si="132"/>
        <v>0</v>
      </c>
      <c r="M428" s="147">
        <f t="shared" si="132"/>
        <v>0</v>
      </c>
      <c r="N428" s="147">
        <f t="shared" si="132"/>
        <v>16129.840992847019</v>
      </c>
      <c r="O428" s="147">
        <f t="shared" si="132"/>
        <v>0</v>
      </c>
      <c r="P428" s="147">
        <f t="shared" si="132"/>
        <v>0</v>
      </c>
      <c r="Q428" s="147">
        <f t="shared" si="132"/>
        <v>0</v>
      </c>
      <c r="R428" s="147">
        <f t="shared" si="132"/>
        <v>0</v>
      </c>
      <c r="S428" s="147">
        <f t="shared" si="132"/>
        <v>0</v>
      </c>
      <c r="T428" s="147">
        <f t="shared" si="132"/>
        <v>0</v>
      </c>
      <c r="U428" s="148">
        <f>SUM(G428:M428)</f>
        <v>1848552.4869451984</v>
      </c>
      <c r="V428" s="133" t="str">
        <f>IF(ABS(F428-U428)&lt;0.01,"ok","err")</f>
        <v>ok</v>
      </c>
    </row>
    <row r="429" spans="1:22" x14ac:dyDescent="0.25">
      <c r="F429" s="15"/>
      <c r="G429" s="15"/>
      <c r="U429" s="148"/>
    </row>
    <row r="430" spans="1:22" x14ac:dyDescent="0.25">
      <c r="A430" s="134" t="s">
        <v>4</v>
      </c>
      <c r="F430" s="15"/>
      <c r="G430" s="15"/>
      <c r="U430" s="148"/>
    </row>
    <row r="431" spans="1:22" x14ac:dyDescent="0.25">
      <c r="A431" s="146" t="s">
        <v>870</v>
      </c>
      <c r="C431" s="140" t="s">
        <v>307</v>
      </c>
      <c r="D431" s="140" t="s">
        <v>373</v>
      </c>
      <c r="E431" s="140" t="s">
        <v>317</v>
      </c>
      <c r="F431" s="147">
        <f>VLOOKUP(C431,'Functional Assignment'!$C$1:$AR$730,9,)</f>
        <v>113805.08917794153</v>
      </c>
      <c r="G431" s="147">
        <f t="shared" ref="G431:J432" si="133">(VLOOKUP($E431,$D$6:$AI$659,G$2,)/VLOOKUP($E431,$D$6:$AI$659,3,))*$F431</f>
        <v>61785.746745039956</v>
      </c>
      <c r="H431" s="147">
        <f t="shared" si="133"/>
        <v>28237.429789631457</v>
      </c>
      <c r="I431" s="147">
        <f t="shared" si="133"/>
        <v>2793.7176636767085</v>
      </c>
      <c r="J431" s="147">
        <f t="shared" si="133"/>
        <v>624.45148405115253</v>
      </c>
      <c r="K431" s="147">
        <f>(VLOOKUP($E431,$D$6:$AI$659,8,)/VLOOKUP($E431,$D$6:$AI$659,3,))*$F431</f>
        <v>20363.743495542247</v>
      </c>
      <c r="L431" s="147">
        <f>(VLOOKUP($E431,$D$6:$AI$659,L$2,)/VLOOKUP($E431,$D$6:$AI$659,3,))*$F431</f>
        <v>0</v>
      </c>
      <c r="M431" s="147">
        <f>(VLOOKUP($E431,$D$6:$AI$659,M$2,)/VLOOKUP($E431,$D$6:$AI$659,3,))*$F431</f>
        <v>0</v>
      </c>
      <c r="N431" s="147">
        <f>(VLOOKUP($E431,$D$6:$AI$659,11,)/VLOOKUP($E431,$D$6:$AI$659,3,))*$F431</f>
        <v>0</v>
      </c>
      <c r="O431" s="147">
        <f t="shared" ref="O431:Q432" si="134">(VLOOKUP($E431,$D$6:$AI$659,O$2,)/VLOOKUP($E431,$D$6:$AI$659,3,))*$F431</f>
        <v>0</v>
      </c>
      <c r="P431" s="147">
        <f t="shared" si="134"/>
        <v>0</v>
      </c>
      <c r="Q431" s="147">
        <f t="shared" si="134"/>
        <v>0</v>
      </c>
      <c r="R431" s="147">
        <f>(VLOOKUP($E431,$D$6:$AI$659,15,)/VLOOKUP($E431,$D$6:$AI$659,3,))*$F431</f>
        <v>0</v>
      </c>
      <c r="S431" s="147">
        <f>(VLOOKUP($E431,$D$6:$AI$659,16,)/VLOOKUP($E431,$D$6:$AI$659,3,))*$F431</f>
        <v>0</v>
      </c>
      <c r="T431" s="147">
        <f>(VLOOKUP($E431,$D$6:$AI$659,17,)/VLOOKUP($E431,$D$6:$AI$659,3,))*$F431</f>
        <v>0</v>
      </c>
      <c r="U431" s="148">
        <f>SUM(G431:M431)</f>
        <v>113805.08917794153</v>
      </c>
      <c r="V431" s="133" t="str">
        <f>IF(ABS(F431-U431)&lt;0.01,"ok","err")</f>
        <v>ok</v>
      </c>
    </row>
    <row r="432" spans="1:22" x14ac:dyDescent="0.25">
      <c r="A432" s="140" t="s">
        <v>865</v>
      </c>
      <c r="C432" s="140" t="s">
        <v>307</v>
      </c>
      <c r="D432" s="140" t="s">
        <v>374</v>
      </c>
      <c r="E432" s="140" t="s">
        <v>314</v>
      </c>
      <c r="F432" s="15">
        <f>VLOOKUP(C432,'Functional Assignment'!$C$1:$AR$730,10,)</f>
        <v>539158.45702445251</v>
      </c>
      <c r="G432" s="15">
        <f t="shared" si="133"/>
        <v>359098.92492438463</v>
      </c>
      <c r="H432" s="15">
        <f t="shared" si="133"/>
        <v>161603.22602758784</v>
      </c>
      <c r="I432" s="15">
        <f t="shared" si="133"/>
        <v>13751.792544641532</v>
      </c>
      <c r="J432" s="15">
        <f t="shared" si="133"/>
        <v>0</v>
      </c>
      <c r="K432" s="15">
        <f>(VLOOKUP($E432,$D$6:$AI$659,8,)/VLOOKUP($E432,$D$6:$AI$659,3,))*$F432</f>
        <v>4704.513527838486</v>
      </c>
      <c r="L432" s="15">
        <f>(VLOOKUP($E432,$D$6:$AI$659,L$2,)/VLOOKUP($E432,$D$6:$AI$659,3,))*$F432</f>
        <v>0</v>
      </c>
      <c r="M432" s="15">
        <f>(VLOOKUP($E432,$D$6:$AI$659,M$2,)/VLOOKUP($E432,$D$6:$AI$659,3,))*$F432</f>
        <v>0</v>
      </c>
      <c r="N432" s="15">
        <f>(VLOOKUP($E432,$D$6:$AI$659,11,)/VLOOKUP($E432,$D$6:$AI$659,3,))*$F432</f>
        <v>4704.513527838486</v>
      </c>
      <c r="O432" s="15">
        <f t="shared" si="134"/>
        <v>0</v>
      </c>
      <c r="P432" s="15">
        <f t="shared" si="134"/>
        <v>0</v>
      </c>
      <c r="Q432" s="15">
        <f t="shared" si="134"/>
        <v>0</v>
      </c>
      <c r="R432" s="15">
        <f>(VLOOKUP($E432,$D$6:$AI$659,15,)/VLOOKUP($E432,$D$6:$AI$659,3,))*$F432</f>
        <v>0</v>
      </c>
      <c r="S432" s="15">
        <f>(VLOOKUP($E432,$D$6:$AI$659,16,)/VLOOKUP($E432,$D$6:$AI$659,3,))*$F432</f>
        <v>0</v>
      </c>
      <c r="T432" s="15">
        <f>(VLOOKUP($E432,$D$6:$AI$659,17,)/VLOOKUP($E432,$D$6:$AI$659,3,))*$F432</f>
        <v>0</v>
      </c>
      <c r="U432" s="148">
        <f>SUM(G432:M432)</f>
        <v>539158.45702445251</v>
      </c>
      <c r="V432" s="133" t="str">
        <f>IF(ABS(F432-U432)&lt;0.01,"ok","err")</f>
        <v>ok</v>
      </c>
    </row>
    <row r="433" spans="1:23" x14ac:dyDescent="0.25">
      <c r="A433" s="140" t="s">
        <v>228</v>
      </c>
      <c r="D433" s="140" t="s">
        <v>375</v>
      </c>
      <c r="F433" s="147">
        <f>SUM(F431:F432)</f>
        <v>652963.54620239406</v>
      </c>
      <c r="G433" s="147">
        <f t="shared" ref="G433:T433" si="135">G431+G432</f>
        <v>420884.67166942457</v>
      </c>
      <c r="H433" s="147">
        <f t="shared" si="135"/>
        <v>189840.65581721929</v>
      </c>
      <c r="I433" s="147">
        <f t="shared" si="135"/>
        <v>16545.510208318239</v>
      </c>
      <c r="J433" s="147">
        <f t="shared" si="135"/>
        <v>624.45148405115253</v>
      </c>
      <c r="K433" s="147">
        <f t="shared" si="135"/>
        <v>25068.257023380735</v>
      </c>
      <c r="L433" s="147">
        <f t="shared" si="135"/>
        <v>0</v>
      </c>
      <c r="M433" s="147">
        <f t="shared" si="135"/>
        <v>0</v>
      </c>
      <c r="N433" s="147">
        <f t="shared" si="135"/>
        <v>4704.513527838486</v>
      </c>
      <c r="O433" s="147">
        <f t="shared" si="135"/>
        <v>0</v>
      </c>
      <c r="P433" s="147">
        <f t="shared" si="135"/>
        <v>0</v>
      </c>
      <c r="Q433" s="147">
        <f t="shared" si="135"/>
        <v>0</v>
      </c>
      <c r="R433" s="147">
        <f t="shared" si="135"/>
        <v>0</v>
      </c>
      <c r="S433" s="147">
        <f t="shared" si="135"/>
        <v>0</v>
      </c>
      <c r="T433" s="147">
        <f t="shared" si="135"/>
        <v>0</v>
      </c>
      <c r="U433" s="148">
        <f>SUM(G433:M433)</f>
        <v>652963.54620239395</v>
      </c>
      <c r="V433" s="133" t="str">
        <f>IF(ABS(F433-U433)&lt;0.01,"ok","err")</f>
        <v>ok</v>
      </c>
    </row>
    <row r="434" spans="1:23" x14ac:dyDescent="0.25">
      <c r="F434" s="15"/>
      <c r="U434" s="148"/>
    </row>
    <row r="435" spans="1:23" x14ac:dyDescent="0.25">
      <c r="A435" s="134" t="s">
        <v>6</v>
      </c>
      <c r="F435" s="15"/>
      <c r="U435" s="148"/>
    </row>
    <row r="436" spans="1:23" x14ac:dyDescent="0.25">
      <c r="A436" s="140" t="s">
        <v>226</v>
      </c>
      <c r="C436" s="140" t="s">
        <v>307</v>
      </c>
      <c r="D436" s="140" t="s">
        <v>376</v>
      </c>
      <c r="E436" s="140" t="s">
        <v>316</v>
      </c>
      <c r="F436" s="147">
        <f>VLOOKUP(C436,'Functional Assignment'!$C$1:$AR$730,11,)</f>
        <v>0</v>
      </c>
      <c r="G436" s="147">
        <f>(VLOOKUP($E436,$D$6:$AI$659,G$2,)/VLOOKUP($E436,$D$6:$AI$659,3,))*$F436</f>
        <v>0</v>
      </c>
      <c r="H436" s="147">
        <f>(VLOOKUP($E436,$D$6:$AI$659,H$2,)/VLOOKUP($E436,$D$6:$AI$659,3,))*$F436</f>
        <v>0</v>
      </c>
      <c r="I436" s="147">
        <f>(VLOOKUP($E436,$D$6:$AI$659,I$2,)/VLOOKUP($E436,$D$6:$AI$659,3,))*$F436</f>
        <v>0</v>
      </c>
      <c r="J436" s="147">
        <f>(VLOOKUP($E436,$D$6:$AI$659,J$2,)/VLOOKUP($E436,$D$6:$AI$659,3,))*$F436</f>
        <v>0</v>
      </c>
      <c r="K436" s="147">
        <f>(VLOOKUP($E436,$D$6:$AI$659,8,)/VLOOKUP($E436,$D$6:$AI$659,3,))*$F436</f>
        <v>0</v>
      </c>
      <c r="L436" s="147">
        <f>(VLOOKUP($E436,$D$6:$AI$659,L$2,)/VLOOKUP($E436,$D$6:$AI$659,3,))*$F436</f>
        <v>0</v>
      </c>
      <c r="M436" s="147">
        <f>(VLOOKUP($E436,$D$6:$AI$659,M$2,)/VLOOKUP($E436,$D$6:$AI$659,3,))*$F436</f>
        <v>0</v>
      </c>
      <c r="N436" s="147">
        <f>(VLOOKUP($E436,$D$6:$AI$659,11,)/VLOOKUP($E436,$D$6:$AI$659,3,))*$F436</f>
        <v>0</v>
      </c>
      <c r="O436" s="147">
        <f>(VLOOKUP($E436,$D$6:$AI$659,O$2,)/VLOOKUP($E436,$D$6:$AI$659,3,))*$F436</f>
        <v>0</v>
      </c>
      <c r="P436" s="147">
        <f>(VLOOKUP($E436,$D$6:$AI$659,P$2,)/VLOOKUP($E436,$D$6:$AI$659,3,))*$F436</f>
        <v>0</v>
      </c>
      <c r="Q436" s="147">
        <f>(VLOOKUP($E436,$D$6:$AI$659,Q$2,)/VLOOKUP($E436,$D$6:$AI$659,3,))*$F436</f>
        <v>0</v>
      </c>
      <c r="R436" s="147">
        <f>(VLOOKUP($E436,$D$6:$AI$659,15,)/VLOOKUP($E436,$D$6:$AI$659,3,))*$F436</f>
        <v>0</v>
      </c>
      <c r="S436" s="147">
        <f>(VLOOKUP($E436,$D$6:$AI$659,16,)/VLOOKUP($E436,$D$6:$AI$659,3,))*$F436</f>
        <v>0</v>
      </c>
      <c r="T436" s="147">
        <f>(VLOOKUP($E436,$D$6:$AI$659,17,)/VLOOKUP($E436,$D$6:$AI$659,3,))*$F436</f>
        <v>0</v>
      </c>
      <c r="U436" s="148">
        <f>SUM(G436:M436)</f>
        <v>0</v>
      </c>
      <c r="V436" s="133" t="str">
        <f>IF(ABS(F436-U436)&lt;0.01,"ok","err")</f>
        <v>ok</v>
      </c>
    </row>
    <row r="437" spans="1:23" x14ac:dyDescent="0.25">
      <c r="A437" s="146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48"/>
      <c r="V437" s="133"/>
    </row>
    <row r="438" spans="1:23" x14ac:dyDescent="0.25">
      <c r="A438" s="134" t="s">
        <v>7</v>
      </c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48"/>
      <c r="V438" s="133"/>
    </row>
    <row r="439" spans="1:23" x14ac:dyDescent="0.25">
      <c r="A439" s="146" t="s">
        <v>207</v>
      </c>
      <c r="C439" s="140" t="s">
        <v>307</v>
      </c>
      <c r="D439" s="140" t="s">
        <v>377</v>
      </c>
      <c r="E439" s="140" t="s">
        <v>317</v>
      </c>
      <c r="F439" s="147">
        <f>VLOOKUP(C439,'Functional Assignment'!$C$1:$AR$730,12,)</f>
        <v>412890.22233431623</v>
      </c>
      <c r="G439" s="147">
        <f>(VLOOKUP($E439,$D$6:$AI$659,G$2,)/VLOOKUP($E439,$D$6:$AI$659,3,))*$F439</f>
        <v>224161.59852714185</v>
      </c>
      <c r="H439" s="147">
        <f>(VLOOKUP($E439,$D$6:$AI$659,H$2,)/VLOOKUP($E439,$D$6:$AI$659,3,))*$F439</f>
        <v>102446.72490666081</v>
      </c>
      <c r="I439" s="147">
        <f>(VLOOKUP($E439,$D$6:$AI$659,I$2,)/VLOOKUP($E439,$D$6:$AI$659,3,))*$F439</f>
        <v>10135.739232989958</v>
      </c>
      <c r="J439" s="147">
        <f>(VLOOKUP($E439,$D$6:$AI$659,J$2,)/VLOOKUP($E439,$D$6:$AI$659,3,))*$F439</f>
        <v>2265.5393879946841</v>
      </c>
      <c r="K439" s="147">
        <f>(VLOOKUP($E439,$D$6:$AI$659,8,)/VLOOKUP($E439,$D$6:$AI$659,3,))*$F439</f>
        <v>73880.620279528914</v>
      </c>
      <c r="L439" s="147">
        <f>(VLOOKUP($E439,$D$6:$AI$659,L$2,)/VLOOKUP($E439,$D$6:$AI$659,3,))*$F439</f>
        <v>0</v>
      </c>
      <c r="M439" s="147">
        <f>(VLOOKUP($E439,$D$6:$AI$659,M$2,)/VLOOKUP($E439,$D$6:$AI$659,3,))*$F439</f>
        <v>0</v>
      </c>
      <c r="N439" s="147">
        <f>(VLOOKUP($E439,$D$6:$AI$659,11,)/VLOOKUP($E439,$D$6:$AI$659,3,))*$F439</f>
        <v>0</v>
      </c>
      <c r="O439" s="147">
        <f>(VLOOKUP($E439,$D$6:$AI$659,O$2,)/VLOOKUP($E439,$D$6:$AI$659,3,))*$F439</f>
        <v>0</v>
      </c>
      <c r="P439" s="147">
        <f>(VLOOKUP($E439,$D$6:$AI$659,P$2,)/VLOOKUP($E439,$D$6:$AI$659,3,))*$F439</f>
        <v>0</v>
      </c>
      <c r="Q439" s="147">
        <f>(VLOOKUP($E439,$D$6:$AI$659,Q$2,)/VLOOKUP($E439,$D$6:$AI$659,3,))*$F439</f>
        <v>0</v>
      </c>
      <c r="R439" s="147">
        <f>(VLOOKUP($E439,$D$6:$AI$659,15,)/VLOOKUP($E439,$D$6:$AI$659,3,))*$F439</f>
        <v>0</v>
      </c>
      <c r="S439" s="147">
        <f>(VLOOKUP($E439,$D$6:$AI$659,16,)/VLOOKUP($E439,$D$6:$AI$659,3,))*$F439</f>
        <v>0</v>
      </c>
      <c r="T439" s="147">
        <f>(VLOOKUP($E439,$D$6:$AI$659,17,)/VLOOKUP($E439,$D$6:$AI$659,3,))*$F439</f>
        <v>0</v>
      </c>
      <c r="U439" s="148">
        <f>SUM(G439:M439)</f>
        <v>412890.22233431617</v>
      </c>
      <c r="V439" s="133" t="str">
        <f>IF(ABS(F439-U439)&lt;0.01,"ok","err")</f>
        <v>ok</v>
      </c>
    </row>
    <row r="440" spans="1:23" x14ac:dyDescent="0.25">
      <c r="F440" s="15"/>
      <c r="U440" s="148"/>
    </row>
    <row r="441" spans="1:23" x14ac:dyDescent="0.25">
      <c r="A441" s="134" t="s">
        <v>8</v>
      </c>
      <c r="F441" s="15"/>
      <c r="U441" s="148"/>
    </row>
    <row r="442" spans="1:23" x14ac:dyDescent="0.25">
      <c r="A442" s="146" t="s">
        <v>680</v>
      </c>
      <c r="C442" s="140" t="s">
        <v>307</v>
      </c>
      <c r="D442" s="140" t="s">
        <v>378</v>
      </c>
      <c r="E442" s="140" t="s">
        <v>932</v>
      </c>
      <c r="F442" s="147">
        <f>VLOOKUP(C442,'Functional Assignment'!$C$1:$AR$730,13,)</f>
        <v>4279127.5061235614</v>
      </c>
      <c r="G442" s="147">
        <f t="shared" ref="G442:J445" si="136">(VLOOKUP($E442,$D$6:$AI$659,G$2,)/VLOOKUP($E442,$D$6:$AI$659,3,))*$F442</f>
        <v>2615881.7393369619</v>
      </c>
      <c r="H442" s="147">
        <f t="shared" si="136"/>
        <v>1273034.3646145887</v>
      </c>
      <c r="I442" s="147">
        <f t="shared" si="136"/>
        <v>173985.1439360996</v>
      </c>
      <c r="J442" s="147">
        <f t="shared" si="136"/>
        <v>32527.013690213276</v>
      </c>
      <c r="K442" s="147">
        <f>(VLOOKUP($E442,$D$6:$AI$659,8,)/VLOOKUP($E442,$D$6:$AI$659,3,))*$F442</f>
        <v>183699.24454569846</v>
      </c>
      <c r="L442" s="147">
        <f t="shared" ref="L442:M445" si="137">(VLOOKUP($E442,$D$6:$AI$659,L$2,)/VLOOKUP($E442,$D$6:$AI$659,3,))*$F442</f>
        <v>0</v>
      </c>
      <c r="M442" s="147">
        <f t="shared" si="137"/>
        <v>0</v>
      </c>
      <c r="N442" s="147">
        <f>(VLOOKUP($E442,$D$6:$AI$659,11,)/VLOOKUP($E442,$D$6:$AI$659,3,))*$F442</f>
        <v>0</v>
      </c>
      <c r="O442" s="147">
        <f t="shared" ref="O442:Q445" si="138">(VLOOKUP($E442,$D$6:$AI$659,O$2,)/VLOOKUP($E442,$D$6:$AI$659,3,))*$F442</f>
        <v>0</v>
      </c>
      <c r="P442" s="147">
        <f t="shared" si="138"/>
        <v>0</v>
      </c>
      <c r="Q442" s="147">
        <f t="shared" si="138"/>
        <v>0</v>
      </c>
      <c r="R442" s="147">
        <f>(VLOOKUP($E442,$D$6:$AI$659,15,)/VLOOKUP($E442,$D$6:$AI$659,3,))*$F442</f>
        <v>0</v>
      </c>
      <c r="S442" s="147">
        <f>(VLOOKUP($E442,$D$6:$AI$659,16,)/VLOOKUP($E442,$D$6:$AI$659,3,))*$F442</f>
        <v>0</v>
      </c>
      <c r="T442" s="147">
        <f>(VLOOKUP($E442,$D$6:$AI$659,17,)/VLOOKUP($E442,$D$6:$AI$659,3,))*$F442</f>
        <v>0</v>
      </c>
      <c r="U442" s="148">
        <f>SUM(G442:M442)</f>
        <v>4279127.5061235614</v>
      </c>
      <c r="V442" s="133" t="str">
        <f>IF(ABS(F442-U442)&lt;0.01,"ok","err")</f>
        <v>ok</v>
      </c>
    </row>
    <row r="443" spans="1:23" x14ac:dyDescent="0.25">
      <c r="A443" s="146" t="s">
        <v>679</v>
      </c>
      <c r="C443" s="140" t="s">
        <v>307</v>
      </c>
      <c r="D443" s="140" t="s">
        <v>379</v>
      </c>
      <c r="E443" s="140" t="s">
        <v>684</v>
      </c>
      <c r="F443" s="15">
        <f>VLOOKUP(C443,'Functional Assignment'!$C$1:$AR$730,14,)</f>
        <v>0</v>
      </c>
      <c r="G443" s="15">
        <f t="shared" si="136"/>
        <v>0</v>
      </c>
      <c r="H443" s="15">
        <f t="shared" si="136"/>
        <v>0</v>
      </c>
      <c r="I443" s="15">
        <f t="shared" si="136"/>
        <v>0</v>
      </c>
      <c r="J443" s="15">
        <f t="shared" si="136"/>
        <v>0</v>
      </c>
      <c r="K443" s="15">
        <f>(VLOOKUP($E443,$D$6:$AI$659,8,)/VLOOKUP($E443,$D$6:$AI$659,3,))*$F443</f>
        <v>0</v>
      </c>
      <c r="L443" s="15">
        <f t="shared" si="137"/>
        <v>0</v>
      </c>
      <c r="M443" s="15">
        <f t="shared" si="137"/>
        <v>0</v>
      </c>
      <c r="N443" s="15">
        <f>(VLOOKUP($E443,$D$6:$AI$659,11,)/VLOOKUP($E443,$D$6:$AI$659,3,))*$F443</f>
        <v>0</v>
      </c>
      <c r="O443" s="15">
        <f t="shared" si="138"/>
        <v>0</v>
      </c>
      <c r="P443" s="15">
        <f t="shared" si="138"/>
        <v>0</v>
      </c>
      <c r="Q443" s="15">
        <f t="shared" si="138"/>
        <v>0</v>
      </c>
      <c r="R443" s="15">
        <f>(VLOOKUP($E443,$D$6:$AI$659,15,)/VLOOKUP($E443,$D$6:$AI$659,3,))*$F443</f>
        <v>0</v>
      </c>
      <c r="S443" s="15">
        <f>(VLOOKUP($E443,$D$6:$AI$659,16,)/VLOOKUP($E443,$D$6:$AI$659,3,))*$F443</f>
        <v>0</v>
      </c>
      <c r="T443" s="15">
        <f>(VLOOKUP($E443,$D$6:$AI$659,17,)/VLOOKUP($E443,$D$6:$AI$659,3,))*$F443</f>
        <v>0</v>
      </c>
      <c r="U443" s="148">
        <f>SUM(G443:M443)</f>
        <v>0</v>
      </c>
      <c r="V443" s="133" t="str">
        <f>IF(ABS(F443-U443)&lt;0.01,"ok","err")</f>
        <v>ok</v>
      </c>
      <c r="W443" s="149"/>
    </row>
    <row r="444" spans="1:23" x14ac:dyDescent="0.25">
      <c r="A444" s="146" t="s">
        <v>681</v>
      </c>
      <c r="C444" s="140" t="s">
        <v>307</v>
      </c>
      <c r="D444" s="140" t="s">
        <v>378</v>
      </c>
      <c r="E444" s="140" t="s">
        <v>931</v>
      </c>
      <c r="F444" s="15">
        <f>VLOOKUP(C444,'Functional Assignment'!$C$1:$AR$730,15,)</f>
        <v>469679.5580006456</v>
      </c>
      <c r="G444" s="15">
        <f t="shared" si="136"/>
        <v>230952.66848221398</v>
      </c>
      <c r="H444" s="15">
        <f t="shared" si="136"/>
        <v>112009.787240126</v>
      </c>
      <c r="I444" s="15">
        <f t="shared" si="136"/>
        <v>16095.19756629416</v>
      </c>
      <c r="J444" s="15">
        <f t="shared" si="136"/>
        <v>3324.775264436656</v>
      </c>
      <c r="K444" s="15">
        <f>(VLOOKUP($E444,$D$6:$AI$659,8,)/VLOOKUP($E444,$D$6:$AI$659,3,))*$F444</f>
        <v>107297.12944757484</v>
      </c>
      <c r="L444" s="15">
        <f t="shared" si="137"/>
        <v>0</v>
      </c>
      <c r="M444" s="15">
        <f t="shared" si="137"/>
        <v>0</v>
      </c>
      <c r="N444" s="15">
        <f>(VLOOKUP($E444,$D$6:$AI$659,11,)/VLOOKUP($E444,$D$6:$AI$659,3,))*$F444</f>
        <v>0</v>
      </c>
      <c r="O444" s="15">
        <f t="shared" si="138"/>
        <v>0</v>
      </c>
      <c r="P444" s="15">
        <f t="shared" si="138"/>
        <v>0</v>
      </c>
      <c r="Q444" s="15">
        <f t="shared" si="138"/>
        <v>0</v>
      </c>
      <c r="R444" s="15"/>
      <c r="S444" s="15"/>
      <c r="T444" s="15"/>
      <c r="U444" s="148">
        <f>SUM(G444:M444)</f>
        <v>469679.55800064566</v>
      </c>
      <c r="V444" s="133" t="str">
        <f>IF(ABS(F444-U444)&lt;0.01,"ok","err")</f>
        <v>ok</v>
      </c>
    </row>
    <row r="445" spans="1:23" x14ac:dyDescent="0.25">
      <c r="A445" s="146" t="s">
        <v>678</v>
      </c>
      <c r="C445" s="140" t="s">
        <v>307</v>
      </c>
      <c r="D445" s="140" t="s">
        <v>379</v>
      </c>
      <c r="E445" s="140" t="s">
        <v>319</v>
      </c>
      <c r="F445" s="15">
        <f>VLOOKUP(C445,'Functional Assignment'!$C$1:$AR$730,16,)</f>
        <v>0</v>
      </c>
      <c r="G445" s="15">
        <f t="shared" si="136"/>
        <v>0</v>
      </c>
      <c r="H445" s="15">
        <f t="shared" si="136"/>
        <v>0</v>
      </c>
      <c r="I445" s="15">
        <f t="shared" si="136"/>
        <v>0</v>
      </c>
      <c r="J445" s="15">
        <f t="shared" si="136"/>
        <v>0</v>
      </c>
      <c r="K445" s="15">
        <f>(VLOOKUP($E445,$D$6:$AI$659,8,)/VLOOKUP($E445,$D$6:$AI$659,3,))*$F445</f>
        <v>0</v>
      </c>
      <c r="L445" s="15">
        <f t="shared" si="137"/>
        <v>0</v>
      </c>
      <c r="M445" s="15">
        <f t="shared" si="137"/>
        <v>0</v>
      </c>
      <c r="N445" s="15">
        <f>(VLOOKUP($E445,$D$6:$AI$659,11,)/VLOOKUP($E445,$D$6:$AI$659,3,))*$F445</f>
        <v>0</v>
      </c>
      <c r="O445" s="15">
        <f t="shared" si="138"/>
        <v>0</v>
      </c>
      <c r="P445" s="15">
        <f t="shared" si="138"/>
        <v>0</v>
      </c>
      <c r="Q445" s="15">
        <f t="shared" si="138"/>
        <v>0</v>
      </c>
      <c r="R445" s="15"/>
      <c r="S445" s="15"/>
      <c r="T445" s="15"/>
      <c r="U445" s="148">
        <f>SUM(G445:M445)</f>
        <v>0</v>
      </c>
      <c r="V445" s="133" t="str">
        <f>IF(ABS(F445-U445)&lt;0.01,"ok","err")</f>
        <v>ok</v>
      </c>
    </row>
    <row r="446" spans="1:23" x14ac:dyDescent="0.25">
      <c r="A446" s="140" t="s">
        <v>229</v>
      </c>
      <c r="F446" s="147">
        <f>SUM(F442:F445)</f>
        <v>4748807.064124207</v>
      </c>
      <c r="G446" s="147">
        <f t="shared" ref="G446:Q446" si="139">SUM(G442:G445)</f>
        <v>2846834.4078191761</v>
      </c>
      <c r="H446" s="147">
        <f t="shared" si="139"/>
        <v>1385044.1518547146</v>
      </c>
      <c r="I446" s="147">
        <f t="shared" si="139"/>
        <v>190080.34150239377</v>
      </c>
      <c r="J446" s="147">
        <f t="shared" si="139"/>
        <v>35851.788954649935</v>
      </c>
      <c r="K446" s="147">
        <f t="shared" si="139"/>
        <v>290996.3739932733</v>
      </c>
      <c r="L446" s="147">
        <f t="shared" si="139"/>
        <v>0</v>
      </c>
      <c r="M446" s="147">
        <f t="shared" si="139"/>
        <v>0</v>
      </c>
      <c r="N446" s="147">
        <f t="shared" si="139"/>
        <v>0</v>
      </c>
      <c r="O446" s="147">
        <f t="shared" si="139"/>
        <v>0</v>
      </c>
      <c r="P446" s="147">
        <f t="shared" si="139"/>
        <v>0</v>
      </c>
      <c r="Q446" s="147">
        <f t="shared" si="139"/>
        <v>0</v>
      </c>
      <c r="R446" s="147">
        <f>R442+R443</f>
        <v>0</v>
      </c>
      <c r="S446" s="147">
        <f>S442+S443</f>
        <v>0</v>
      </c>
      <c r="T446" s="147">
        <f>T442+T443</f>
        <v>0</v>
      </c>
      <c r="U446" s="148">
        <f>SUM(G446:M446)</f>
        <v>4748807.064124207</v>
      </c>
      <c r="V446" s="133" t="str">
        <f>IF(ABS(F446-U446)&lt;0.01,"ok","err")</f>
        <v>ok</v>
      </c>
      <c r="W446" s="149"/>
    </row>
    <row r="447" spans="1:23" x14ac:dyDescent="0.25">
      <c r="F447" s="15"/>
      <c r="U447" s="148"/>
    </row>
    <row r="448" spans="1:23" x14ac:dyDescent="0.25">
      <c r="A448" s="134" t="s">
        <v>10</v>
      </c>
      <c r="F448" s="15"/>
      <c r="U448" s="148"/>
    </row>
    <row r="449" spans="1:24" x14ac:dyDescent="0.25">
      <c r="A449" s="146" t="s">
        <v>208</v>
      </c>
      <c r="C449" s="140" t="s">
        <v>307</v>
      </c>
      <c r="D449" s="140" t="s">
        <v>371</v>
      </c>
      <c r="E449" s="140" t="s">
        <v>320</v>
      </c>
      <c r="F449" s="147">
        <f>VLOOKUP(C449,'Functional Assignment'!$C$1:$AR$730,17,)</f>
        <v>4118633.9777020416</v>
      </c>
      <c r="G449" s="147">
        <f>(VLOOKUP($E449,$D$6:$AI$659,G$2,)/VLOOKUP($E449,$D$6:$AI$659,3,))*$F449</f>
        <v>3063879.859585789</v>
      </c>
      <c r="H449" s="147">
        <f>(VLOOKUP($E449,$D$6:$AI$659,H$2,)/VLOOKUP($E449,$D$6:$AI$659,3,))*$F449</f>
        <v>988876.37065245234</v>
      </c>
      <c r="I449" s="147">
        <f>(VLOOKUP($E449,$D$6:$AI$659,I$2,)/VLOOKUP($E449,$D$6:$AI$659,3,))*$F449</f>
        <v>27599.526149673671</v>
      </c>
      <c r="J449" s="147">
        <f>(VLOOKUP($E449,$D$6:$AI$659,J$2,)/VLOOKUP($E449,$D$6:$AI$659,3,))*$F449</f>
        <v>619.05479214221316</v>
      </c>
      <c r="K449" s="147">
        <f>(VLOOKUP($E449,$D$6:$AI$659,8,)/VLOOKUP($E449,$D$6:$AI$659,3,))*$F449</f>
        <v>37659.166521984633</v>
      </c>
      <c r="L449" s="147">
        <f>(VLOOKUP($E449,$D$6:$AI$659,L$2,)/VLOOKUP($E449,$D$6:$AI$659,3,))*$F449</f>
        <v>0</v>
      </c>
      <c r="M449" s="147">
        <f>(VLOOKUP($E449,$D$6:$AI$659,M$2,)/VLOOKUP($E449,$D$6:$AI$659,3,))*$F449</f>
        <v>0</v>
      </c>
      <c r="N449" s="147">
        <f>(VLOOKUP($E449,$D$6:$AI$659,11,)/VLOOKUP($E449,$D$6:$AI$659,3,))*$F449</f>
        <v>0</v>
      </c>
      <c r="O449" s="147">
        <f>(VLOOKUP($E449,$D$6:$AI$659,O$2,)/VLOOKUP($E449,$D$6:$AI$659,3,))*$F449</f>
        <v>0</v>
      </c>
      <c r="P449" s="147">
        <f>(VLOOKUP($E449,$D$6:$AI$659,P$2,)/VLOOKUP($E449,$D$6:$AI$659,3,))*$F449</f>
        <v>0</v>
      </c>
      <c r="Q449" s="147">
        <f>(VLOOKUP($E449,$D$6:$AI$659,Q$2,)/VLOOKUP($E449,$D$6:$AI$659,3,))*$F449</f>
        <v>0</v>
      </c>
      <c r="R449" s="147">
        <f>(VLOOKUP($E449,$D$6:$AI$659,15,)/VLOOKUP($E449,$D$6:$AI$659,3,))*$F449</f>
        <v>0</v>
      </c>
      <c r="S449" s="147">
        <f>(VLOOKUP($E449,$D$6:$AI$659,16,)/VLOOKUP($E449,$D$6:$AI$659,3,))*$F449</f>
        <v>0</v>
      </c>
      <c r="T449" s="147">
        <f>(VLOOKUP($E449,$D$6:$AI$659,17,)/VLOOKUP($E449,$D$6:$AI$659,3,))*$F449</f>
        <v>0</v>
      </c>
      <c r="U449" s="148">
        <f>SUM(G449:M449)</f>
        <v>4118633.9777020416</v>
      </c>
      <c r="V449" s="133" t="str">
        <f>IF(ABS(F449-U449)&lt;0.01,"ok","err")</f>
        <v>ok</v>
      </c>
      <c r="W449" s="149"/>
    </row>
    <row r="450" spans="1:24" x14ac:dyDescent="0.25">
      <c r="F450" s="15"/>
      <c r="U450" s="148"/>
    </row>
    <row r="451" spans="1:24" x14ac:dyDescent="0.25">
      <c r="A451" s="134" t="s">
        <v>11</v>
      </c>
      <c r="F451" s="15"/>
      <c r="U451" s="148"/>
    </row>
    <row r="452" spans="1:24" x14ac:dyDescent="0.25">
      <c r="A452" s="146" t="s">
        <v>208</v>
      </c>
      <c r="C452" s="140" t="s">
        <v>307</v>
      </c>
      <c r="D452" s="140" t="s">
        <v>380</v>
      </c>
      <c r="E452" s="140" t="s">
        <v>321</v>
      </c>
      <c r="F452" s="147">
        <f>VLOOKUP(C452,'Functional Assignment'!$C$1:$AR$730,18,)</f>
        <v>954952.95720636996</v>
      </c>
      <c r="G452" s="147">
        <f>(VLOOKUP($E452,$D$6:$AI$659,G$2,)/VLOOKUP($E452,$D$6:$AI$659,3,))*$F452</f>
        <v>641757.8333248581</v>
      </c>
      <c r="H452" s="147">
        <f>(VLOOKUP($E452,$D$6:$AI$659,H$2,)/VLOOKUP($E452,$D$6:$AI$659,3,))*$F452</f>
        <v>263578.43010165246</v>
      </c>
      <c r="I452" s="147">
        <f>(VLOOKUP($E452,$D$6:$AI$659,I$2,)/VLOOKUP($E452,$D$6:$AI$659,3,))*$F452</f>
        <v>21661.334310706294</v>
      </c>
      <c r="J452" s="147">
        <f>(VLOOKUP($E452,$D$6:$AI$659,J$2,)/VLOOKUP($E452,$D$6:$AI$659,3,))*$F452</f>
        <v>611.34739067797614</v>
      </c>
      <c r="K452" s="147">
        <f>(VLOOKUP($E452,$D$6:$AI$659,8,)/VLOOKUP($E452,$D$6:$AI$659,3,))*$F452</f>
        <v>27344.012078474902</v>
      </c>
      <c r="L452" s="147">
        <f>(VLOOKUP($E452,$D$6:$AI$659,L$2,)/VLOOKUP($E452,$D$6:$AI$659,3,))*$F452</f>
        <v>0</v>
      </c>
      <c r="M452" s="147">
        <f>(VLOOKUP($E452,$D$6:$AI$659,M$2,)/VLOOKUP($E452,$D$6:$AI$659,3,))*$F452</f>
        <v>0</v>
      </c>
      <c r="N452" s="147">
        <f>(VLOOKUP($E452,$D$6:$AI$659,11,)/VLOOKUP($E452,$D$6:$AI$659,3,))*$F452</f>
        <v>0</v>
      </c>
      <c r="O452" s="147">
        <f>(VLOOKUP($E452,$D$6:$AI$659,O$2,)/VLOOKUP($E452,$D$6:$AI$659,3,))*$F452</f>
        <v>0</v>
      </c>
      <c r="P452" s="147">
        <f>(VLOOKUP($E452,$D$6:$AI$659,P$2,)/VLOOKUP($E452,$D$6:$AI$659,3,))*$F452</f>
        <v>0</v>
      </c>
      <c r="Q452" s="147">
        <f>(VLOOKUP($E452,$D$6:$AI$659,Q$2,)/VLOOKUP($E452,$D$6:$AI$659,3,))*$F452</f>
        <v>0</v>
      </c>
      <c r="R452" s="147">
        <f>(VLOOKUP($E452,$D$6:$AI$659,15,)/VLOOKUP($E452,$D$6:$AI$659,3,))*$F452</f>
        <v>0</v>
      </c>
      <c r="S452" s="147">
        <f>(VLOOKUP($E452,$D$6:$AI$659,16,)/VLOOKUP($E452,$D$6:$AI$659,3,))*$F452</f>
        <v>0</v>
      </c>
      <c r="T452" s="147">
        <f>(VLOOKUP($E452,$D$6:$AI$659,17,)/VLOOKUP($E452,$D$6:$AI$659,3,))*$F452</f>
        <v>0</v>
      </c>
      <c r="U452" s="148">
        <f>SUM(G452:M452)</f>
        <v>954952.95720636973</v>
      </c>
      <c r="V452" s="133" t="str">
        <f>IF(ABS(F452-U452)&lt;0.01,"ok","err")</f>
        <v>ok</v>
      </c>
    </row>
    <row r="453" spans="1:24" x14ac:dyDescent="0.25">
      <c r="F453" s="15"/>
      <c r="U453" s="148"/>
    </row>
    <row r="454" spans="1:24" x14ac:dyDescent="0.25">
      <c r="A454" s="134" t="s">
        <v>12</v>
      </c>
      <c r="F454" s="15"/>
      <c r="U454" s="148"/>
    </row>
    <row r="455" spans="1:24" x14ac:dyDescent="0.25">
      <c r="A455" s="146" t="s">
        <v>208</v>
      </c>
      <c r="C455" s="140" t="s">
        <v>307</v>
      </c>
      <c r="D455" s="140" t="s">
        <v>381</v>
      </c>
      <c r="E455" s="140" t="s">
        <v>322</v>
      </c>
      <c r="F455" s="147">
        <f>VLOOKUP(C455,'Functional Assignment'!$C$1:$AR$730,19,)</f>
        <v>0</v>
      </c>
      <c r="G455" s="147">
        <f>(VLOOKUP($E455,$D$6:$AI$659,G$2,)/VLOOKUP($E455,$D$6:$AI$659,3,))*$F455</f>
        <v>0</v>
      </c>
      <c r="H455" s="147">
        <f>(VLOOKUP($E455,$D$6:$AI$659,H$2,)/VLOOKUP($E455,$D$6:$AI$659,3,))*$F455</f>
        <v>0</v>
      </c>
      <c r="I455" s="147">
        <f>(VLOOKUP($E455,$D$6:$AI$659,I$2,)/VLOOKUP($E455,$D$6:$AI$659,3,))*$F455</f>
        <v>0</v>
      </c>
      <c r="J455" s="147">
        <f>(VLOOKUP($E455,$D$6:$AI$659,J$2,)/VLOOKUP($E455,$D$6:$AI$659,3,))*$F455</f>
        <v>0</v>
      </c>
      <c r="K455" s="147">
        <f>(VLOOKUP($E455,$D$6:$AI$659,8,)/VLOOKUP($E455,$D$6:$AI$659,3,))*$F455</f>
        <v>0</v>
      </c>
      <c r="L455" s="147">
        <f>(VLOOKUP($E455,$D$6:$AI$659,L$2,)/VLOOKUP($E455,$D$6:$AI$659,3,))*$F455</f>
        <v>0</v>
      </c>
      <c r="M455" s="147">
        <f>(VLOOKUP($E455,$D$6:$AI$659,M$2,)/VLOOKUP($E455,$D$6:$AI$659,3,))*$F455</f>
        <v>0</v>
      </c>
      <c r="N455" s="147">
        <f>(VLOOKUP($E455,$D$6:$AI$659,11,)/VLOOKUP($E455,$D$6:$AI$659,3,))*$F455</f>
        <v>0</v>
      </c>
      <c r="O455" s="147">
        <f>(VLOOKUP($E455,$D$6:$AI$659,O$2,)/VLOOKUP($E455,$D$6:$AI$659,3,))*$F455</f>
        <v>0</v>
      </c>
      <c r="P455" s="147">
        <f>(VLOOKUP($E455,$D$6:$AI$659,P$2,)/VLOOKUP($E455,$D$6:$AI$659,3,))*$F455</f>
        <v>0</v>
      </c>
      <c r="Q455" s="147">
        <f>(VLOOKUP($E455,$D$6:$AI$659,Q$2,)/VLOOKUP($E455,$D$6:$AI$659,3,))*$F455</f>
        <v>0</v>
      </c>
      <c r="R455" s="147">
        <f>(VLOOKUP($E455,$D$6:$AI$659,15,)/VLOOKUP($E455,$D$6:$AI$659,3,))*$F455</f>
        <v>0</v>
      </c>
      <c r="S455" s="147">
        <f>(VLOOKUP($E455,$D$6:$AI$659,16,)/VLOOKUP($E455,$D$6:$AI$659,3,))*$F455</f>
        <v>0</v>
      </c>
      <c r="T455" s="147">
        <f>(VLOOKUP($E455,$D$6:$AI$659,17,)/VLOOKUP($E455,$D$6:$AI$659,3,))*$F455</f>
        <v>0</v>
      </c>
      <c r="U455" s="148">
        <f>SUM(G455:M455)</f>
        <v>0</v>
      </c>
      <c r="V455" s="133" t="str">
        <f>IF(ABS(F455-U455)&lt;0.01,"ok","err")</f>
        <v>ok</v>
      </c>
    </row>
    <row r="456" spans="1:24" x14ac:dyDescent="0.25">
      <c r="F456" s="15"/>
      <c r="U456" s="148"/>
    </row>
    <row r="457" spans="1:24" x14ac:dyDescent="0.25">
      <c r="A457" s="134" t="s">
        <v>13</v>
      </c>
      <c r="F457" s="15"/>
      <c r="U457" s="148"/>
    </row>
    <row r="458" spans="1:24" x14ac:dyDescent="0.25">
      <c r="A458" s="146" t="s">
        <v>208</v>
      </c>
      <c r="C458" s="140" t="s">
        <v>307</v>
      </c>
      <c r="D458" s="140" t="s">
        <v>382</v>
      </c>
      <c r="E458" s="140" t="s">
        <v>323</v>
      </c>
      <c r="F458" s="147">
        <f>VLOOKUP(C458,'Functional Assignment'!$C$1:$AR$730,20,)</f>
        <v>0</v>
      </c>
      <c r="G458" s="147">
        <f>(VLOOKUP($E458,$D$6:$AI$659,G$2,)/VLOOKUP($E458,$D$6:$AI$659,3,))*$F458</f>
        <v>0</v>
      </c>
      <c r="H458" s="147">
        <f>(VLOOKUP($E458,$D$6:$AI$659,H$2,)/VLOOKUP($E458,$D$6:$AI$659,3,))*$F458</f>
        <v>0</v>
      </c>
      <c r="I458" s="147">
        <f>(VLOOKUP($E458,$D$6:$AI$659,I$2,)/VLOOKUP($E458,$D$6:$AI$659,3,))*$F458</f>
        <v>0</v>
      </c>
      <c r="J458" s="147">
        <f>(VLOOKUP($E458,$D$6:$AI$659,J$2,)/VLOOKUP($E458,$D$6:$AI$659,3,))*$F458</f>
        <v>0</v>
      </c>
      <c r="K458" s="147">
        <f>(VLOOKUP($E458,$D$6:$AI$659,8,)/VLOOKUP($E458,$D$6:$AI$659,3,))*$F458</f>
        <v>0</v>
      </c>
      <c r="L458" s="147">
        <f>(VLOOKUP($E458,$D$6:$AI$659,L$2,)/VLOOKUP($E458,$D$6:$AI$659,3,))*$F458</f>
        <v>0</v>
      </c>
      <c r="M458" s="147">
        <f>(VLOOKUP($E458,$D$6:$AI$659,M$2,)/VLOOKUP($E458,$D$6:$AI$659,3,))*$F458</f>
        <v>0</v>
      </c>
      <c r="N458" s="147">
        <f>(VLOOKUP($E458,$D$6:$AI$659,11,)/VLOOKUP($E458,$D$6:$AI$659,3,))*$F458</f>
        <v>0</v>
      </c>
      <c r="O458" s="147">
        <f>(VLOOKUP($E458,$D$6:$AI$659,O$2,)/VLOOKUP($E458,$D$6:$AI$659,3,))*$F458</f>
        <v>0</v>
      </c>
      <c r="P458" s="147">
        <f>(VLOOKUP($E458,$D$6:$AI$659,P$2,)/VLOOKUP($E458,$D$6:$AI$659,3,))*$F458</f>
        <v>0</v>
      </c>
      <c r="Q458" s="147">
        <f>(VLOOKUP($E458,$D$6:$AI$659,Q$2,)/VLOOKUP($E458,$D$6:$AI$659,3,))*$F458</f>
        <v>0</v>
      </c>
      <c r="R458" s="147">
        <f>(VLOOKUP($E458,$D$6:$AI$659,15,)/VLOOKUP($E458,$D$6:$AI$659,3,))*$F458</f>
        <v>0</v>
      </c>
      <c r="S458" s="147">
        <f>(VLOOKUP($E458,$D$6:$AI$659,16,)/VLOOKUP($E458,$D$6:$AI$659,3,))*$F458</f>
        <v>0</v>
      </c>
      <c r="T458" s="147">
        <f>(VLOOKUP($E458,$D$6:$AI$659,17,)/VLOOKUP($E458,$D$6:$AI$659,3,))*$F458</f>
        <v>0</v>
      </c>
      <c r="U458" s="148">
        <f>SUM(G458:M458)</f>
        <v>0</v>
      </c>
      <c r="V458" s="133" t="str">
        <f>IF(ABS(F458-U458)&lt;0.01,"ok","err")</f>
        <v>ok</v>
      </c>
    </row>
    <row r="459" spans="1:24" x14ac:dyDescent="0.25">
      <c r="F459" s="15"/>
      <c r="U459" s="148"/>
    </row>
    <row r="460" spans="1:24" x14ac:dyDescent="0.25">
      <c r="A460" s="140" t="s">
        <v>14</v>
      </c>
      <c r="D460" s="140" t="s">
        <v>383</v>
      </c>
      <c r="F460" s="147">
        <f t="shared" ref="F460:T460" si="140">F423+F428+F433+F436+F439+F446+F449+F452+F455+F458</f>
        <v>12736800.254514528</v>
      </c>
      <c r="G460" s="147">
        <f t="shared" si="140"/>
        <v>8428720.8162924889</v>
      </c>
      <c r="H460" s="147">
        <f t="shared" si="140"/>
        <v>3483857.2961074077</v>
      </c>
      <c r="I460" s="147">
        <f t="shared" si="140"/>
        <v>313171.68921562686</v>
      </c>
      <c r="J460" s="147">
        <f t="shared" si="140"/>
        <v>39972.182009515956</v>
      </c>
      <c r="K460" s="147">
        <f t="shared" si="140"/>
        <v>471078.2708894895</v>
      </c>
      <c r="L460" s="147">
        <f t="shared" si="140"/>
        <v>0</v>
      </c>
      <c r="M460" s="147">
        <f t="shared" si="140"/>
        <v>0</v>
      </c>
      <c r="N460" s="147">
        <f t="shared" si="140"/>
        <v>20834.354520685505</v>
      </c>
      <c r="O460" s="147">
        <f t="shared" si="140"/>
        <v>0</v>
      </c>
      <c r="P460" s="147">
        <f t="shared" si="140"/>
        <v>0</v>
      </c>
      <c r="Q460" s="147">
        <f t="shared" si="140"/>
        <v>0</v>
      </c>
      <c r="R460" s="147">
        <f t="shared" si="140"/>
        <v>0</v>
      </c>
      <c r="S460" s="147">
        <f t="shared" si="140"/>
        <v>0</v>
      </c>
      <c r="T460" s="147">
        <f t="shared" si="140"/>
        <v>0</v>
      </c>
      <c r="U460" s="148">
        <f>SUM(G460:M460)</f>
        <v>12736800.254514528</v>
      </c>
      <c r="V460" s="133" t="str">
        <f>IF(ABS(F460-U460)&lt;0.01,"ok","err")</f>
        <v>ok</v>
      </c>
      <c r="W460" s="148"/>
      <c r="X460" s="133"/>
    </row>
    <row r="461" spans="1:24" x14ac:dyDescent="0.25">
      <c r="U461" s="148"/>
    </row>
    <row r="462" spans="1:24" x14ac:dyDescent="0.25">
      <c r="U462" s="148"/>
    </row>
    <row r="463" spans="1:24" x14ac:dyDescent="0.25">
      <c r="A463" s="145" t="s">
        <v>873</v>
      </c>
      <c r="U463" s="148"/>
    </row>
    <row r="464" spans="1:24" x14ac:dyDescent="0.25">
      <c r="F464" s="161"/>
      <c r="G464" s="151"/>
      <c r="U464" s="148"/>
    </row>
    <row r="465" spans="1:25" x14ac:dyDescent="0.25">
      <c r="A465" s="134" t="s">
        <v>216</v>
      </c>
      <c r="U465" s="148"/>
    </row>
    <row r="466" spans="1:25" x14ac:dyDescent="0.25">
      <c r="A466" s="146" t="s">
        <v>300</v>
      </c>
      <c r="C466" s="158"/>
      <c r="E466" s="140" t="s">
        <v>773</v>
      </c>
      <c r="F466" s="15">
        <v>324979206.50469375</v>
      </c>
      <c r="G466" s="15">
        <f t="shared" ref="G466:J469" si="141">(VLOOKUP($E466,$D$6:$AI$662,G$2,)/VLOOKUP($E466,$D$6:$AI$662,3,))*$F466</f>
        <v>214163791.26813263</v>
      </c>
      <c r="H466" s="15">
        <f t="shared" si="141"/>
        <v>90246980.730622604</v>
      </c>
      <c r="I466" s="15">
        <f t="shared" si="141"/>
        <v>11720051.942818683</v>
      </c>
      <c r="J466" s="15">
        <f t="shared" si="141"/>
        <v>1076927.4693203762</v>
      </c>
      <c r="K466" s="15">
        <f>(VLOOKUP($E466,$D$6:$AI$662,8,)/VLOOKUP($E466,$D$6:$AI$662,3,))*$F466</f>
        <v>7771455.0937994812</v>
      </c>
      <c r="L466" s="15">
        <f>(VLOOKUP($E466,$D$6:$AI$662,L$2,)/VLOOKUP($E466,$D$6:$AI$662,3,))*$F466</f>
        <v>0</v>
      </c>
      <c r="M466" s="15">
        <f>(VLOOKUP($E466,$D$6:$AI$662,M$2,)/VLOOKUP($E466,$D$6:$AI$662,3,))*$F466</f>
        <v>0</v>
      </c>
      <c r="N466" s="15">
        <v>0</v>
      </c>
      <c r="O466" s="15">
        <f t="shared" ref="O466:Q468" si="142">(VLOOKUP($E466,$D$6:$AI$662,O$2,)/VLOOKUP($E466,$D$6:$AI$662,3,))*$F466</f>
        <v>0</v>
      </c>
      <c r="P466" s="15">
        <f t="shared" si="142"/>
        <v>0</v>
      </c>
      <c r="Q466" s="15">
        <f t="shared" si="142"/>
        <v>0</v>
      </c>
      <c r="R466" s="15">
        <v>0</v>
      </c>
      <c r="S466" s="15">
        <v>0</v>
      </c>
      <c r="T466" s="15">
        <v>0</v>
      </c>
      <c r="U466" s="148">
        <f>SUM(G466:M466)</f>
        <v>324979206.50469375</v>
      </c>
      <c r="V466" s="133" t="str">
        <f>IF(ABS(F466-U466)&lt;2,"ok","err")</f>
        <v>ok</v>
      </c>
      <c r="W466" s="148"/>
      <c r="X466" s="133"/>
    </row>
    <row r="467" spans="1:25" x14ac:dyDescent="0.25">
      <c r="A467" s="140" t="s">
        <v>759</v>
      </c>
      <c r="E467" s="140" t="s">
        <v>773</v>
      </c>
      <c r="F467" s="15">
        <v>2922300.5600000005</v>
      </c>
      <c r="G467" s="15">
        <f t="shared" si="141"/>
        <v>1925818.497392226</v>
      </c>
      <c r="H467" s="15">
        <f t="shared" si="141"/>
        <v>811525.15929845686</v>
      </c>
      <c r="I467" s="15">
        <f t="shared" si="141"/>
        <v>105389.86393652069</v>
      </c>
      <c r="J467" s="15">
        <f t="shared" si="141"/>
        <v>9684.0218810395327</v>
      </c>
      <c r="K467" s="15">
        <f>(VLOOKUP($E467,$D$6:$AI$662,8,)/VLOOKUP($E467,$D$6:$AI$662,3,))*$F467</f>
        <v>69883.017491757782</v>
      </c>
      <c r="L467" s="15">
        <f>(VLOOKUP($E467,$D$6:$AI$662,L$2,)/VLOOKUP($E467,$D$6:$AI$662,3,))*$F467</f>
        <v>0</v>
      </c>
      <c r="M467" s="15">
        <f>(VLOOKUP($E467,$D$6:$AI$662,M$2,)/VLOOKUP($E467,$D$6:$AI$662,3,))*$F467</f>
        <v>0</v>
      </c>
      <c r="N467" s="15">
        <v>0</v>
      </c>
      <c r="O467" s="15">
        <f t="shared" si="142"/>
        <v>0</v>
      </c>
      <c r="P467" s="15">
        <f t="shared" si="142"/>
        <v>0</v>
      </c>
      <c r="Q467" s="15">
        <f t="shared" si="142"/>
        <v>0</v>
      </c>
      <c r="R467" s="15">
        <v>0</v>
      </c>
      <c r="S467" s="15">
        <v>0</v>
      </c>
      <c r="T467" s="15">
        <v>0</v>
      </c>
      <c r="U467" s="148">
        <f>SUM(G467:M467)</f>
        <v>2922300.560000001</v>
      </c>
      <c r="V467" s="133" t="str">
        <f>IF(ABS(F467-U467)&lt;2,"ok","err")</f>
        <v>ok</v>
      </c>
      <c r="W467" s="148"/>
      <c r="X467" s="133"/>
    </row>
    <row r="468" spans="1:25" x14ac:dyDescent="0.25">
      <c r="A468" s="140" t="s">
        <v>647</v>
      </c>
      <c r="E468" s="140" t="s">
        <v>667</v>
      </c>
      <c r="F468" s="170">
        <v>1168994.7114640004</v>
      </c>
      <c r="G468" s="15">
        <f t="shared" si="141"/>
        <v>953702.53969199304</v>
      </c>
      <c r="H468" s="15">
        <f t="shared" si="141"/>
        <v>194938.77830494352</v>
      </c>
      <c r="I468" s="15">
        <f t="shared" si="141"/>
        <v>20261.947117335872</v>
      </c>
      <c r="J468" s="15">
        <f t="shared" si="141"/>
        <v>91.446349727868466</v>
      </c>
      <c r="K468" s="15">
        <f>(VLOOKUP($E468,$D$6:$AI$662,8,)/VLOOKUP($E468,$D$6:$AI$662,3,))*$F468</f>
        <v>0</v>
      </c>
      <c r="L468" s="15">
        <f>(VLOOKUP($E468,$D$6:$AI$662,L$2,)/VLOOKUP($E468,$D$6:$AI$662,3,))*$F468</f>
        <v>0</v>
      </c>
      <c r="M468" s="15">
        <f>SUM(O468:T468)</f>
        <v>0</v>
      </c>
      <c r="N468" s="15">
        <v>0</v>
      </c>
      <c r="O468" s="15">
        <f t="shared" si="142"/>
        <v>0</v>
      </c>
      <c r="P468" s="15">
        <f t="shared" si="142"/>
        <v>0</v>
      </c>
      <c r="Q468" s="15">
        <f t="shared" si="142"/>
        <v>0</v>
      </c>
      <c r="R468" s="15">
        <v>0</v>
      </c>
      <c r="S468" s="15">
        <v>0</v>
      </c>
      <c r="T468" s="15">
        <v>0</v>
      </c>
      <c r="U468" s="148">
        <f>SUM(G468:M468)</f>
        <v>1168994.7114640004</v>
      </c>
      <c r="V468" s="133" t="str">
        <f>IF(ABS(F468-U468)&lt;1,"ok","err")</f>
        <v>ok</v>
      </c>
      <c r="W468" s="148"/>
      <c r="X468" s="133"/>
    </row>
    <row r="469" spans="1:25" x14ac:dyDescent="0.25">
      <c r="A469" s="140" t="s">
        <v>693</v>
      </c>
      <c r="D469" s="140" t="s">
        <v>217</v>
      </c>
      <c r="E469" s="152" t="s">
        <v>719</v>
      </c>
      <c r="F469" s="16">
        <v>477464.8890699998</v>
      </c>
      <c r="G469" s="15">
        <f t="shared" si="141"/>
        <v>137012.33614289563</v>
      </c>
      <c r="H469" s="15">
        <f t="shared" si="141"/>
        <v>340452.55292710423</v>
      </c>
      <c r="I469" s="15">
        <f t="shared" si="141"/>
        <v>0</v>
      </c>
      <c r="J469" s="15">
        <f t="shared" si="141"/>
        <v>0</v>
      </c>
      <c r="K469" s="15">
        <f>(VLOOKUP($E469,$D$6:$AI$662,8,)/VLOOKUP($E469,$D$6:$AI$662,3,))*$F469</f>
        <v>0</v>
      </c>
      <c r="L469" s="15">
        <f>(VLOOKUP($E469,$D$6:$AI$662,L$2,)/VLOOKUP($E469,$D$6:$AI$662,3,))*$F469</f>
        <v>0</v>
      </c>
      <c r="M469" s="15">
        <f>SUM(O469:T469)</f>
        <v>0</v>
      </c>
      <c r="N469" s="15">
        <f>(VLOOKUP($E469,$D$6:$AI$659,11,)/VLOOKUP($E469,$D$6:$AI$659,3,))*$F469</f>
        <v>0</v>
      </c>
      <c r="O469" s="15">
        <f>(VLOOKUP($E469,$D$6:$AI$659,O$2,)/VLOOKUP($E469,$D$6:$AI$659,3,))*$F469</f>
        <v>0</v>
      </c>
      <c r="P469" s="15">
        <f>(VLOOKUP($E469,$D$6:$AI$659,P$2,)/VLOOKUP($E469,$D$6:$AI$659,3,))*$F469</f>
        <v>0</v>
      </c>
      <c r="Q469" s="15">
        <f>(VLOOKUP($E469,$D$6:$AI$659,Q$2,)/VLOOKUP($E469,$D$6:$AI$659,3,))*$F469</f>
        <v>0</v>
      </c>
      <c r="R469" s="15">
        <f>(VLOOKUP($E469,$D$6:$AI$659,15,)/VLOOKUP($E469,$D$6:$AI$659,3,))*$F469</f>
        <v>0</v>
      </c>
      <c r="S469" s="15">
        <f>(VLOOKUP($E469,$D$6:$AI$659,16,)/VLOOKUP($E469,$D$6:$AI$659,3,))*$F469</f>
        <v>0</v>
      </c>
      <c r="T469" s="15">
        <f>(VLOOKUP($E469,$D$6:$AI$659,17,)/VLOOKUP($E469,$D$6:$AI$659,3,))*$F469</f>
        <v>0</v>
      </c>
      <c r="U469" s="148">
        <f>SUM(G469:M469)</f>
        <v>477464.88906999986</v>
      </c>
      <c r="V469" s="133" t="str">
        <f>IF(ABS(F469-U469)&lt;0.01,"ok","err")</f>
        <v>ok</v>
      </c>
      <c r="W469" s="148"/>
      <c r="X469" s="133"/>
    </row>
    <row r="470" spans="1:25" x14ac:dyDescent="0.25">
      <c r="U470" s="148"/>
    </row>
    <row r="471" spans="1:25" x14ac:dyDescent="0.25">
      <c r="A471" s="140" t="s">
        <v>755</v>
      </c>
      <c r="D471" s="140" t="s">
        <v>218</v>
      </c>
      <c r="F471" s="148">
        <f t="shared" ref="F471:T471" si="143">SUM(F466:F470)</f>
        <v>329547966.66522771</v>
      </c>
      <c r="G471" s="148">
        <f t="shared" si="143"/>
        <v>217180324.64135975</v>
      </c>
      <c r="H471" s="148">
        <f t="shared" si="143"/>
        <v>91593897.22115311</v>
      </c>
      <c r="I471" s="148">
        <f t="shared" si="143"/>
        <v>11845703.75387254</v>
      </c>
      <c r="J471" s="148">
        <f t="shared" si="143"/>
        <v>1086702.9375511436</v>
      </c>
      <c r="K471" s="148">
        <f t="shared" si="143"/>
        <v>7841338.111291239</v>
      </c>
      <c r="L471" s="148">
        <f t="shared" si="143"/>
        <v>0</v>
      </c>
      <c r="M471" s="148">
        <f t="shared" si="143"/>
        <v>0</v>
      </c>
      <c r="N471" s="148">
        <f t="shared" si="143"/>
        <v>0</v>
      </c>
      <c r="O471" s="148">
        <f t="shared" si="143"/>
        <v>0</v>
      </c>
      <c r="P471" s="148">
        <f t="shared" si="143"/>
        <v>0</v>
      </c>
      <c r="Q471" s="148">
        <f t="shared" si="143"/>
        <v>0</v>
      </c>
      <c r="R471" s="148">
        <f t="shared" si="143"/>
        <v>0</v>
      </c>
      <c r="S471" s="148">
        <f t="shared" si="143"/>
        <v>0</v>
      </c>
      <c r="T471" s="148">
        <f t="shared" si="143"/>
        <v>0</v>
      </c>
      <c r="U471" s="148">
        <f>SUM(G471:M471)</f>
        <v>329547966.66522771</v>
      </c>
      <c r="V471" s="133" t="str">
        <f>IF(ABS(F471-U471)&lt;2,"ok","err")</f>
        <v>ok</v>
      </c>
      <c r="W471" s="148"/>
      <c r="X471" s="133"/>
    </row>
    <row r="472" spans="1:25" x14ac:dyDescent="0.25">
      <c r="F472" s="148"/>
      <c r="U472" s="148"/>
    </row>
    <row r="473" spans="1:25" x14ac:dyDescent="0.25">
      <c r="A473" s="134" t="s">
        <v>648</v>
      </c>
      <c r="Q473" s="148"/>
      <c r="U473" s="148"/>
    </row>
    <row r="474" spans="1:25" x14ac:dyDescent="0.25">
      <c r="A474" s="140" t="s">
        <v>853</v>
      </c>
      <c r="E474" s="140" t="s">
        <v>872</v>
      </c>
      <c r="F474" s="15">
        <v>-4397744.5157478079</v>
      </c>
      <c r="G474" s="147">
        <f t="shared" ref="G474:J477" si="144">(VLOOKUP($E474,$D$6:$AI$659,G$2,)/VLOOKUP($E474,$D$6:$AI$659,3,))*$F474</f>
        <v>-2965727.8289550808</v>
      </c>
      <c r="H474" s="147">
        <f t="shared" si="144"/>
        <v>-1272142.3731262058</v>
      </c>
      <c r="I474" s="147">
        <f t="shared" si="144"/>
        <v>-127900.27101778763</v>
      </c>
      <c r="J474" s="147">
        <f t="shared" si="144"/>
        <v>-31974.042648733241</v>
      </c>
      <c r="K474" s="147">
        <f>(VLOOKUP($E474,$D$6:$AI$659,8,)/VLOOKUP($E474,$D$6:$AI$659,3,))*$F474</f>
        <v>0</v>
      </c>
      <c r="L474" s="147">
        <f t="shared" ref="L474:M477" si="145">(VLOOKUP($E474,$D$6:$AI$659,L$2,)/VLOOKUP($E474,$D$6:$AI$659,3,))*$F474</f>
        <v>0</v>
      </c>
      <c r="M474" s="147">
        <f t="shared" si="145"/>
        <v>0</v>
      </c>
      <c r="N474" s="147">
        <f>(VLOOKUP($E474,$D$6:$AI$659,11,)/VLOOKUP($E474,$D$6:$AI$659,3,))*$F474</f>
        <v>0</v>
      </c>
      <c r="O474" s="147">
        <f t="shared" ref="O474:Q477" si="146">(VLOOKUP($E474,$D$6:$AI$659,O$2,)/VLOOKUP($E474,$D$6:$AI$659,3,))*$F474</f>
        <v>0</v>
      </c>
      <c r="P474" s="147">
        <f t="shared" si="146"/>
        <v>0</v>
      </c>
      <c r="Q474" s="147">
        <f t="shared" si="146"/>
        <v>0</v>
      </c>
      <c r="U474" s="148">
        <f>SUM(G474:M474)</f>
        <v>-4397744.5157478079</v>
      </c>
      <c r="V474" s="133" t="str">
        <f>IF(ABS((F474-U474)&lt;0.001),"ok","err")</f>
        <v>ok</v>
      </c>
      <c r="W474" s="18"/>
      <c r="X474" s="133"/>
      <c r="Y474" s="149">
        <f>+F474-U474</f>
        <v>0</v>
      </c>
    </row>
    <row r="475" spans="1:25" x14ac:dyDescent="0.25">
      <c r="A475" s="140" t="s">
        <v>760</v>
      </c>
      <c r="E475" s="140" t="s">
        <v>771</v>
      </c>
      <c r="F475" s="15">
        <v>-135270880.395996</v>
      </c>
      <c r="G475" s="147">
        <f t="shared" si="144"/>
        <v>-84917418.250369012</v>
      </c>
      <c r="H475" s="147">
        <f t="shared" si="144"/>
        <v>-43709321.934499644</v>
      </c>
      <c r="I475" s="147">
        <f t="shared" si="144"/>
        <v>-6139195.7153041642</v>
      </c>
      <c r="J475" s="147">
        <f t="shared" si="144"/>
        <v>-504944.49582316994</v>
      </c>
      <c r="K475" s="147">
        <f>(VLOOKUP($E475,$D$6:$AI$659,8,)/VLOOKUP($E475,$D$6:$AI$659,3,))*$F475</f>
        <v>0</v>
      </c>
      <c r="L475" s="147">
        <f t="shared" si="145"/>
        <v>0</v>
      </c>
      <c r="M475" s="147">
        <f t="shared" si="145"/>
        <v>0</v>
      </c>
      <c r="N475" s="147">
        <f>(VLOOKUP($E475,$D$6:$AI$659,11,)/VLOOKUP($E475,$D$6:$AI$659,3,))*$F475</f>
        <v>0</v>
      </c>
      <c r="O475" s="147">
        <f t="shared" si="146"/>
        <v>0</v>
      </c>
      <c r="P475" s="147">
        <f t="shared" si="146"/>
        <v>0</v>
      </c>
      <c r="Q475" s="147">
        <f t="shared" si="146"/>
        <v>0</v>
      </c>
      <c r="U475" s="148">
        <f>SUM(G475:M475)</f>
        <v>-135270880.395996</v>
      </c>
      <c r="V475" s="133" t="str">
        <f>IF(ABS((F475-U475)&lt;0.001),"ok","err")</f>
        <v>ok</v>
      </c>
      <c r="W475" s="148"/>
      <c r="X475" s="133"/>
    </row>
    <row r="476" spans="1:25" x14ac:dyDescent="0.25">
      <c r="A476" s="140" t="s">
        <v>860</v>
      </c>
      <c r="E476" s="140" t="s">
        <v>773</v>
      </c>
      <c r="F476" s="15">
        <v>-630517.45178326895</v>
      </c>
      <c r="G476" s="147">
        <f t="shared" si="144"/>
        <v>-415515.83988090191</v>
      </c>
      <c r="H476" s="147">
        <f t="shared" si="144"/>
        <v>-175095.19126905766</v>
      </c>
      <c r="I476" s="147">
        <f t="shared" si="144"/>
        <v>-22738.984949939728</v>
      </c>
      <c r="J476" s="147">
        <f t="shared" si="144"/>
        <v>-2089.4308008641192</v>
      </c>
      <c r="K476" s="147">
        <f>(VLOOKUP($E476,$D$6:$AI$659,8,)/VLOOKUP($E476,$D$6:$AI$659,3,))*$F476</f>
        <v>-15078.004882505556</v>
      </c>
      <c r="L476" s="147">
        <f t="shared" si="145"/>
        <v>0</v>
      </c>
      <c r="M476" s="147">
        <f t="shared" si="145"/>
        <v>0</v>
      </c>
      <c r="N476" s="147">
        <f>(VLOOKUP($E476,$D$6:$AI$659,11,)/VLOOKUP($E476,$D$6:$AI$659,3,))*$F476</f>
        <v>0</v>
      </c>
      <c r="O476" s="147">
        <f t="shared" si="146"/>
        <v>0</v>
      </c>
      <c r="P476" s="147">
        <f t="shared" si="146"/>
        <v>0</v>
      </c>
      <c r="Q476" s="147">
        <f t="shared" si="146"/>
        <v>0</v>
      </c>
      <c r="U476" s="148">
        <f>SUM(G476:M476)</f>
        <v>-630517.45178326895</v>
      </c>
      <c r="V476" s="133" t="str">
        <f>IF(ABS((F476-U476)&lt;0.001),"ok","err")</f>
        <v>ok</v>
      </c>
      <c r="W476" s="148"/>
      <c r="X476" s="133"/>
    </row>
    <row r="477" spans="1:25" x14ac:dyDescent="0.25">
      <c r="A477" s="140" t="s">
        <v>691</v>
      </c>
      <c r="E477" s="140" t="s">
        <v>690</v>
      </c>
      <c r="F477" s="15">
        <v>-5131907.7389026303</v>
      </c>
      <c r="G477" s="15">
        <f t="shared" si="144"/>
        <v>-2013223.6865790735</v>
      </c>
      <c r="H477" s="15">
        <f t="shared" si="144"/>
        <v>-1178167.8742125067</v>
      </c>
      <c r="I477" s="15">
        <f t="shared" si="144"/>
        <v>-1.3341336732703253</v>
      </c>
      <c r="J477" s="15">
        <f t="shared" si="144"/>
        <v>-10394.581739040452</v>
      </c>
      <c r="K477" s="15">
        <f>(VLOOKUP($E477,$D$6:$AI$659,8,)/VLOOKUP($E477,$D$6:$AI$659,3,))*$F477</f>
        <v>-1930120.2622383358</v>
      </c>
      <c r="L477" s="15">
        <f t="shared" si="145"/>
        <v>0</v>
      </c>
      <c r="M477" s="15">
        <f t="shared" si="145"/>
        <v>0</v>
      </c>
      <c r="N477" s="15">
        <f>(VLOOKUP($E477,$D$6:$AI$659,11,)/VLOOKUP($E477,$D$6:$AI$659,3,))*$F477</f>
        <v>0</v>
      </c>
      <c r="O477" s="15">
        <f t="shared" si="146"/>
        <v>0</v>
      </c>
      <c r="P477" s="15">
        <f t="shared" si="146"/>
        <v>0</v>
      </c>
      <c r="Q477" s="15">
        <f t="shared" si="146"/>
        <v>0</v>
      </c>
      <c r="R477" s="15"/>
      <c r="S477" s="15"/>
      <c r="T477" s="15"/>
      <c r="U477" s="148">
        <f>SUM(G477:M477)</f>
        <v>-5131907.7389026303</v>
      </c>
      <c r="V477" s="133" t="str">
        <f>IF(ABS((F477-U477)&lt;0.001),"ok","err")</f>
        <v>ok</v>
      </c>
      <c r="W477" s="15"/>
      <c r="X477" s="133"/>
    </row>
    <row r="478" spans="1:25" x14ac:dyDescent="0.25">
      <c r="A478" s="140" t="s">
        <v>650</v>
      </c>
      <c r="F478" s="148">
        <f t="shared" ref="F478:T478" si="147">SUM(F474:F477)</f>
        <v>-145431050.10242972</v>
      </c>
      <c r="G478" s="148">
        <f t="shared" si="147"/>
        <v>-90311885.605784073</v>
      </c>
      <c r="H478" s="148">
        <f t="shared" si="147"/>
        <v>-46334727.373107411</v>
      </c>
      <c r="I478" s="148">
        <f t="shared" si="147"/>
        <v>-6289836.3054055655</v>
      </c>
      <c r="J478" s="148">
        <f t="shared" si="147"/>
        <v>-549402.55101180775</v>
      </c>
      <c r="K478" s="148">
        <f t="shared" si="147"/>
        <v>-1945198.2671208414</v>
      </c>
      <c r="L478" s="148">
        <f t="shared" si="147"/>
        <v>0</v>
      </c>
      <c r="M478" s="148">
        <f t="shared" si="147"/>
        <v>0</v>
      </c>
      <c r="N478" s="148">
        <f t="shared" si="147"/>
        <v>0</v>
      </c>
      <c r="O478" s="148">
        <f t="shared" si="147"/>
        <v>0</v>
      </c>
      <c r="P478" s="148">
        <f t="shared" si="147"/>
        <v>0</v>
      </c>
      <c r="Q478" s="148">
        <f t="shared" si="147"/>
        <v>0</v>
      </c>
      <c r="R478" s="148">
        <f t="shared" si="147"/>
        <v>0</v>
      </c>
      <c r="S478" s="148">
        <f t="shared" si="147"/>
        <v>0</v>
      </c>
      <c r="T478" s="148">
        <f t="shared" si="147"/>
        <v>0</v>
      </c>
      <c r="U478" s="148">
        <f>SUM(G478:M478)</f>
        <v>-145431050.10242969</v>
      </c>
      <c r="V478" s="133" t="str">
        <f>IF(ABS(F478-U478)&lt;0.01,"ok","err")</f>
        <v>ok</v>
      </c>
      <c r="W478" s="148"/>
      <c r="X478" s="133"/>
    </row>
    <row r="479" spans="1:25" x14ac:dyDescent="0.25"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33"/>
    </row>
    <row r="480" spans="1:25" x14ac:dyDescent="0.25">
      <c r="A480" s="134" t="s">
        <v>654</v>
      </c>
      <c r="D480" s="140" t="s">
        <v>774</v>
      </c>
      <c r="E480" s="148"/>
      <c r="F480" s="148">
        <f t="shared" ref="F480:T480" si="148">F471+F478</f>
        <v>184116916.56279799</v>
      </c>
      <c r="G480" s="148">
        <f t="shared" si="148"/>
        <v>126868439.03557567</v>
      </c>
      <c r="H480" s="148">
        <f t="shared" si="148"/>
        <v>45259169.848045699</v>
      </c>
      <c r="I480" s="148">
        <f t="shared" si="148"/>
        <v>5555867.4484669743</v>
      </c>
      <c r="J480" s="148">
        <f t="shared" si="148"/>
        <v>537300.38653933583</v>
      </c>
      <c r="K480" s="148">
        <f t="shared" si="148"/>
        <v>5896139.8441703971</v>
      </c>
      <c r="L480" s="148">
        <f t="shared" si="148"/>
        <v>0</v>
      </c>
      <c r="M480" s="148">
        <f t="shared" si="148"/>
        <v>0</v>
      </c>
      <c r="N480" s="148">
        <f t="shared" si="148"/>
        <v>0</v>
      </c>
      <c r="O480" s="148">
        <f t="shared" si="148"/>
        <v>0</v>
      </c>
      <c r="P480" s="148">
        <f t="shared" si="148"/>
        <v>0</v>
      </c>
      <c r="Q480" s="148">
        <f t="shared" si="148"/>
        <v>0</v>
      </c>
      <c r="R480" s="148">
        <f t="shared" si="148"/>
        <v>0</v>
      </c>
      <c r="S480" s="148">
        <f t="shared" si="148"/>
        <v>0</v>
      </c>
      <c r="T480" s="148">
        <f t="shared" si="148"/>
        <v>0</v>
      </c>
      <c r="U480" s="148">
        <f>SUM(G480:M480)</f>
        <v>184116916.56279808</v>
      </c>
      <c r="V480" s="133" t="str">
        <f>IF(ABS(F480-U480)&lt;2,"ok","err")</f>
        <v>ok</v>
      </c>
      <c r="W480" s="148"/>
      <c r="X480" s="133"/>
    </row>
    <row r="481" spans="1:24" x14ac:dyDescent="0.25">
      <c r="A481" s="148"/>
      <c r="F481" s="161"/>
      <c r="G481" s="161"/>
      <c r="U481" s="148"/>
    </row>
    <row r="482" spans="1:24" x14ac:dyDescent="0.25">
      <c r="A482" s="134" t="s">
        <v>302</v>
      </c>
      <c r="U482" s="148"/>
    </row>
    <row r="483" spans="1:24" x14ac:dyDescent="0.25">
      <c r="A483" s="146" t="s">
        <v>219</v>
      </c>
      <c r="F483" s="148">
        <f t="shared" ref="F483:T483" si="149">F143</f>
        <v>72491475.793570489</v>
      </c>
      <c r="G483" s="148">
        <f t="shared" si="149"/>
        <v>48928987.479545876</v>
      </c>
      <c r="H483" s="148">
        <f t="shared" si="149"/>
        <v>18623805.338695984</v>
      </c>
      <c r="I483" s="148">
        <f t="shared" si="149"/>
        <v>1903038.8947117792</v>
      </c>
      <c r="J483" s="148">
        <f t="shared" si="149"/>
        <v>209532.26664965096</v>
      </c>
      <c r="K483" s="148">
        <f t="shared" si="149"/>
        <v>2826111.8139671963</v>
      </c>
      <c r="L483" s="148">
        <f t="shared" si="149"/>
        <v>0</v>
      </c>
      <c r="M483" s="148">
        <f t="shared" si="149"/>
        <v>0</v>
      </c>
      <c r="N483" s="148">
        <f t="shared" si="149"/>
        <v>81991.128510716124</v>
      </c>
      <c r="O483" s="148">
        <f t="shared" si="149"/>
        <v>0</v>
      </c>
      <c r="P483" s="148">
        <f t="shared" si="149"/>
        <v>0</v>
      </c>
      <c r="Q483" s="148">
        <f t="shared" si="149"/>
        <v>0</v>
      </c>
      <c r="R483" s="148">
        <f t="shared" si="149"/>
        <v>0</v>
      </c>
      <c r="S483" s="148">
        <f t="shared" si="149"/>
        <v>0</v>
      </c>
      <c r="T483" s="148">
        <f t="shared" si="149"/>
        <v>0</v>
      </c>
      <c r="U483" s="148">
        <f>SUM(G483:M483)</f>
        <v>72491475.793570489</v>
      </c>
      <c r="V483" s="133" t="str">
        <f>IF(ABS(F483-U483)&lt;0.01,"ok","err")</f>
        <v>ok</v>
      </c>
      <c r="W483" s="148"/>
      <c r="X483" s="133"/>
    </row>
    <row r="484" spans="1:24" x14ac:dyDescent="0.25">
      <c r="A484" s="146" t="s">
        <v>220</v>
      </c>
      <c r="F484" s="15">
        <f t="shared" ref="F484:T484" si="150">F236</f>
        <v>38710461.194430679</v>
      </c>
      <c r="G484" s="15">
        <f t="shared" si="150"/>
        <v>25992445.265044179</v>
      </c>
      <c r="H484" s="15">
        <f t="shared" si="150"/>
        <v>10418696.103566173</v>
      </c>
      <c r="I484" s="15">
        <f t="shared" si="150"/>
        <v>860565.56799030246</v>
      </c>
      <c r="J484" s="15">
        <f t="shared" si="150"/>
        <v>103606.970833461</v>
      </c>
      <c r="K484" s="15">
        <f t="shared" si="150"/>
        <v>1335147.2869965706</v>
      </c>
      <c r="L484" s="15">
        <f t="shared" si="150"/>
        <v>0</v>
      </c>
      <c r="M484" s="15">
        <f t="shared" si="150"/>
        <v>0</v>
      </c>
      <c r="N484" s="15">
        <f t="shared" si="150"/>
        <v>52500.26298478846</v>
      </c>
      <c r="O484" s="15">
        <f t="shared" si="150"/>
        <v>0</v>
      </c>
      <c r="P484" s="15">
        <f t="shared" si="150"/>
        <v>0</v>
      </c>
      <c r="Q484" s="15">
        <f t="shared" si="150"/>
        <v>0</v>
      </c>
      <c r="R484" s="15">
        <f t="shared" si="150"/>
        <v>0</v>
      </c>
      <c r="S484" s="15">
        <f t="shared" si="150"/>
        <v>0</v>
      </c>
      <c r="T484" s="15">
        <f t="shared" si="150"/>
        <v>0</v>
      </c>
      <c r="U484" s="148">
        <f>SUM(G484:M484)</f>
        <v>38710461.194430687</v>
      </c>
      <c r="V484" s="133" t="str">
        <f>IF(ABS(F484-U484)&lt;0.01,"ok","err")</f>
        <v>ok</v>
      </c>
      <c r="W484" s="148"/>
      <c r="X484" s="133"/>
    </row>
    <row r="485" spans="1:24" x14ac:dyDescent="0.25">
      <c r="A485" s="152" t="s">
        <v>737</v>
      </c>
      <c r="F485" s="15">
        <f t="shared" ref="F485:Q485" si="151">F281+F325+F369</f>
        <v>-35870</v>
      </c>
      <c r="G485" s="15">
        <f t="shared" si="151"/>
        <v>-23748.964948456996</v>
      </c>
      <c r="H485" s="15">
        <f t="shared" si="151"/>
        <v>-9792.7210391152475</v>
      </c>
      <c r="I485" s="15">
        <f t="shared" si="151"/>
        <v>-878.8655255114528</v>
      </c>
      <c r="J485" s="15">
        <f t="shared" si="151"/>
        <v>-113.75771339991778</v>
      </c>
      <c r="K485" s="15">
        <f t="shared" si="151"/>
        <v>-1335.6907735163854</v>
      </c>
      <c r="L485" s="15">
        <f t="shared" si="151"/>
        <v>0</v>
      </c>
      <c r="M485" s="15">
        <f t="shared" si="151"/>
        <v>0</v>
      </c>
      <c r="N485" s="15">
        <f t="shared" si="151"/>
        <v>-54.50642846606992</v>
      </c>
      <c r="O485" s="15">
        <f t="shared" si="151"/>
        <v>0</v>
      </c>
      <c r="P485" s="15">
        <f t="shared" si="151"/>
        <v>0</v>
      </c>
      <c r="Q485" s="15">
        <f t="shared" si="151"/>
        <v>0</v>
      </c>
      <c r="R485" s="15">
        <f t="shared" ref="R485:T486" si="152">R412</f>
        <v>0</v>
      </c>
      <c r="S485" s="15">
        <f t="shared" si="152"/>
        <v>0</v>
      </c>
      <c r="T485" s="15">
        <f t="shared" si="152"/>
        <v>0</v>
      </c>
      <c r="U485" s="148">
        <f>SUM(G485:M485)</f>
        <v>-35869.999999999993</v>
      </c>
      <c r="V485" s="133" t="str">
        <f>IF(ABS(F485-U485)&lt;0.01,"ok","err")</f>
        <v>ok</v>
      </c>
      <c r="W485" s="148"/>
      <c r="X485" s="133"/>
    </row>
    <row r="486" spans="1:24" x14ac:dyDescent="0.25">
      <c r="A486" s="146" t="s">
        <v>221</v>
      </c>
      <c r="F486" s="15">
        <f t="shared" ref="F486:Q486" si="153">F413</f>
        <v>11113565.829966739</v>
      </c>
      <c r="G486" s="15">
        <f t="shared" si="153"/>
        <v>7354527.1797031863</v>
      </c>
      <c r="H486" s="15">
        <f t="shared" si="153"/>
        <v>3039859.0406390396</v>
      </c>
      <c r="I486" s="15">
        <f t="shared" si="153"/>
        <v>273259.6974617794</v>
      </c>
      <c r="J486" s="15">
        <f t="shared" si="153"/>
        <v>34877.949504838187</v>
      </c>
      <c r="K486" s="15">
        <f t="shared" si="153"/>
        <v>411041.96265789645</v>
      </c>
      <c r="L486" s="15">
        <f t="shared" si="153"/>
        <v>0</v>
      </c>
      <c r="M486" s="15">
        <f t="shared" si="153"/>
        <v>0</v>
      </c>
      <c r="N486" s="15">
        <f t="shared" si="153"/>
        <v>18179.131796342124</v>
      </c>
      <c r="O486" s="15">
        <f t="shared" si="153"/>
        <v>0</v>
      </c>
      <c r="P486" s="15">
        <f t="shared" si="153"/>
        <v>0</v>
      </c>
      <c r="Q486" s="15">
        <f t="shared" si="153"/>
        <v>0</v>
      </c>
      <c r="R486" s="15">
        <f t="shared" si="152"/>
        <v>0</v>
      </c>
      <c r="S486" s="15">
        <f t="shared" si="152"/>
        <v>0</v>
      </c>
      <c r="T486" s="15">
        <f t="shared" si="152"/>
        <v>0</v>
      </c>
      <c r="U486" s="148">
        <f>SUM(G486:M486)</f>
        <v>11113565.829966741</v>
      </c>
      <c r="V486" s="133" t="str">
        <f>IF(ABS(F486-U486)&lt;0.01,"ok","err")</f>
        <v>ok</v>
      </c>
      <c r="W486" s="148"/>
      <c r="X486" s="133"/>
    </row>
    <row r="487" spans="1:24" x14ac:dyDescent="0.25">
      <c r="A487" s="140" t="s">
        <v>222</v>
      </c>
      <c r="D487" s="140" t="s">
        <v>223</v>
      </c>
      <c r="F487" s="148">
        <f>SUM(F483:F486)</f>
        <v>122279632.81796791</v>
      </c>
      <c r="G487" s="148">
        <f t="shared" ref="G487:T487" si="154">SUM(G483:G486)</f>
        <v>82252210.959344789</v>
      </c>
      <c r="H487" s="148">
        <f t="shared" si="154"/>
        <v>32072567.761862081</v>
      </c>
      <c r="I487" s="148">
        <f t="shared" si="154"/>
        <v>3035985.2946383492</v>
      </c>
      <c r="J487" s="148">
        <f t="shared" si="154"/>
        <v>347903.42927455023</v>
      </c>
      <c r="K487" s="148">
        <f t="shared" si="154"/>
        <v>4570965.3728481466</v>
      </c>
      <c r="L487" s="148">
        <f t="shared" si="154"/>
        <v>0</v>
      </c>
      <c r="M487" s="148">
        <f t="shared" si="154"/>
        <v>0</v>
      </c>
      <c r="N487" s="148">
        <f t="shared" si="154"/>
        <v>152616.01686338065</v>
      </c>
      <c r="O487" s="148">
        <f t="shared" si="154"/>
        <v>0</v>
      </c>
      <c r="P487" s="148">
        <f t="shared" si="154"/>
        <v>0</v>
      </c>
      <c r="Q487" s="148">
        <f t="shared" si="154"/>
        <v>0</v>
      </c>
      <c r="R487" s="148">
        <f t="shared" si="154"/>
        <v>0</v>
      </c>
      <c r="S487" s="148">
        <f t="shared" si="154"/>
        <v>0</v>
      </c>
      <c r="T487" s="148">
        <f t="shared" si="154"/>
        <v>0</v>
      </c>
      <c r="U487" s="148">
        <f>SUM(G487:M487)</f>
        <v>122279632.81796792</v>
      </c>
      <c r="V487" s="133" t="str">
        <f>IF(ABS(F487-U487)&lt;0.01,"ok","err")</f>
        <v>ok</v>
      </c>
      <c r="W487" s="148"/>
      <c r="X487" s="133"/>
    </row>
    <row r="488" spans="1:24" x14ac:dyDescent="0.25"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33"/>
    </row>
    <row r="489" spans="1:24" x14ac:dyDescent="0.25">
      <c r="A489" s="201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33"/>
    </row>
    <row r="490" spans="1:24" x14ac:dyDescent="0.25">
      <c r="A490" s="201"/>
      <c r="F490" s="172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1"/>
      <c r="R490" s="148"/>
      <c r="S490" s="148"/>
      <c r="T490" s="148"/>
      <c r="U490" s="148"/>
      <c r="V490" s="133"/>
    </row>
    <row r="491" spans="1:24" x14ac:dyDescent="0.25">
      <c r="A491" s="202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33"/>
    </row>
    <row r="492" spans="1:24" x14ac:dyDescent="0.25">
      <c r="A492" s="149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33"/>
    </row>
    <row r="493" spans="1:24" x14ac:dyDescent="0.25">
      <c r="A493" s="145" t="s">
        <v>874</v>
      </c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33"/>
    </row>
    <row r="494" spans="1:24" hidden="1" x14ac:dyDescent="0.25">
      <c r="A494" s="134" t="s">
        <v>649</v>
      </c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33"/>
    </row>
    <row r="495" spans="1:24" hidden="1" x14ac:dyDescent="0.25">
      <c r="A495" s="140" t="s">
        <v>692</v>
      </c>
      <c r="D495" s="140" t="s">
        <v>327</v>
      </c>
      <c r="E495" s="140" t="s">
        <v>690</v>
      </c>
      <c r="F495" s="15">
        <v>0</v>
      </c>
      <c r="G495" s="15">
        <f t="shared" ref="G495:J513" si="155">(VLOOKUP($E495,$D$6:$AI$659,G$2,)/VLOOKUP($E495,$D$6:$AI$659,3,))*$F495</f>
        <v>0</v>
      </c>
      <c r="H495" s="15">
        <f t="shared" si="155"/>
        <v>0</v>
      </c>
      <c r="I495" s="15">
        <f t="shared" si="155"/>
        <v>0</v>
      </c>
      <c r="J495" s="15">
        <f t="shared" si="155"/>
        <v>0</v>
      </c>
      <c r="K495" s="15">
        <f t="shared" ref="K495:K513" si="156">(VLOOKUP($E495,$D$6:$AI$659,8,)/VLOOKUP($E495,$D$6:$AI$659,3,))*$F495</f>
        <v>0</v>
      </c>
      <c r="L495" s="15">
        <f t="shared" ref="L495:M513" si="157">(VLOOKUP($E495,$D$6:$AI$659,L$2,)/VLOOKUP($E495,$D$6:$AI$659,3,))*$F495</f>
        <v>0</v>
      </c>
      <c r="M495" s="15">
        <f t="shared" si="157"/>
        <v>0</v>
      </c>
      <c r="N495" s="15">
        <f t="shared" ref="N495:N513" si="158">(VLOOKUP($E495,$D$6:$AI$659,11,)/VLOOKUP($E495,$D$6:$AI$659,3,))*$F495</f>
        <v>0</v>
      </c>
      <c r="O495" s="15">
        <f t="shared" ref="O495:Q513" si="159">(VLOOKUP($E495,$D$6:$AI$659,O$2,)/VLOOKUP($E495,$D$6:$AI$659,3,))*$F495</f>
        <v>0</v>
      </c>
      <c r="P495" s="15">
        <f t="shared" si="159"/>
        <v>0</v>
      </c>
      <c r="Q495" s="15">
        <f t="shared" si="159"/>
        <v>0</v>
      </c>
      <c r="R495" s="15">
        <f t="shared" ref="R495:R513" si="160">(VLOOKUP($E495,$D$6:$AI$659,15,)/VLOOKUP($E495,$D$6:$AI$659,3,))*$F495</f>
        <v>0</v>
      </c>
      <c r="S495" s="15">
        <f t="shared" ref="S495:S513" si="161">(VLOOKUP($E495,$D$6:$AI$659,16,)/VLOOKUP($E495,$D$6:$AI$659,3,))*$F495</f>
        <v>0</v>
      </c>
      <c r="T495" s="15">
        <f t="shared" ref="T495:T513" si="162">(VLOOKUP($E495,$D$6:$AI$659,17,)/VLOOKUP($E495,$D$6:$AI$659,3,))*$F495</f>
        <v>0</v>
      </c>
      <c r="U495" s="148">
        <f>SUM(G495:M495)</f>
        <v>0</v>
      </c>
      <c r="V495" s="133" t="str">
        <f>IF(ABS(F495-U495)&lt;0.01,"ok","err")</f>
        <v>ok</v>
      </c>
      <c r="W495" s="148"/>
      <c r="X495" s="133"/>
    </row>
    <row r="496" spans="1:24" hidden="1" x14ac:dyDescent="0.25">
      <c r="A496" s="140" t="s">
        <v>652</v>
      </c>
      <c r="D496" s="140" t="s">
        <v>328</v>
      </c>
      <c r="E496" s="140" t="s">
        <v>294</v>
      </c>
      <c r="F496" s="15">
        <v>0</v>
      </c>
      <c r="G496" s="15">
        <f t="shared" si="155"/>
        <v>0</v>
      </c>
      <c r="H496" s="15">
        <f t="shared" si="155"/>
        <v>0</v>
      </c>
      <c r="I496" s="15">
        <f t="shared" si="155"/>
        <v>0</v>
      </c>
      <c r="J496" s="15">
        <f t="shared" si="155"/>
        <v>0</v>
      </c>
      <c r="K496" s="15">
        <f t="shared" si="156"/>
        <v>0</v>
      </c>
      <c r="L496" s="15">
        <f t="shared" si="157"/>
        <v>0</v>
      </c>
      <c r="M496" s="15">
        <f t="shared" si="157"/>
        <v>0</v>
      </c>
      <c r="N496" s="15">
        <f t="shared" si="158"/>
        <v>0</v>
      </c>
      <c r="O496" s="15">
        <f t="shared" si="159"/>
        <v>0</v>
      </c>
      <c r="P496" s="15">
        <f t="shared" si="159"/>
        <v>0</v>
      </c>
      <c r="Q496" s="15">
        <f t="shared" si="159"/>
        <v>0</v>
      </c>
      <c r="R496" s="15">
        <f t="shared" si="160"/>
        <v>0</v>
      </c>
      <c r="S496" s="15">
        <f t="shared" si="161"/>
        <v>0</v>
      </c>
      <c r="T496" s="15">
        <f t="shared" si="162"/>
        <v>0</v>
      </c>
      <c r="U496" s="148">
        <f>SUM(G496:M496)</f>
        <v>0</v>
      </c>
      <c r="V496" s="133" t="str">
        <f>IF(ABS(F496-U496)&lt;0.01,"ok","err")</f>
        <v>ok</v>
      </c>
      <c r="W496" s="148"/>
      <c r="X496" s="133"/>
    </row>
    <row r="497" spans="1:24" hidden="1" x14ac:dyDescent="0.25">
      <c r="A497" s="140" t="s">
        <v>651</v>
      </c>
      <c r="D497" s="140" t="s">
        <v>329</v>
      </c>
      <c r="E497" s="140" t="s">
        <v>353</v>
      </c>
      <c r="F497" s="15">
        <v>0</v>
      </c>
      <c r="G497" s="15">
        <f t="shared" si="155"/>
        <v>0</v>
      </c>
      <c r="H497" s="15">
        <f t="shared" si="155"/>
        <v>0</v>
      </c>
      <c r="I497" s="15">
        <f t="shared" si="155"/>
        <v>0</v>
      </c>
      <c r="J497" s="15">
        <f t="shared" si="155"/>
        <v>0</v>
      </c>
      <c r="K497" s="15">
        <f t="shared" si="156"/>
        <v>0</v>
      </c>
      <c r="L497" s="15">
        <f t="shared" si="157"/>
        <v>0</v>
      </c>
      <c r="M497" s="15">
        <f t="shared" si="157"/>
        <v>0</v>
      </c>
      <c r="N497" s="15">
        <f t="shared" si="158"/>
        <v>0</v>
      </c>
      <c r="O497" s="15">
        <f t="shared" si="159"/>
        <v>0</v>
      </c>
      <c r="P497" s="15">
        <f t="shared" si="159"/>
        <v>0</v>
      </c>
      <c r="Q497" s="15">
        <f t="shared" si="159"/>
        <v>0</v>
      </c>
      <c r="R497" s="15">
        <f t="shared" si="160"/>
        <v>0</v>
      </c>
      <c r="S497" s="15">
        <f t="shared" si="161"/>
        <v>0</v>
      </c>
      <c r="T497" s="15">
        <f t="shared" si="162"/>
        <v>0</v>
      </c>
      <c r="U497" s="148">
        <f>SUM(G497:M497)</f>
        <v>0</v>
      </c>
      <c r="V497" s="133" t="str">
        <f>IF(ABS(F497-U497)&lt;0.01,"ok","err")</f>
        <v>ok</v>
      </c>
      <c r="W497" s="148"/>
      <c r="X497" s="133"/>
    </row>
    <row r="498" spans="1:24" hidden="1" x14ac:dyDescent="0.25">
      <c r="A498" s="140" t="s">
        <v>775</v>
      </c>
      <c r="D498" s="140" t="s">
        <v>330</v>
      </c>
      <c r="E498" s="140" t="s">
        <v>353</v>
      </c>
      <c r="F498" s="15">
        <v>0</v>
      </c>
      <c r="G498" s="15">
        <f t="shared" si="155"/>
        <v>0</v>
      </c>
      <c r="H498" s="15">
        <f t="shared" si="155"/>
        <v>0</v>
      </c>
      <c r="I498" s="15">
        <f t="shared" si="155"/>
        <v>0</v>
      </c>
      <c r="J498" s="15">
        <f t="shared" si="155"/>
        <v>0</v>
      </c>
      <c r="K498" s="15">
        <f t="shared" si="156"/>
        <v>0</v>
      </c>
      <c r="L498" s="15">
        <f t="shared" si="157"/>
        <v>0</v>
      </c>
      <c r="M498" s="15">
        <f t="shared" si="157"/>
        <v>0</v>
      </c>
      <c r="N498" s="15">
        <f t="shared" si="158"/>
        <v>0</v>
      </c>
      <c r="O498" s="15">
        <f t="shared" si="159"/>
        <v>0</v>
      </c>
      <c r="P498" s="15">
        <f t="shared" si="159"/>
        <v>0</v>
      </c>
      <c r="Q498" s="15">
        <f t="shared" si="159"/>
        <v>0</v>
      </c>
      <c r="R498" s="15">
        <f t="shared" si="160"/>
        <v>0</v>
      </c>
      <c r="S498" s="15">
        <f t="shared" si="161"/>
        <v>0</v>
      </c>
      <c r="T498" s="15">
        <f t="shared" si="162"/>
        <v>0</v>
      </c>
      <c r="U498" s="148">
        <f t="shared" ref="U498:U512" si="163">SUM(G498:M498)</f>
        <v>0</v>
      </c>
      <c r="V498" s="133" t="str">
        <f t="shared" ref="V498:V512" si="164">IF(ABS(F498-U498)&lt;0.01,"ok","err")</f>
        <v>ok</v>
      </c>
      <c r="W498" s="148"/>
      <c r="X498" s="133"/>
    </row>
    <row r="499" spans="1:24" hidden="1" x14ac:dyDescent="0.25">
      <c r="A499" s="140" t="s">
        <v>761</v>
      </c>
      <c r="E499" s="140" t="s">
        <v>212</v>
      </c>
      <c r="F499" s="15">
        <v>0</v>
      </c>
      <c r="G499" s="15">
        <f t="shared" si="155"/>
        <v>0</v>
      </c>
      <c r="H499" s="15">
        <f t="shared" si="155"/>
        <v>0</v>
      </c>
      <c r="I499" s="15">
        <f t="shared" si="155"/>
        <v>0</v>
      </c>
      <c r="J499" s="15">
        <f t="shared" si="155"/>
        <v>0</v>
      </c>
      <c r="K499" s="15">
        <f t="shared" si="156"/>
        <v>0</v>
      </c>
      <c r="L499" s="15">
        <f t="shared" si="157"/>
        <v>0</v>
      </c>
      <c r="M499" s="15">
        <f t="shared" si="157"/>
        <v>0</v>
      </c>
      <c r="N499" s="15">
        <f t="shared" si="158"/>
        <v>0</v>
      </c>
      <c r="O499" s="15">
        <f t="shared" si="159"/>
        <v>0</v>
      </c>
      <c r="P499" s="15">
        <f t="shared" si="159"/>
        <v>0</v>
      </c>
      <c r="Q499" s="15">
        <f t="shared" si="159"/>
        <v>0</v>
      </c>
      <c r="R499" s="15">
        <f t="shared" si="160"/>
        <v>0</v>
      </c>
      <c r="S499" s="15">
        <f t="shared" si="161"/>
        <v>0</v>
      </c>
      <c r="T499" s="15">
        <f t="shared" si="162"/>
        <v>0</v>
      </c>
      <c r="U499" s="148">
        <f t="shared" si="163"/>
        <v>0</v>
      </c>
      <c r="V499" s="133" t="str">
        <f t="shared" si="164"/>
        <v>ok</v>
      </c>
      <c r="W499" s="148"/>
      <c r="X499" s="133"/>
    </row>
    <row r="500" spans="1:24" hidden="1" x14ac:dyDescent="0.25">
      <c r="A500" s="140" t="s">
        <v>821</v>
      </c>
      <c r="E500" s="140" t="s">
        <v>212</v>
      </c>
      <c r="F500" s="15">
        <v>0</v>
      </c>
      <c r="G500" s="15">
        <f t="shared" si="155"/>
        <v>0</v>
      </c>
      <c r="H500" s="15">
        <f t="shared" si="155"/>
        <v>0</v>
      </c>
      <c r="I500" s="15">
        <f t="shared" si="155"/>
        <v>0</v>
      </c>
      <c r="J500" s="15">
        <f t="shared" si="155"/>
        <v>0</v>
      </c>
      <c r="K500" s="15">
        <f t="shared" si="156"/>
        <v>0</v>
      </c>
      <c r="L500" s="15">
        <f t="shared" si="157"/>
        <v>0</v>
      </c>
      <c r="M500" s="15">
        <f t="shared" si="157"/>
        <v>0</v>
      </c>
      <c r="N500" s="15">
        <f t="shared" si="158"/>
        <v>0</v>
      </c>
      <c r="O500" s="15">
        <f t="shared" si="159"/>
        <v>0</v>
      </c>
      <c r="P500" s="15">
        <f t="shared" si="159"/>
        <v>0</v>
      </c>
      <c r="Q500" s="15">
        <f t="shared" si="159"/>
        <v>0</v>
      </c>
      <c r="R500" s="15">
        <f t="shared" si="160"/>
        <v>0</v>
      </c>
      <c r="S500" s="15">
        <f t="shared" si="161"/>
        <v>0</v>
      </c>
      <c r="T500" s="15">
        <f t="shared" si="162"/>
        <v>0</v>
      </c>
      <c r="U500" s="148">
        <f t="shared" si="163"/>
        <v>0</v>
      </c>
      <c r="V500" s="133" t="str">
        <f t="shared" si="164"/>
        <v>ok</v>
      </c>
      <c r="W500" s="148"/>
      <c r="X500" s="133"/>
    </row>
    <row r="501" spans="1:24" hidden="1" x14ac:dyDescent="0.25">
      <c r="A501" s="140" t="s">
        <v>776</v>
      </c>
      <c r="D501" s="140" t="s">
        <v>331</v>
      </c>
      <c r="E501" s="140" t="s">
        <v>209</v>
      </c>
      <c r="F501" s="15">
        <v>0</v>
      </c>
      <c r="G501" s="15">
        <f t="shared" si="155"/>
        <v>0</v>
      </c>
      <c r="H501" s="15">
        <f t="shared" si="155"/>
        <v>0</v>
      </c>
      <c r="I501" s="15">
        <f t="shared" si="155"/>
        <v>0</v>
      </c>
      <c r="J501" s="15">
        <f t="shared" si="155"/>
        <v>0</v>
      </c>
      <c r="K501" s="15">
        <f t="shared" si="156"/>
        <v>0</v>
      </c>
      <c r="L501" s="15">
        <f t="shared" si="157"/>
        <v>0</v>
      </c>
      <c r="M501" s="15">
        <f t="shared" si="157"/>
        <v>0</v>
      </c>
      <c r="N501" s="15">
        <f t="shared" si="158"/>
        <v>0</v>
      </c>
      <c r="O501" s="15">
        <f t="shared" si="159"/>
        <v>0</v>
      </c>
      <c r="P501" s="15">
        <f t="shared" si="159"/>
        <v>0</v>
      </c>
      <c r="Q501" s="15">
        <f t="shared" si="159"/>
        <v>0</v>
      </c>
      <c r="R501" s="15">
        <f t="shared" si="160"/>
        <v>0</v>
      </c>
      <c r="S501" s="15">
        <f t="shared" si="161"/>
        <v>0</v>
      </c>
      <c r="T501" s="15">
        <f t="shared" si="162"/>
        <v>0</v>
      </c>
      <c r="U501" s="148">
        <f t="shared" si="163"/>
        <v>0</v>
      </c>
      <c r="V501" s="133" t="str">
        <f t="shared" si="164"/>
        <v>ok</v>
      </c>
      <c r="W501" s="148"/>
      <c r="X501" s="133"/>
    </row>
    <row r="502" spans="1:24" hidden="1" x14ac:dyDescent="0.25">
      <c r="A502" s="140" t="s">
        <v>653</v>
      </c>
      <c r="D502" s="140" t="s">
        <v>332</v>
      </c>
      <c r="E502" s="140" t="s">
        <v>296</v>
      </c>
      <c r="F502" s="15">
        <v>0</v>
      </c>
      <c r="G502" s="15">
        <f t="shared" si="155"/>
        <v>0</v>
      </c>
      <c r="H502" s="15">
        <f t="shared" si="155"/>
        <v>0</v>
      </c>
      <c r="I502" s="15">
        <f t="shared" si="155"/>
        <v>0</v>
      </c>
      <c r="J502" s="15">
        <f t="shared" si="155"/>
        <v>0</v>
      </c>
      <c r="K502" s="15">
        <f t="shared" si="156"/>
        <v>0</v>
      </c>
      <c r="L502" s="15">
        <f t="shared" si="157"/>
        <v>0</v>
      </c>
      <c r="M502" s="15">
        <f t="shared" si="157"/>
        <v>0</v>
      </c>
      <c r="N502" s="15">
        <f t="shared" si="158"/>
        <v>0</v>
      </c>
      <c r="O502" s="15">
        <f t="shared" si="159"/>
        <v>0</v>
      </c>
      <c r="P502" s="15">
        <f t="shared" si="159"/>
        <v>0</v>
      </c>
      <c r="Q502" s="15">
        <f t="shared" si="159"/>
        <v>0</v>
      </c>
      <c r="R502" s="15">
        <f t="shared" si="160"/>
        <v>0</v>
      </c>
      <c r="S502" s="15">
        <f t="shared" si="161"/>
        <v>0</v>
      </c>
      <c r="T502" s="15">
        <f t="shared" si="162"/>
        <v>0</v>
      </c>
      <c r="U502" s="148">
        <f t="shared" si="163"/>
        <v>0</v>
      </c>
      <c r="V502" s="133" t="str">
        <f t="shared" si="164"/>
        <v>ok</v>
      </c>
      <c r="W502" s="148"/>
      <c r="X502" s="133"/>
    </row>
    <row r="503" spans="1:24" hidden="1" x14ac:dyDescent="0.25">
      <c r="A503" s="140" t="s">
        <v>822</v>
      </c>
      <c r="E503" s="140" t="s">
        <v>212</v>
      </c>
      <c r="F503" s="15">
        <v>0</v>
      </c>
      <c r="G503" s="15">
        <f t="shared" si="155"/>
        <v>0</v>
      </c>
      <c r="H503" s="15">
        <f t="shared" si="155"/>
        <v>0</v>
      </c>
      <c r="I503" s="15">
        <f t="shared" si="155"/>
        <v>0</v>
      </c>
      <c r="J503" s="15">
        <f t="shared" si="155"/>
        <v>0</v>
      </c>
      <c r="K503" s="15">
        <f t="shared" si="156"/>
        <v>0</v>
      </c>
      <c r="L503" s="15">
        <f t="shared" si="157"/>
        <v>0</v>
      </c>
      <c r="M503" s="15">
        <f t="shared" si="157"/>
        <v>0</v>
      </c>
      <c r="N503" s="15">
        <f t="shared" si="158"/>
        <v>0</v>
      </c>
      <c r="O503" s="15">
        <f t="shared" si="159"/>
        <v>0</v>
      </c>
      <c r="P503" s="15">
        <f t="shared" si="159"/>
        <v>0</v>
      </c>
      <c r="Q503" s="15">
        <f t="shared" si="159"/>
        <v>0</v>
      </c>
      <c r="R503" s="15">
        <f t="shared" si="160"/>
        <v>0</v>
      </c>
      <c r="S503" s="15">
        <f t="shared" si="161"/>
        <v>0</v>
      </c>
      <c r="T503" s="15">
        <f t="shared" si="162"/>
        <v>0</v>
      </c>
      <c r="U503" s="148">
        <f t="shared" si="163"/>
        <v>0</v>
      </c>
      <c r="V503" s="133" t="str">
        <f t="shared" si="164"/>
        <v>ok</v>
      </c>
      <c r="W503" s="148"/>
      <c r="X503" s="133"/>
    </row>
    <row r="504" spans="1:24" hidden="1" x14ac:dyDescent="0.25">
      <c r="A504" s="140" t="s">
        <v>823</v>
      </c>
      <c r="E504" s="140" t="s">
        <v>771</v>
      </c>
      <c r="F504" s="15">
        <v>0</v>
      </c>
      <c r="G504" s="15">
        <f t="shared" si="155"/>
        <v>0</v>
      </c>
      <c r="H504" s="15">
        <f t="shared" si="155"/>
        <v>0</v>
      </c>
      <c r="I504" s="15">
        <f t="shared" si="155"/>
        <v>0</v>
      </c>
      <c r="J504" s="15">
        <f t="shared" si="155"/>
        <v>0</v>
      </c>
      <c r="K504" s="15">
        <f t="shared" si="156"/>
        <v>0</v>
      </c>
      <c r="L504" s="15">
        <f t="shared" si="157"/>
        <v>0</v>
      </c>
      <c r="M504" s="15">
        <f t="shared" si="157"/>
        <v>0</v>
      </c>
      <c r="N504" s="15">
        <f t="shared" si="158"/>
        <v>0</v>
      </c>
      <c r="O504" s="15">
        <f t="shared" si="159"/>
        <v>0</v>
      </c>
      <c r="P504" s="15">
        <f t="shared" si="159"/>
        <v>0</v>
      </c>
      <c r="Q504" s="15">
        <f t="shared" si="159"/>
        <v>0</v>
      </c>
      <c r="R504" s="15">
        <f t="shared" si="160"/>
        <v>0</v>
      </c>
      <c r="S504" s="15">
        <f t="shared" si="161"/>
        <v>0</v>
      </c>
      <c r="T504" s="15">
        <f t="shared" si="162"/>
        <v>0</v>
      </c>
      <c r="U504" s="148">
        <f t="shared" si="163"/>
        <v>0</v>
      </c>
      <c r="V504" s="133" t="str">
        <f t="shared" si="164"/>
        <v>ok</v>
      </c>
      <c r="W504" s="148"/>
      <c r="X504" s="133"/>
    </row>
    <row r="505" spans="1:24" hidden="1" x14ac:dyDescent="0.25">
      <c r="A505" s="140" t="s">
        <v>762</v>
      </c>
      <c r="D505" s="140" t="s">
        <v>333</v>
      </c>
      <c r="E505" s="140" t="s">
        <v>212</v>
      </c>
      <c r="F505" s="15">
        <v>0</v>
      </c>
      <c r="G505" s="15">
        <f t="shared" si="155"/>
        <v>0</v>
      </c>
      <c r="H505" s="15">
        <f t="shared" si="155"/>
        <v>0</v>
      </c>
      <c r="I505" s="15">
        <f t="shared" si="155"/>
        <v>0</v>
      </c>
      <c r="J505" s="15">
        <f t="shared" si="155"/>
        <v>0</v>
      </c>
      <c r="K505" s="15">
        <f t="shared" si="156"/>
        <v>0</v>
      </c>
      <c r="L505" s="15">
        <f t="shared" si="157"/>
        <v>0</v>
      </c>
      <c r="M505" s="15">
        <f t="shared" si="157"/>
        <v>0</v>
      </c>
      <c r="N505" s="15">
        <f t="shared" si="158"/>
        <v>0</v>
      </c>
      <c r="O505" s="15">
        <f t="shared" si="159"/>
        <v>0</v>
      </c>
      <c r="P505" s="15">
        <f t="shared" si="159"/>
        <v>0</v>
      </c>
      <c r="Q505" s="15">
        <f t="shared" si="159"/>
        <v>0</v>
      </c>
      <c r="R505" s="15">
        <f t="shared" si="160"/>
        <v>0</v>
      </c>
      <c r="S505" s="15">
        <f t="shared" si="161"/>
        <v>0</v>
      </c>
      <c r="T505" s="15">
        <f t="shared" si="162"/>
        <v>0</v>
      </c>
      <c r="U505" s="148">
        <f t="shared" si="163"/>
        <v>0</v>
      </c>
      <c r="V505" s="133" t="str">
        <f t="shared" si="164"/>
        <v>ok</v>
      </c>
      <c r="W505" s="148"/>
      <c r="X505" s="133"/>
    </row>
    <row r="506" spans="1:24" hidden="1" x14ac:dyDescent="0.25">
      <c r="A506" s="140" t="s">
        <v>777</v>
      </c>
      <c r="D506" s="140" t="s">
        <v>334</v>
      </c>
      <c r="E506" s="140" t="s">
        <v>353</v>
      </c>
      <c r="F506" s="15">
        <v>0</v>
      </c>
      <c r="G506" s="15">
        <f t="shared" si="155"/>
        <v>0</v>
      </c>
      <c r="H506" s="15">
        <f t="shared" si="155"/>
        <v>0</v>
      </c>
      <c r="I506" s="15">
        <f t="shared" si="155"/>
        <v>0</v>
      </c>
      <c r="J506" s="15">
        <f t="shared" si="155"/>
        <v>0</v>
      </c>
      <c r="K506" s="15">
        <f t="shared" si="156"/>
        <v>0</v>
      </c>
      <c r="L506" s="15">
        <f t="shared" si="157"/>
        <v>0</v>
      </c>
      <c r="M506" s="15">
        <f t="shared" si="157"/>
        <v>0</v>
      </c>
      <c r="N506" s="15">
        <f t="shared" si="158"/>
        <v>0</v>
      </c>
      <c r="O506" s="15">
        <f t="shared" si="159"/>
        <v>0</v>
      </c>
      <c r="P506" s="15">
        <f t="shared" si="159"/>
        <v>0</v>
      </c>
      <c r="Q506" s="15">
        <f t="shared" si="159"/>
        <v>0</v>
      </c>
      <c r="R506" s="15">
        <f t="shared" si="160"/>
        <v>0</v>
      </c>
      <c r="S506" s="15">
        <f t="shared" si="161"/>
        <v>0</v>
      </c>
      <c r="T506" s="15">
        <f t="shared" si="162"/>
        <v>0</v>
      </c>
      <c r="U506" s="148">
        <f t="shared" si="163"/>
        <v>0</v>
      </c>
      <c r="V506" s="133" t="str">
        <f t="shared" si="164"/>
        <v>ok</v>
      </c>
      <c r="W506" s="148"/>
      <c r="X506" s="133"/>
    </row>
    <row r="507" spans="1:24" hidden="1" x14ac:dyDescent="0.25">
      <c r="A507" s="140" t="s">
        <v>767</v>
      </c>
      <c r="E507" s="140" t="s">
        <v>212</v>
      </c>
      <c r="F507" s="15">
        <v>0</v>
      </c>
      <c r="G507" s="15">
        <f t="shared" si="155"/>
        <v>0</v>
      </c>
      <c r="H507" s="15">
        <f t="shared" si="155"/>
        <v>0</v>
      </c>
      <c r="I507" s="15">
        <f t="shared" si="155"/>
        <v>0</v>
      </c>
      <c r="J507" s="15">
        <f t="shared" si="155"/>
        <v>0</v>
      </c>
      <c r="K507" s="15">
        <f t="shared" si="156"/>
        <v>0</v>
      </c>
      <c r="L507" s="15">
        <f t="shared" si="157"/>
        <v>0</v>
      </c>
      <c r="M507" s="15">
        <f t="shared" si="157"/>
        <v>0</v>
      </c>
      <c r="N507" s="15">
        <f t="shared" si="158"/>
        <v>0</v>
      </c>
      <c r="O507" s="15">
        <f t="shared" si="159"/>
        <v>0</v>
      </c>
      <c r="P507" s="15">
        <f t="shared" si="159"/>
        <v>0</v>
      </c>
      <c r="Q507" s="15">
        <f t="shared" si="159"/>
        <v>0</v>
      </c>
      <c r="R507" s="15">
        <f t="shared" si="160"/>
        <v>0</v>
      </c>
      <c r="S507" s="15">
        <f t="shared" si="161"/>
        <v>0</v>
      </c>
      <c r="T507" s="15">
        <f t="shared" si="162"/>
        <v>0</v>
      </c>
      <c r="U507" s="148">
        <f t="shared" si="163"/>
        <v>0</v>
      </c>
      <c r="V507" s="133" t="str">
        <f t="shared" si="164"/>
        <v>ok</v>
      </c>
      <c r="W507" s="148"/>
      <c r="X507" s="133"/>
    </row>
    <row r="508" spans="1:24" hidden="1" x14ac:dyDescent="0.25">
      <c r="A508" s="140" t="s">
        <v>763</v>
      </c>
      <c r="E508" s="140" t="s">
        <v>212</v>
      </c>
      <c r="F508" s="15">
        <v>0</v>
      </c>
      <c r="G508" s="15">
        <f t="shared" si="155"/>
        <v>0</v>
      </c>
      <c r="H508" s="15">
        <f t="shared" si="155"/>
        <v>0</v>
      </c>
      <c r="I508" s="15">
        <f t="shared" si="155"/>
        <v>0</v>
      </c>
      <c r="J508" s="15">
        <f t="shared" si="155"/>
        <v>0</v>
      </c>
      <c r="K508" s="15">
        <f t="shared" si="156"/>
        <v>0</v>
      </c>
      <c r="L508" s="15">
        <f t="shared" si="157"/>
        <v>0</v>
      </c>
      <c r="M508" s="15">
        <f t="shared" si="157"/>
        <v>0</v>
      </c>
      <c r="N508" s="15">
        <f t="shared" si="158"/>
        <v>0</v>
      </c>
      <c r="O508" s="15">
        <f t="shared" si="159"/>
        <v>0</v>
      </c>
      <c r="P508" s="15">
        <f t="shared" si="159"/>
        <v>0</v>
      </c>
      <c r="Q508" s="15">
        <f t="shared" si="159"/>
        <v>0</v>
      </c>
      <c r="R508" s="15">
        <f t="shared" si="160"/>
        <v>0</v>
      </c>
      <c r="S508" s="15">
        <f t="shared" si="161"/>
        <v>0</v>
      </c>
      <c r="T508" s="15">
        <f t="shared" si="162"/>
        <v>0</v>
      </c>
      <c r="U508" s="148">
        <f t="shared" si="163"/>
        <v>0</v>
      </c>
      <c r="V508" s="133" t="str">
        <f t="shared" si="164"/>
        <v>ok</v>
      </c>
      <c r="W508" s="148"/>
      <c r="X508" s="133"/>
    </row>
    <row r="509" spans="1:24" hidden="1" x14ac:dyDescent="0.25">
      <c r="A509" s="140" t="s">
        <v>764</v>
      </c>
      <c r="E509" s="140" t="s">
        <v>770</v>
      </c>
      <c r="F509" s="15">
        <v>0</v>
      </c>
      <c r="G509" s="15">
        <f t="shared" si="155"/>
        <v>0</v>
      </c>
      <c r="H509" s="15">
        <f t="shared" si="155"/>
        <v>0</v>
      </c>
      <c r="I509" s="15">
        <f t="shared" si="155"/>
        <v>0</v>
      </c>
      <c r="J509" s="15">
        <f t="shared" si="155"/>
        <v>0</v>
      </c>
      <c r="K509" s="15">
        <f t="shared" si="156"/>
        <v>0</v>
      </c>
      <c r="L509" s="15">
        <f t="shared" si="157"/>
        <v>0</v>
      </c>
      <c r="M509" s="15">
        <f t="shared" si="157"/>
        <v>0</v>
      </c>
      <c r="N509" s="15">
        <f t="shared" si="158"/>
        <v>0</v>
      </c>
      <c r="O509" s="15">
        <f t="shared" si="159"/>
        <v>0</v>
      </c>
      <c r="P509" s="15">
        <f t="shared" si="159"/>
        <v>0</v>
      </c>
      <c r="Q509" s="15">
        <f t="shared" si="159"/>
        <v>0</v>
      </c>
      <c r="R509" s="15">
        <f t="shared" si="160"/>
        <v>0</v>
      </c>
      <c r="S509" s="15">
        <f t="shared" si="161"/>
        <v>0</v>
      </c>
      <c r="T509" s="15">
        <f t="shared" si="162"/>
        <v>0</v>
      </c>
      <c r="U509" s="148">
        <f t="shared" si="163"/>
        <v>0</v>
      </c>
      <c r="V509" s="133" t="str">
        <f t="shared" si="164"/>
        <v>ok</v>
      </c>
      <c r="W509" s="148"/>
      <c r="X509" s="133"/>
    </row>
    <row r="510" spans="1:24" hidden="1" x14ac:dyDescent="0.25">
      <c r="A510" s="140" t="s">
        <v>765</v>
      </c>
      <c r="E510" s="140" t="s">
        <v>383</v>
      </c>
      <c r="F510" s="15">
        <v>0</v>
      </c>
      <c r="G510" s="15">
        <f t="shared" si="155"/>
        <v>0</v>
      </c>
      <c r="H510" s="15">
        <f t="shared" si="155"/>
        <v>0</v>
      </c>
      <c r="I510" s="15">
        <f t="shared" si="155"/>
        <v>0</v>
      </c>
      <c r="J510" s="15">
        <f t="shared" si="155"/>
        <v>0</v>
      </c>
      <c r="K510" s="15">
        <f t="shared" si="156"/>
        <v>0</v>
      </c>
      <c r="L510" s="15">
        <f t="shared" si="157"/>
        <v>0</v>
      </c>
      <c r="M510" s="15">
        <f t="shared" si="157"/>
        <v>0</v>
      </c>
      <c r="N510" s="15">
        <f t="shared" si="158"/>
        <v>0</v>
      </c>
      <c r="O510" s="15">
        <f t="shared" si="159"/>
        <v>0</v>
      </c>
      <c r="P510" s="15">
        <f t="shared" si="159"/>
        <v>0</v>
      </c>
      <c r="Q510" s="15">
        <f t="shared" si="159"/>
        <v>0</v>
      </c>
      <c r="R510" s="15">
        <f t="shared" si="160"/>
        <v>0</v>
      </c>
      <c r="S510" s="15">
        <f t="shared" si="161"/>
        <v>0</v>
      </c>
      <c r="T510" s="15">
        <f t="shared" si="162"/>
        <v>0</v>
      </c>
      <c r="U510" s="148">
        <f t="shared" si="163"/>
        <v>0</v>
      </c>
      <c r="V510" s="133" t="str">
        <f t="shared" si="164"/>
        <v>ok</v>
      </c>
      <c r="W510" s="148"/>
      <c r="X510" s="133"/>
    </row>
    <row r="511" spans="1:24" hidden="1" x14ac:dyDescent="0.25">
      <c r="A511" s="140" t="s">
        <v>766</v>
      </c>
      <c r="E511" s="140" t="s">
        <v>212</v>
      </c>
      <c r="F511" s="15">
        <v>0</v>
      </c>
      <c r="G511" s="15">
        <f t="shared" si="155"/>
        <v>0</v>
      </c>
      <c r="H511" s="15">
        <f t="shared" si="155"/>
        <v>0</v>
      </c>
      <c r="I511" s="15">
        <f t="shared" si="155"/>
        <v>0</v>
      </c>
      <c r="J511" s="15">
        <f t="shared" si="155"/>
        <v>0</v>
      </c>
      <c r="K511" s="15">
        <f t="shared" si="156"/>
        <v>0</v>
      </c>
      <c r="L511" s="15">
        <f t="shared" si="157"/>
        <v>0</v>
      </c>
      <c r="M511" s="15">
        <f t="shared" si="157"/>
        <v>0</v>
      </c>
      <c r="N511" s="15">
        <f t="shared" si="158"/>
        <v>0</v>
      </c>
      <c r="O511" s="15">
        <f t="shared" si="159"/>
        <v>0</v>
      </c>
      <c r="P511" s="15">
        <f t="shared" si="159"/>
        <v>0</v>
      </c>
      <c r="Q511" s="15">
        <f t="shared" si="159"/>
        <v>0</v>
      </c>
      <c r="R511" s="15">
        <f t="shared" si="160"/>
        <v>0</v>
      </c>
      <c r="S511" s="15">
        <f t="shared" si="161"/>
        <v>0</v>
      </c>
      <c r="T511" s="15">
        <f t="shared" si="162"/>
        <v>0</v>
      </c>
      <c r="U511" s="148">
        <f t="shared" si="163"/>
        <v>0</v>
      </c>
      <c r="V511" s="133" t="str">
        <f t="shared" si="164"/>
        <v>ok</v>
      </c>
      <c r="W511" s="148"/>
      <c r="X511" s="133"/>
    </row>
    <row r="512" spans="1:24" hidden="1" x14ac:dyDescent="0.25">
      <c r="A512" s="140" t="s">
        <v>836</v>
      </c>
      <c r="E512" s="140" t="s">
        <v>294</v>
      </c>
      <c r="F512" s="15">
        <v>0</v>
      </c>
      <c r="G512" s="15">
        <f t="shared" si="155"/>
        <v>0</v>
      </c>
      <c r="H512" s="15">
        <f t="shared" si="155"/>
        <v>0</v>
      </c>
      <c r="I512" s="15">
        <f t="shared" si="155"/>
        <v>0</v>
      </c>
      <c r="J512" s="15">
        <f t="shared" si="155"/>
        <v>0</v>
      </c>
      <c r="K512" s="15">
        <f t="shared" si="156"/>
        <v>0</v>
      </c>
      <c r="L512" s="15">
        <f t="shared" si="157"/>
        <v>0</v>
      </c>
      <c r="M512" s="15">
        <f t="shared" si="157"/>
        <v>0</v>
      </c>
      <c r="N512" s="15">
        <f t="shared" si="158"/>
        <v>0</v>
      </c>
      <c r="O512" s="15">
        <f t="shared" si="159"/>
        <v>0</v>
      </c>
      <c r="P512" s="15">
        <f t="shared" si="159"/>
        <v>0</v>
      </c>
      <c r="Q512" s="15">
        <f t="shared" si="159"/>
        <v>0</v>
      </c>
      <c r="R512" s="15">
        <f t="shared" si="160"/>
        <v>0</v>
      </c>
      <c r="S512" s="15">
        <f t="shared" si="161"/>
        <v>0</v>
      </c>
      <c r="T512" s="15">
        <f t="shared" si="162"/>
        <v>0</v>
      </c>
      <c r="U512" s="148">
        <f t="shared" si="163"/>
        <v>0</v>
      </c>
      <c r="V512" s="133" t="str">
        <f t="shared" si="164"/>
        <v>ok</v>
      </c>
      <c r="W512" s="148"/>
      <c r="X512" s="133"/>
    </row>
    <row r="513" spans="1:30" hidden="1" x14ac:dyDescent="0.25">
      <c r="A513" s="140" t="s">
        <v>820</v>
      </c>
      <c r="E513" s="140" t="s">
        <v>212</v>
      </c>
      <c r="F513" s="15">
        <v>0</v>
      </c>
      <c r="G513" s="15">
        <f t="shared" si="155"/>
        <v>0</v>
      </c>
      <c r="H513" s="15">
        <f t="shared" si="155"/>
        <v>0</v>
      </c>
      <c r="I513" s="15">
        <f t="shared" si="155"/>
        <v>0</v>
      </c>
      <c r="J513" s="15">
        <f t="shared" si="155"/>
        <v>0</v>
      </c>
      <c r="K513" s="15">
        <f t="shared" si="156"/>
        <v>0</v>
      </c>
      <c r="L513" s="15">
        <f t="shared" si="157"/>
        <v>0</v>
      </c>
      <c r="M513" s="15">
        <f t="shared" si="157"/>
        <v>0</v>
      </c>
      <c r="N513" s="15">
        <f t="shared" si="158"/>
        <v>0</v>
      </c>
      <c r="O513" s="15">
        <f t="shared" si="159"/>
        <v>0</v>
      </c>
      <c r="P513" s="15">
        <f t="shared" si="159"/>
        <v>0</v>
      </c>
      <c r="Q513" s="15">
        <f t="shared" si="159"/>
        <v>0</v>
      </c>
      <c r="R513" s="15">
        <f t="shared" si="160"/>
        <v>0</v>
      </c>
      <c r="S513" s="15">
        <f t="shared" si="161"/>
        <v>0</v>
      </c>
      <c r="T513" s="15">
        <f t="shared" si="162"/>
        <v>0</v>
      </c>
      <c r="U513" s="148">
        <f>SUM(G513:M513)</f>
        <v>0</v>
      </c>
      <c r="V513" s="133" t="str">
        <f>IF(ABS(F513-U513)&lt;0.01,"ok","err")</f>
        <v>ok</v>
      </c>
      <c r="W513" s="148"/>
      <c r="X513" s="133"/>
    </row>
    <row r="514" spans="1:30" hidden="1" x14ac:dyDescent="0.25">
      <c r="F514" s="16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48"/>
      <c r="V514" s="133"/>
      <c r="W514" s="148"/>
      <c r="X514" s="133"/>
    </row>
    <row r="515" spans="1:30" hidden="1" x14ac:dyDescent="0.25">
      <c r="A515" s="140" t="s">
        <v>326</v>
      </c>
      <c r="D515" s="140" t="s">
        <v>335</v>
      </c>
      <c r="F515" s="148">
        <f t="shared" ref="F515:T515" si="165">SUM(F495:F513)</f>
        <v>0</v>
      </c>
      <c r="G515" s="148">
        <f t="shared" si="165"/>
        <v>0</v>
      </c>
      <c r="H515" s="148">
        <f t="shared" si="165"/>
        <v>0</v>
      </c>
      <c r="I515" s="148">
        <f t="shared" si="165"/>
        <v>0</v>
      </c>
      <c r="J515" s="148">
        <f t="shared" si="165"/>
        <v>0</v>
      </c>
      <c r="K515" s="148">
        <f t="shared" si="165"/>
        <v>0</v>
      </c>
      <c r="L515" s="148">
        <f t="shared" si="165"/>
        <v>0</v>
      </c>
      <c r="M515" s="148">
        <f t="shared" si="165"/>
        <v>0</v>
      </c>
      <c r="N515" s="148">
        <f t="shared" si="165"/>
        <v>0</v>
      </c>
      <c r="O515" s="148">
        <f t="shared" si="165"/>
        <v>0</v>
      </c>
      <c r="P515" s="148">
        <f t="shared" si="165"/>
        <v>0</v>
      </c>
      <c r="Q515" s="148">
        <f t="shared" si="165"/>
        <v>0</v>
      </c>
      <c r="R515" s="148">
        <f t="shared" si="165"/>
        <v>0</v>
      </c>
      <c r="S515" s="148">
        <f t="shared" si="165"/>
        <v>0</v>
      </c>
      <c r="T515" s="148">
        <f t="shared" si="165"/>
        <v>0</v>
      </c>
      <c r="U515" s="148">
        <f>SUM(G515:M515)</f>
        <v>0</v>
      </c>
      <c r="V515" s="133" t="str">
        <f>IF(ABS(F515-U515)&lt;0.01,"ok","err")</f>
        <v>ok</v>
      </c>
      <c r="W515" s="148"/>
      <c r="X515" s="133"/>
    </row>
    <row r="516" spans="1:30" x14ac:dyDescent="0.25"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33"/>
    </row>
    <row r="517" spans="1:30" x14ac:dyDescent="0.25">
      <c r="A517" s="140" t="s">
        <v>305</v>
      </c>
      <c r="F517" s="148">
        <f t="shared" ref="F517:T517" si="166">F471+F478-F487-F515</f>
        <v>61837283.744830087</v>
      </c>
      <c r="G517" s="148">
        <f t="shared" si="166"/>
        <v>44616228.076230884</v>
      </c>
      <c r="H517" s="148">
        <f t="shared" si="166"/>
        <v>13186602.086183619</v>
      </c>
      <c r="I517" s="148">
        <f t="shared" si="166"/>
        <v>2519882.1538286251</v>
      </c>
      <c r="J517" s="148">
        <f t="shared" si="166"/>
        <v>189396.9572647856</v>
      </c>
      <c r="K517" s="148">
        <f t="shared" si="166"/>
        <v>1325174.4713222506</v>
      </c>
      <c r="L517" s="148">
        <f t="shared" si="166"/>
        <v>0</v>
      </c>
      <c r="M517" s="148">
        <f t="shared" si="166"/>
        <v>0</v>
      </c>
      <c r="N517" s="148">
        <f t="shared" si="166"/>
        <v>-152616.01686338065</v>
      </c>
      <c r="O517" s="148">
        <f t="shared" si="166"/>
        <v>0</v>
      </c>
      <c r="P517" s="148">
        <f t="shared" si="166"/>
        <v>0</v>
      </c>
      <c r="Q517" s="148">
        <f t="shared" si="166"/>
        <v>0</v>
      </c>
      <c r="R517" s="148">
        <f t="shared" si="166"/>
        <v>0</v>
      </c>
      <c r="S517" s="148">
        <f t="shared" si="166"/>
        <v>0</v>
      </c>
      <c r="T517" s="148">
        <f t="shared" si="166"/>
        <v>0</v>
      </c>
      <c r="U517" s="148">
        <f>SUM(G517:M517)</f>
        <v>61837283.744830176</v>
      </c>
      <c r="V517" s="133" t="str">
        <f>IF(ABS(F517-U517)&lt;2,"ok","err")</f>
        <v>ok</v>
      </c>
      <c r="W517" s="148"/>
      <c r="X517" s="133"/>
    </row>
    <row r="518" spans="1:30" x14ac:dyDescent="0.25"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33"/>
    </row>
    <row r="519" spans="1:30" x14ac:dyDescent="0.25">
      <c r="A519" s="140" t="s">
        <v>297</v>
      </c>
      <c r="E519" s="140" t="s">
        <v>306</v>
      </c>
      <c r="F519" s="170">
        <v>19063197.451792173</v>
      </c>
      <c r="G519" s="15">
        <f>(VLOOKUP($E519,$D$6:$AI$659,G$2,)/VLOOKUP($E519,$D$6:$AI$659,3,))*$F519</f>
        <v>14049751.594002783</v>
      </c>
      <c r="H519" s="15">
        <f>(VLOOKUP($E519,$D$6:$AI$659,H$2,)/VLOOKUP($E519,$D$6:$AI$659,3,))*$F519</f>
        <v>3767077.7680641916</v>
      </c>
      <c r="I519" s="15">
        <f>(VLOOKUP($E519,$D$6:$AI$659,I$2,)/VLOOKUP($E519,$D$6:$AI$659,3,))*$F519</f>
        <v>856752.40477317898</v>
      </c>
      <c r="J519" s="15">
        <f>(VLOOKUP($E519,$D$6:$AI$659,J$2,)/VLOOKUP($E519,$D$6:$AI$659,3,))*$F519</f>
        <v>58013.970380611572</v>
      </c>
      <c r="K519" s="15">
        <f>(VLOOKUP($E519,$D$6:$AI$659,8,)/VLOOKUP($E519,$D$6:$AI$659,3,))*$F519</f>
        <v>331601.71457143727</v>
      </c>
      <c r="L519" s="15">
        <f>(VLOOKUP($E519,$D$6:$AI$659,L$2,)/VLOOKUP($E519,$D$6:$AI$659,3,))*$F519</f>
        <v>0</v>
      </c>
      <c r="M519" s="15">
        <f>(VLOOKUP($E519,$D$6:$AI$659,M$2,)/VLOOKUP($E519,$D$6:$AI$659,3,))*$F519</f>
        <v>0</v>
      </c>
      <c r="N519" s="15">
        <f>(VLOOKUP($E519,$D$6:$AI$659,11,)/VLOOKUP($E519,$D$6:$AI$659,3,))*$F519</f>
        <v>-67341.876143303249</v>
      </c>
      <c r="O519" s="15">
        <f>(VLOOKUP($E519,$D$6:$AI$659,O$2,)/VLOOKUP($E519,$D$6:$AI$659,3,))*$F519</f>
        <v>0</v>
      </c>
      <c r="P519" s="15">
        <f>(VLOOKUP($E519,$D$6:$AI$659,P$2,)/VLOOKUP($E519,$D$6:$AI$659,3,))*$F519</f>
        <v>0</v>
      </c>
      <c r="Q519" s="15">
        <f>(VLOOKUP($E519,$D$6:$AI$659,Q$2,)/VLOOKUP($E519,$D$6:$AI$659,3,))*$F519</f>
        <v>0</v>
      </c>
      <c r="R519" s="15">
        <f>(VLOOKUP($E519,$D$6:$AI$659,15,)/VLOOKUP($E519,$D$6:$AI$659,3,))*$F519</f>
        <v>0</v>
      </c>
      <c r="S519" s="15">
        <f>(VLOOKUP($E519,$D$6:$AI$659,16,)/VLOOKUP($E519,$D$6:$AI$659,3,))*$F519</f>
        <v>0</v>
      </c>
      <c r="T519" s="15">
        <f>(VLOOKUP($E519,$D$6:$AI$659,17,)/VLOOKUP($E519,$D$6:$AI$659,3,))*$F519</f>
        <v>0</v>
      </c>
      <c r="U519" s="148">
        <f>SUM(G519:M519)</f>
        <v>19063197.451792207</v>
      </c>
      <c r="V519" s="133" t="str">
        <f>IF(ABS(F519-U519)&lt;1,"ok","err")</f>
        <v>ok</v>
      </c>
      <c r="W519" s="148"/>
      <c r="X519" s="133"/>
    </row>
    <row r="520" spans="1:30" x14ac:dyDescent="0.25">
      <c r="A520" s="146"/>
      <c r="F520" s="148"/>
      <c r="U520" s="148"/>
    </row>
    <row r="521" spans="1:30" x14ac:dyDescent="0.25">
      <c r="A521" s="140" t="s">
        <v>696</v>
      </c>
      <c r="D521" s="140" t="s">
        <v>224</v>
      </c>
      <c r="F521" s="148">
        <f>F517-F519</f>
        <v>42774086.293037914</v>
      </c>
      <c r="G521" s="148">
        <f t="shared" ref="G521:T521" si="167">G517-G519</f>
        <v>30566476.4822281</v>
      </c>
      <c r="H521" s="148">
        <f t="shared" si="167"/>
        <v>9419524.3181194272</v>
      </c>
      <c r="I521" s="148">
        <f t="shared" si="167"/>
        <v>1663129.7490554461</v>
      </c>
      <c r="J521" s="148">
        <f t="shared" si="167"/>
        <v>131382.98688417402</v>
      </c>
      <c r="K521" s="148">
        <f t="shared" si="167"/>
        <v>993572.75675081322</v>
      </c>
      <c r="L521" s="148">
        <f t="shared" si="167"/>
        <v>0</v>
      </c>
      <c r="M521" s="148">
        <f t="shared" si="167"/>
        <v>0</v>
      </c>
      <c r="N521" s="148">
        <f t="shared" si="167"/>
        <v>-85274.140720077397</v>
      </c>
      <c r="O521" s="148">
        <f t="shared" si="167"/>
        <v>0</v>
      </c>
      <c r="P521" s="148">
        <f t="shared" si="167"/>
        <v>0</v>
      </c>
      <c r="Q521" s="148">
        <f t="shared" si="167"/>
        <v>0</v>
      </c>
      <c r="R521" s="148">
        <f t="shared" si="167"/>
        <v>0</v>
      </c>
      <c r="S521" s="148">
        <f t="shared" si="167"/>
        <v>0</v>
      </c>
      <c r="T521" s="148">
        <f t="shared" si="167"/>
        <v>0</v>
      </c>
      <c r="U521" s="148">
        <f>SUM(G521:M521)</f>
        <v>42774086.293037966</v>
      </c>
      <c r="V521" s="133" t="str">
        <f>IF(ABS(F521-U521)&lt;2,"ok","err")</f>
        <v>ok</v>
      </c>
      <c r="W521" s="148"/>
      <c r="X521" s="133"/>
    </row>
    <row r="522" spans="1:30" x14ac:dyDescent="0.25">
      <c r="F522" s="148"/>
      <c r="U522" s="148"/>
    </row>
    <row r="523" spans="1:30" x14ac:dyDescent="0.25">
      <c r="A523" s="134" t="s">
        <v>656</v>
      </c>
      <c r="F523" s="148">
        <f t="shared" ref="F523:T523" si="168">F97</f>
        <v>712384727.09200513</v>
      </c>
      <c r="G523" s="148">
        <f t="shared" si="168"/>
        <v>471078648.23695004</v>
      </c>
      <c r="H523" s="148">
        <f t="shared" si="168"/>
        <v>195659865.6677227</v>
      </c>
      <c r="I523" s="148">
        <f t="shared" si="168"/>
        <v>17524372.844614524</v>
      </c>
      <c r="J523" s="148">
        <f t="shared" si="168"/>
        <v>2084755.6696348684</v>
      </c>
      <c r="K523" s="148">
        <f t="shared" si="168"/>
        <v>26037084.67308291</v>
      </c>
      <c r="L523" s="148">
        <f t="shared" si="168"/>
        <v>0</v>
      </c>
      <c r="M523" s="148">
        <f t="shared" si="168"/>
        <v>0</v>
      </c>
      <c r="N523" s="148">
        <f t="shared" si="168"/>
        <v>1469038.9635557639</v>
      </c>
      <c r="O523" s="148">
        <f t="shared" si="168"/>
        <v>0</v>
      </c>
      <c r="P523" s="148">
        <f t="shared" si="168"/>
        <v>0</v>
      </c>
      <c r="Q523" s="148">
        <f t="shared" si="168"/>
        <v>0</v>
      </c>
      <c r="R523" s="148">
        <f t="shared" si="168"/>
        <v>0</v>
      </c>
      <c r="S523" s="148">
        <f t="shared" si="168"/>
        <v>0</v>
      </c>
      <c r="T523" s="148">
        <f t="shared" si="168"/>
        <v>0</v>
      </c>
      <c r="U523" s="148">
        <f>SUM(G523:M523)</f>
        <v>712384727.09200501</v>
      </c>
      <c r="V523" s="133" t="str">
        <f>IF(ABS(F523-U523)&lt;0.01,"ok","err")</f>
        <v>ok</v>
      </c>
      <c r="W523" s="148"/>
      <c r="X523" s="133"/>
    </row>
    <row r="524" spans="1:30" x14ac:dyDescent="0.25">
      <c r="A524" s="134" t="s">
        <v>185</v>
      </c>
      <c r="E524" s="140" t="s">
        <v>294</v>
      </c>
      <c r="F524" s="148">
        <v>0</v>
      </c>
      <c r="G524" s="15">
        <f t="shared" ref="G524:J525" si="169">(VLOOKUP($E524,$D$6:$AI$659,G$2,)/VLOOKUP($E524,$D$6:$AI$659,3,))*$F524</f>
        <v>0</v>
      </c>
      <c r="H524" s="15">
        <f t="shared" si="169"/>
        <v>0</v>
      </c>
      <c r="I524" s="15">
        <f t="shared" si="169"/>
        <v>0</v>
      </c>
      <c r="J524" s="15">
        <f t="shared" si="169"/>
        <v>0</v>
      </c>
      <c r="K524" s="15">
        <f>(VLOOKUP($E524,$D$6:$AI$659,8,)/VLOOKUP($E524,$D$6:$AI$659,3,))*$F524</f>
        <v>0</v>
      </c>
      <c r="L524" s="15">
        <f>(VLOOKUP($E524,$D$6:$AI$659,L$2,)/VLOOKUP($E524,$D$6:$AI$659,3,))*$F524</f>
        <v>0</v>
      </c>
      <c r="M524" s="15">
        <f>(VLOOKUP($E524,$D$6:$AI$659,M$2,)/VLOOKUP($E524,$D$6:$AI$659,3,))*$F524</f>
        <v>0</v>
      </c>
      <c r="N524" s="15">
        <f>(VLOOKUP($E524,$D$6:$AI$659,11,)/VLOOKUP($E524,$D$6:$AI$659,3,))*$F524</f>
        <v>0</v>
      </c>
      <c r="O524" s="15">
        <f t="shared" ref="O524:Q525" si="170">(VLOOKUP($E524,$D$6:$AI$659,O$2,)/VLOOKUP($E524,$D$6:$AI$659,3,))*$F524</f>
        <v>0</v>
      </c>
      <c r="P524" s="15">
        <f t="shared" si="170"/>
        <v>0</v>
      </c>
      <c r="Q524" s="15">
        <f t="shared" si="170"/>
        <v>0</v>
      </c>
      <c r="R524" s="15">
        <f>(VLOOKUP($E524,$D$6:$AI$659,15,)/VLOOKUP($E524,$D$6:$AI$659,3,))*$F524</f>
        <v>0</v>
      </c>
      <c r="S524" s="15">
        <f>(VLOOKUP($E524,$D$6:$AI$659,16,)/VLOOKUP($E524,$D$6:$AI$659,3,))*$F524</f>
        <v>0</v>
      </c>
      <c r="T524" s="15">
        <f>(VLOOKUP($E524,$D$6:$AI$659,17,)/VLOOKUP($E524,$D$6:$AI$659,3,))*$F524</f>
        <v>0</v>
      </c>
      <c r="U524" s="148">
        <f>SUM(G524:M524)</f>
        <v>0</v>
      </c>
      <c r="V524" s="133" t="str">
        <f>IF(ABS(F524-U524)&lt;0.01,"ok","err")</f>
        <v>ok</v>
      </c>
      <c r="W524" s="148"/>
      <c r="X524" s="133"/>
    </row>
    <row r="525" spans="1:30" x14ac:dyDescent="0.25">
      <c r="A525" s="134" t="s">
        <v>851</v>
      </c>
      <c r="E525" s="140" t="s">
        <v>296</v>
      </c>
      <c r="F525" s="148">
        <v>0</v>
      </c>
      <c r="G525" s="15">
        <f t="shared" si="169"/>
        <v>0</v>
      </c>
      <c r="H525" s="15">
        <f t="shared" si="169"/>
        <v>0</v>
      </c>
      <c r="I525" s="15">
        <f t="shared" si="169"/>
        <v>0</v>
      </c>
      <c r="J525" s="15">
        <f t="shared" si="169"/>
        <v>0</v>
      </c>
      <c r="K525" s="15">
        <f>(VLOOKUP($E525,$D$6:$AI$659,8,)/VLOOKUP($E525,$D$6:$AI$659,3,))*$F525</f>
        <v>0</v>
      </c>
      <c r="L525" s="15">
        <f>(VLOOKUP($E525,$D$6:$AI$659,L$2,)/VLOOKUP($E525,$D$6:$AI$659,3,))*$F525</f>
        <v>0</v>
      </c>
      <c r="M525" s="15">
        <f>(VLOOKUP($E525,$D$6:$AI$659,M$2,)/VLOOKUP($E525,$D$6:$AI$659,3,))*$F525</f>
        <v>0</v>
      </c>
      <c r="N525" s="15">
        <f>(VLOOKUP($E525,$D$6:$AI$659,11,)/VLOOKUP($E525,$D$6:$AI$659,3,))*$F525</f>
        <v>0</v>
      </c>
      <c r="O525" s="15">
        <f t="shared" si="170"/>
        <v>0</v>
      </c>
      <c r="P525" s="15">
        <f t="shared" si="170"/>
        <v>0</v>
      </c>
      <c r="Q525" s="15">
        <f t="shared" si="170"/>
        <v>0</v>
      </c>
      <c r="R525" s="15">
        <f>(VLOOKUP($E525,$D$6:$AI$659,15,)/VLOOKUP($E525,$D$6:$AI$659,3,))*$F525</f>
        <v>0</v>
      </c>
      <c r="S525" s="15">
        <f>(VLOOKUP($E525,$D$6:$AI$659,16,)/VLOOKUP($E525,$D$6:$AI$659,3,))*$F525</f>
        <v>0</v>
      </c>
      <c r="T525" s="15">
        <f>(VLOOKUP($E525,$D$6:$AI$659,17,)/VLOOKUP($E525,$D$6:$AI$659,3,))*$F525</f>
        <v>0</v>
      </c>
      <c r="U525" s="148">
        <f>SUM(G525:M525)</f>
        <v>0</v>
      </c>
      <c r="V525" s="133" t="str">
        <f>IF(ABS(F525-U525)&lt;0.01,"ok","err")</f>
        <v>ok</v>
      </c>
      <c r="W525" s="148"/>
      <c r="X525" s="133"/>
    </row>
    <row r="526" spans="1:30" ht="16.5" thickBot="1" x14ac:dyDescent="0.3">
      <c r="A526" s="134" t="s">
        <v>91</v>
      </c>
      <c r="F526" s="148">
        <f>SUM(F523:F525)</f>
        <v>712384727.09200513</v>
      </c>
      <c r="G526" s="148">
        <f>SUM(G523:G525)</f>
        <v>471078648.23695004</v>
      </c>
      <c r="H526" s="148">
        <f t="shared" ref="H526:T526" si="171">SUM(H523:H525)</f>
        <v>195659865.6677227</v>
      </c>
      <c r="I526" s="148">
        <f t="shared" si="171"/>
        <v>17524372.844614524</v>
      </c>
      <c r="J526" s="148">
        <f t="shared" si="171"/>
        <v>2084755.6696348684</v>
      </c>
      <c r="K526" s="148">
        <f t="shared" si="171"/>
        <v>26037084.67308291</v>
      </c>
      <c r="L526" s="148">
        <f t="shared" si="171"/>
        <v>0</v>
      </c>
      <c r="M526" s="148">
        <f t="shared" si="171"/>
        <v>0</v>
      </c>
      <c r="N526" s="148">
        <f t="shared" si="171"/>
        <v>1469038.9635557639</v>
      </c>
      <c r="O526" s="148">
        <f t="shared" si="171"/>
        <v>0</v>
      </c>
      <c r="P526" s="148">
        <f t="shared" si="171"/>
        <v>0</v>
      </c>
      <c r="Q526" s="148">
        <f t="shared" si="171"/>
        <v>0</v>
      </c>
      <c r="R526" s="148">
        <f t="shared" si="171"/>
        <v>0</v>
      </c>
      <c r="S526" s="148">
        <f t="shared" si="171"/>
        <v>0</v>
      </c>
      <c r="T526" s="148">
        <f t="shared" si="171"/>
        <v>0</v>
      </c>
      <c r="U526" s="148">
        <f>SUM(G526:M526)</f>
        <v>712384727.09200501</v>
      </c>
      <c r="V526" s="133" t="str">
        <f>IF(ABS(F526-U526)&lt;0.01,"ok","err")</f>
        <v>ok</v>
      </c>
      <c r="W526" s="148"/>
      <c r="X526" s="133"/>
    </row>
    <row r="527" spans="1:30" ht="16.5" thickBot="1" x14ac:dyDescent="0.3">
      <c r="A527" s="203" t="s">
        <v>697</v>
      </c>
      <c r="B527" s="154"/>
      <c r="C527" s="154"/>
      <c r="D527" s="154"/>
      <c r="E527" s="154"/>
      <c r="F527" s="155">
        <f>IF(F523&lt;&gt;0,F521/F526,"")</f>
        <v>6.0043519556692578E-2</v>
      </c>
      <c r="G527" s="155">
        <f t="shared" ref="G527:T527" si="172">IF(G523&lt;&gt;0,G521/G526,"")</f>
        <v>6.4886142890631132E-2</v>
      </c>
      <c r="H527" s="155">
        <f t="shared" si="172"/>
        <v>4.8142342763927044E-2</v>
      </c>
      <c r="I527" s="155">
        <f t="shared" si="172"/>
        <v>9.4903809899624922E-2</v>
      </c>
      <c r="J527" s="155">
        <f t="shared" si="172"/>
        <v>6.3020808048544569E-2</v>
      </c>
      <c r="K527" s="155">
        <f t="shared" si="172"/>
        <v>3.8159908039856971E-2</v>
      </c>
      <c r="L527" s="155" t="str">
        <f t="shared" si="172"/>
        <v/>
      </c>
      <c r="M527" s="155" t="str">
        <f t="shared" si="172"/>
        <v/>
      </c>
      <c r="N527" s="155">
        <f t="shared" si="172"/>
        <v>-5.8047569081267895E-2</v>
      </c>
      <c r="O527" s="155" t="str">
        <f t="shared" si="172"/>
        <v/>
      </c>
      <c r="P527" s="155" t="str">
        <f t="shared" si="172"/>
        <v/>
      </c>
      <c r="Q527" s="155" t="str">
        <f t="shared" si="172"/>
        <v/>
      </c>
      <c r="R527" s="155" t="str">
        <f t="shared" si="172"/>
        <v/>
      </c>
      <c r="S527" s="155" t="str">
        <f t="shared" si="172"/>
        <v/>
      </c>
      <c r="T527" s="155" t="str">
        <f t="shared" si="172"/>
        <v/>
      </c>
      <c r="U527" s="155"/>
      <c r="V527" s="156"/>
      <c r="W527" s="156"/>
      <c r="X527" s="157"/>
      <c r="Y527" s="157"/>
      <c r="Z527" s="158"/>
      <c r="AD527" s="17"/>
    </row>
    <row r="528" spans="1:30" x14ac:dyDescent="0.25">
      <c r="U528" s="148"/>
    </row>
    <row r="529" spans="1:21" hidden="1" x14ac:dyDescent="0.25">
      <c r="A529" s="140" t="s">
        <v>309</v>
      </c>
      <c r="F529" s="159">
        <f>F466/F580</f>
        <v>10.159700706294826</v>
      </c>
      <c r="G529" s="159">
        <f>G466/G580</f>
        <v>10.973573414687282</v>
      </c>
      <c r="H529" s="159">
        <f>H466/H580</f>
        <v>8.9019352003067649</v>
      </c>
      <c r="I529" s="159">
        <f>I466/I580</f>
        <v>6.0141672377827202</v>
      </c>
      <c r="J529" s="159">
        <f>J466/J580</f>
        <v>2.8036494841127633</v>
      </c>
      <c r="K529" s="159">
        <v>0</v>
      </c>
      <c r="L529" s="159" t="e">
        <f>L466/L580</f>
        <v>#DIV/0!</v>
      </c>
      <c r="M529" s="159" t="e">
        <f>M466/M580</f>
        <v>#DIV/0!</v>
      </c>
      <c r="N529" s="159"/>
      <c r="O529" s="159"/>
      <c r="P529" s="159"/>
      <c r="Q529" s="159"/>
      <c r="R529" s="159"/>
      <c r="S529" s="159"/>
      <c r="T529" s="159"/>
      <c r="U529" s="148"/>
    </row>
    <row r="530" spans="1:21" hidden="1" x14ac:dyDescent="0.25">
      <c r="U530" s="148"/>
    </row>
    <row r="531" spans="1:21" hidden="1" x14ac:dyDescent="0.25">
      <c r="A531" s="140" t="s">
        <v>366</v>
      </c>
      <c r="F531" s="151">
        <f t="shared" ref="F531:M531" si="173">F580/(F588*365)</f>
        <v>0.18793416588247819</v>
      </c>
      <c r="G531" s="151">
        <f t="shared" si="173"/>
        <v>0.17341227601660328</v>
      </c>
      <c r="H531" s="151">
        <f t="shared" si="173"/>
        <v>0.19710300879898676</v>
      </c>
      <c r="I531" s="151">
        <f t="shared" si="173"/>
        <v>0.3829496594284843</v>
      </c>
      <c r="J531" s="151">
        <f t="shared" si="173"/>
        <v>0.33770244217577516</v>
      </c>
      <c r="K531" s="151">
        <v>0</v>
      </c>
      <c r="L531" s="151" t="e">
        <f t="shared" si="173"/>
        <v>#DIV/0!</v>
      </c>
      <c r="M531" s="151" t="e">
        <f t="shared" si="173"/>
        <v>#DIV/0!</v>
      </c>
      <c r="N531" s="151"/>
      <c r="O531" s="151"/>
      <c r="P531" s="151"/>
      <c r="Q531" s="151"/>
      <c r="R531" s="151"/>
      <c r="S531" s="151"/>
      <c r="T531" s="151"/>
      <c r="U531" s="148"/>
    </row>
    <row r="532" spans="1:21" hidden="1" x14ac:dyDescent="0.25"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48"/>
    </row>
    <row r="533" spans="1:21" hidden="1" x14ac:dyDescent="0.25">
      <c r="F533" s="151"/>
      <c r="G533" s="151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48"/>
    </row>
    <row r="534" spans="1:21" hidden="1" x14ac:dyDescent="0.25">
      <c r="F534" s="148">
        <f>F487+F515+F519</f>
        <v>141342830.26976007</v>
      </c>
      <c r="U534" s="148"/>
    </row>
    <row r="535" spans="1:21" hidden="1" x14ac:dyDescent="0.25"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48"/>
    </row>
    <row r="536" spans="1:21" hidden="1" x14ac:dyDescent="0.25">
      <c r="U536" s="148"/>
    </row>
    <row r="537" spans="1:21" hidden="1" x14ac:dyDescent="0.25">
      <c r="U537" s="148"/>
    </row>
    <row r="538" spans="1:21" hidden="1" x14ac:dyDescent="0.25">
      <c r="U538" s="148"/>
    </row>
    <row r="539" spans="1:21" hidden="1" x14ac:dyDescent="0.25">
      <c r="U539" s="148"/>
    </row>
    <row r="540" spans="1:21" hidden="1" x14ac:dyDescent="0.25">
      <c r="U540" s="148"/>
    </row>
    <row r="541" spans="1:21" hidden="1" x14ac:dyDescent="0.25">
      <c r="U541" s="148"/>
    </row>
    <row r="542" spans="1:21" hidden="1" x14ac:dyDescent="0.25">
      <c r="U542" s="148"/>
    </row>
    <row r="543" spans="1:21" hidden="1" x14ac:dyDescent="0.25">
      <c r="U543" s="148"/>
    </row>
    <row r="544" spans="1:21" hidden="1" x14ac:dyDescent="0.25">
      <c r="U544" s="148"/>
    </row>
    <row r="545" spans="1:24" hidden="1" x14ac:dyDescent="0.25">
      <c r="U545" s="148"/>
    </row>
    <row r="546" spans="1:24" hidden="1" x14ac:dyDescent="0.25">
      <c r="U546" s="148"/>
    </row>
    <row r="547" spans="1:24" hidden="1" x14ac:dyDescent="0.25">
      <c r="U547" s="148"/>
    </row>
    <row r="548" spans="1:24" hidden="1" x14ac:dyDescent="0.25">
      <c r="U548" s="148"/>
    </row>
    <row r="549" spans="1:24" hidden="1" x14ac:dyDescent="0.25">
      <c r="U549" s="148"/>
    </row>
    <row r="550" spans="1:24" hidden="1" x14ac:dyDescent="0.25">
      <c r="U550" s="148"/>
    </row>
    <row r="551" spans="1:24" hidden="1" x14ac:dyDescent="0.25">
      <c r="U551" s="148"/>
    </row>
    <row r="552" spans="1:24" hidden="1" x14ac:dyDescent="0.25">
      <c r="U552" s="148"/>
    </row>
    <row r="553" spans="1:24" hidden="1" x14ac:dyDescent="0.25">
      <c r="U553" s="148"/>
    </row>
    <row r="554" spans="1:24" hidden="1" x14ac:dyDescent="0.25">
      <c r="A554" s="134"/>
      <c r="U554" s="148"/>
    </row>
    <row r="555" spans="1:24" x14ac:dyDescent="0.25">
      <c r="U555" s="148"/>
    </row>
    <row r="556" spans="1:24" x14ac:dyDescent="0.25">
      <c r="A556" s="201"/>
      <c r="F556" s="148"/>
      <c r="G556" s="148"/>
      <c r="H556" s="148"/>
      <c r="I556" s="148"/>
      <c r="J556" s="148"/>
      <c r="K556" s="148"/>
      <c r="U556" s="148"/>
    </row>
    <row r="557" spans="1:24" x14ac:dyDescent="0.25">
      <c r="A557" s="145" t="s">
        <v>754</v>
      </c>
      <c r="F557" s="148"/>
      <c r="G557" s="161"/>
      <c r="U557" s="148"/>
    </row>
    <row r="558" spans="1:24" x14ac:dyDescent="0.25">
      <c r="U558" s="148"/>
    </row>
    <row r="559" spans="1:24" x14ac:dyDescent="0.25">
      <c r="A559" s="134" t="s">
        <v>362</v>
      </c>
      <c r="F559" s="148">
        <f>F521</f>
        <v>42774086.293037914</v>
      </c>
      <c r="G559" s="148">
        <f t="shared" ref="G559:T559" si="174">G521</f>
        <v>30566476.4822281</v>
      </c>
      <c r="H559" s="148">
        <f t="shared" si="174"/>
        <v>9419524.3181194272</v>
      </c>
      <c r="I559" s="148">
        <f t="shared" si="174"/>
        <v>1663129.7490554461</v>
      </c>
      <c r="J559" s="148">
        <f t="shared" si="174"/>
        <v>131382.98688417402</v>
      </c>
      <c r="K559" s="148">
        <f t="shared" si="174"/>
        <v>993572.75675081322</v>
      </c>
      <c r="L559" s="148">
        <f t="shared" si="174"/>
        <v>0</v>
      </c>
      <c r="M559" s="148">
        <f>M521</f>
        <v>0</v>
      </c>
      <c r="N559" s="148">
        <f t="shared" si="174"/>
        <v>-85274.140720077397</v>
      </c>
      <c r="O559" s="148">
        <f t="shared" si="174"/>
        <v>0</v>
      </c>
      <c r="P559" s="148">
        <f t="shared" si="174"/>
        <v>0</v>
      </c>
      <c r="Q559" s="148">
        <f t="shared" si="174"/>
        <v>0</v>
      </c>
      <c r="R559" s="148">
        <f t="shared" si="174"/>
        <v>0</v>
      </c>
      <c r="S559" s="148">
        <f t="shared" si="174"/>
        <v>0</v>
      </c>
      <c r="T559" s="148">
        <f t="shared" si="174"/>
        <v>0</v>
      </c>
      <c r="U559" s="148">
        <f>SUM(G559:M559)</f>
        <v>42774086.293037966</v>
      </c>
      <c r="V559" s="133" t="str">
        <f>IF(ABS(F559-U559)&lt;2,"ok","err")</f>
        <v>ok</v>
      </c>
      <c r="W559" s="148"/>
      <c r="X559" s="133"/>
    </row>
    <row r="560" spans="1:24" x14ac:dyDescent="0.25">
      <c r="U560" s="148"/>
    </row>
    <row r="561" spans="1:24" x14ac:dyDescent="0.25">
      <c r="A561" s="134" t="s">
        <v>363</v>
      </c>
      <c r="F561" s="170">
        <v>13899452</v>
      </c>
      <c r="G561" s="147">
        <v>10631026</v>
      </c>
      <c r="H561" s="177">
        <f>3141835+41306</f>
        <v>3183141</v>
      </c>
      <c r="I561" s="177">
        <v>1705</v>
      </c>
      <c r="J561" s="177">
        <v>-71575</v>
      </c>
      <c r="K561" s="15">
        <v>155155</v>
      </c>
      <c r="L561" s="15">
        <v>0</v>
      </c>
      <c r="M561" s="15">
        <v>0</v>
      </c>
      <c r="N561" s="15">
        <v>0</v>
      </c>
      <c r="O561" s="15">
        <v>0</v>
      </c>
      <c r="P561" s="15">
        <v>0</v>
      </c>
      <c r="Q561" s="15">
        <v>0</v>
      </c>
      <c r="U561" s="148">
        <f>SUM(G561:M561)</f>
        <v>13899452</v>
      </c>
      <c r="V561" s="133" t="str">
        <f>IF(ABS(F561-U561)&lt;0.01,"ok","err")</f>
        <v>ok</v>
      </c>
    </row>
    <row r="562" spans="1:24" x14ac:dyDescent="0.25">
      <c r="A562" s="134" t="s">
        <v>862</v>
      </c>
      <c r="E562" s="140" t="s">
        <v>773</v>
      </c>
      <c r="F562" s="15">
        <v>-70922</v>
      </c>
      <c r="G562" s="15">
        <f>(VLOOKUP($E562,$D$6:$AI$659,G$2,)/VLOOKUP($E562,$D$6:$AI$659,3,))*$F562</f>
        <v>-46738.142318958264</v>
      </c>
      <c r="H562" s="15">
        <f>(VLOOKUP($E562,$D$6:$AI$659,H$2,)/VLOOKUP($E562,$D$6:$AI$659,3,))*$F562</f>
        <v>-19695.095068443319</v>
      </c>
      <c r="I562" s="15">
        <f>(VLOOKUP($E562,$D$6:$AI$659,I$2,)/VLOOKUP($E562,$D$6:$AI$659,3,))*$F562</f>
        <v>-2557.7314094296717</v>
      </c>
      <c r="J562" s="15">
        <f>(VLOOKUP($E562,$D$6:$AI$659,J$2,)/VLOOKUP($E562,$D$6:$AI$659,3,))*$F562</f>
        <v>-235.02380598629648</v>
      </c>
      <c r="K562" s="15">
        <f>(VLOOKUP($E562,$D$6:$AI$659,8,)/VLOOKUP($E562,$D$6:$AI$659,3,))*$F562</f>
        <v>-1696.00739718246</v>
      </c>
      <c r="L562" s="15">
        <f>(VLOOKUP($E562,$D$6:$AI$659,L$2,)/VLOOKUP($E562,$D$6:$AI$659,3,))*$F562</f>
        <v>0</v>
      </c>
      <c r="M562" s="15">
        <f>(VLOOKUP($E562,$D$6:$AI$659,M$2,)/VLOOKUP($E562,$D$6:$AI$659,3,))*$F562</f>
        <v>0</v>
      </c>
      <c r="N562" s="15">
        <f>(VLOOKUP($E562,$D$6:$AI$659,11,)/VLOOKUP($E562,$D$6:$AI$659,3,))*$F562</f>
        <v>0</v>
      </c>
      <c r="O562" s="15">
        <f>(VLOOKUP($E562,$D$6:$AI$659,O$2,)/VLOOKUP($E562,$D$6:$AI$659,3,))*$F562</f>
        <v>0</v>
      </c>
      <c r="P562" s="15">
        <f>(VLOOKUP($E562,$D$6:$AI$659,P$2,)/VLOOKUP($E562,$D$6:$AI$659,3,))*$F562</f>
        <v>0</v>
      </c>
      <c r="Q562" s="15">
        <f>(VLOOKUP($E562,$D$6:$AI$659,Q$2,)/VLOOKUP($E562,$D$6:$AI$659,3,))*$F562</f>
        <v>0</v>
      </c>
      <c r="R562" s="15">
        <f>(VLOOKUP($E562,$D$6:$AI$659,15,)/VLOOKUP($E562,$D$6:$AI$659,3,))*$F562</f>
        <v>0</v>
      </c>
      <c r="S562" s="15">
        <f>(VLOOKUP($E562,$D$6:$AI$659,16,)/VLOOKUP($E562,$D$6:$AI$659,3,))*$F562</f>
        <v>0</v>
      </c>
      <c r="T562" s="15">
        <f>(VLOOKUP($E562,$D$6:$AI$659,17,)/VLOOKUP($E562,$D$6:$AI$659,3,))*$F562</f>
        <v>0</v>
      </c>
      <c r="U562" s="148">
        <f>SUM(G562:M562)</f>
        <v>-70922</v>
      </c>
      <c r="V562" s="133" t="str">
        <f>IF(ABS(F562-U562)&lt;0.01,"ok","err")</f>
        <v>ok</v>
      </c>
      <c r="W562" s="148"/>
      <c r="X562" s="133"/>
    </row>
    <row r="563" spans="1:24" x14ac:dyDescent="0.25">
      <c r="F563" s="148"/>
      <c r="U563" s="148"/>
    </row>
    <row r="564" spans="1:24" x14ac:dyDescent="0.25">
      <c r="A564" s="134" t="s">
        <v>699</v>
      </c>
      <c r="E564" s="151">
        <v>0.38639026499999996</v>
      </c>
      <c r="F564" s="15">
        <v>5343209.3712604502</v>
      </c>
      <c r="G564" s="15">
        <f t="shared" ref="G564:M564" si="175">SUM(G561:G562)*$E$564</f>
        <v>4089665.7901656595</v>
      </c>
      <c r="H564" s="15">
        <f t="shared" si="175"/>
        <v>1222324.701519669</v>
      </c>
      <c r="I564" s="15">
        <f t="shared" si="175"/>
        <v>-329.48711526335427</v>
      </c>
      <c r="J564" s="15">
        <f t="shared" si="175"/>
        <v>-27746.694128051349</v>
      </c>
      <c r="K564" s="15">
        <f t="shared" si="175"/>
        <v>59295.060818435704</v>
      </c>
      <c r="L564" s="15">
        <f t="shared" si="175"/>
        <v>0</v>
      </c>
      <c r="M564" s="15">
        <f t="shared" si="175"/>
        <v>0</v>
      </c>
      <c r="N564" s="15">
        <f t="shared" ref="N564:T564" si="176">SUM(N561:N562)*0.3719143</f>
        <v>0</v>
      </c>
      <c r="O564" s="15">
        <f t="shared" si="176"/>
        <v>0</v>
      </c>
      <c r="P564" s="15">
        <f t="shared" si="176"/>
        <v>0</v>
      </c>
      <c r="Q564" s="15">
        <f t="shared" si="176"/>
        <v>0</v>
      </c>
      <c r="R564" s="15">
        <f t="shared" si="176"/>
        <v>0</v>
      </c>
      <c r="S564" s="15">
        <f t="shared" si="176"/>
        <v>0</v>
      </c>
      <c r="T564" s="15">
        <f t="shared" si="176"/>
        <v>0</v>
      </c>
      <c r="U564" s="148">
        <f>SUM(G564:M564)</f>
        <v>5343209.3712604502</v>
      </c>
      <c r="V564" s="133" t="str">
        <f>IF(ABS(F564-U564)&lt;0.01,"ok","err")</f>
        <v>ok</v>
      </c>
    </row>
    <row r="565" spans="1:24" x14ac:dyDescent="0.25">
      <c r="A565" s="134" t="s">
        <v>858</v>
      </c>
      <c r="E565" s="140" t="s">
        <v>322</v>
      </c>
      <c r="F565" s="15">
        <v>31252.512851616171</v>
      </c>
      <c r="G565" s="15">
        <f t="shared" ref="G565:J566" si="177">(VLOOKUP($E565,$D$6:$AI$659,G$2,)/VLOOKUP($E565,$D$6:$AI$659,3,))*$F565</f>
        <v>26651.106563614263</v>
      </c>
      <c r="H565" s="15">
        <f t="shared" si="177"/>
        <v>4486.5742076341485</v>
      </c>
      <c r="I565" s="15">
        <f t="shared" si="177"/>
        <v>48.108976504895828</v>
      </c>
      <c r="J565" s="15">
        <f t="shared" si="177"/>
        <v>1.079079846838785</v>
      </c>
      <c r="K565" s="15">
        <f>(VLOOKUP($E565,$D$6:$AI$659,8,)/VLOOKUP($E565,$D$6:$AI$659,3,))*$F565</f>
        <v>65.644024016026094</v>
      </c>
      <c r="L565" s="15">
        <f>(VLOOKUP($E565,$D$6:$AI$659,L$2,)/VLOOKUP($E565,$D$6:$AI$659,3,))*$F565</f>
        <v>0</v>
      </c>
      <c r="M565" s="15">
        <f>(VLOOKUP($E565,$D$6:$AI$659,M$2,)/VLOOKUP($E565,$D$6:$AI$659,3,))*$F565</f>
        <v>0</v>
      </c>
      <c r="N565" s="15">
        <f>(VLOOKUP($E565,$D$6:$AI$659,11,)/VLOOKUP($E565,$D$6:$AI$659,3,))*$F565</f>
        <v>0</v>
      </c>
      <c r="O565" s="15">
        <f t="shared" ref="O565:Q566" si="178">(VLOOKUP($E565,$D$6:$AI$659,O$2,)/VLOOKUP($E565,$D$6:$AI$659,3,))*$F565</f>
        <v>0</v>
      </c>
      <c r="P565" s="15">
        <f t="shared" si="178"/>
        <v>0</v>
      </c>
      <c r="Q565" s="15">
        <f t="shared" si="178"/>
        <v>0</v>
      </c>
      <c r="R565" s="15">
        <f>(VLOOKUP($E565,$D$6:$AI$659,15,)/VLOOKUP($E565,$D$6:$AI$659,3,))*$F565</f>
        <v>0</v>
      </c>
      <c r="S565" s="15">
        <f>(VLOOKUP($E565,$D$6:$AI$659,16,)/VLOOKUP($E565,$D$6:$AI$659,3,))*$F565</f>
        <v>0</v>
      </c>
      <c r="T565" s="15">
        <f>(VLOOKUP($E565,$D$6:$AI$659,17,)/VLOOKUP($E565,$D$6:$AI$659,3,))*$F565</f>
        <v>0</v>
      </c>
      <c r="U565" s="148">
        <f>SUM(G565:M565)</f>
        <v>31252.512851616171</v>
      </c>
      <c r="V565" s="133" t="str">
        <f>IF(ABS(F565-U565)&lt;0.01,"ok","err")</f>
        <v>ok</v>
      </c>
    </row>
    <row r="566" spans="1:24" x14ac:dyDescent="0.25">
      <c r="A566" s="134" t="s">
        <v>859</v>
      </c>
      <c r="E566" s="140" t="s">
        <v>773</v>
      </c>
      <c r="F566" s="15">
        <v>26841.206834065044</v>
      </c>
      <c r="G566" s="15">
        <f t="shared" si="177"/>
        <v>17688.561307113832</v>
      </c>
      <c r="H566" s="15">
        <f t="shared" si="177"/>
        <v>7453.8242061512865</v>
      </c>
      <c r="I566" s="15">
        <f t="shared" si="177"/>
        <v>968.00143518917287</v>
      </c>
      <c r="J566" s="15">
        <f t="shared" si="177"/>
        <v>88.947330692977616</v>
      </c>
      <c r="K566" s="15">
        <f>(VLOOKUP($E566,$D$6:$AI$659,8,)/VLOOKUP($E566,$D$6:$AI$659,3,))*$F566</f>
        <v>641.87255491777887</v>
      </c>
      <c r="L566" s="15">
        <f>(VLOOKUP($E566,$D$6:$AI$659,L$2,)/VLOOKUP($E566,$D$6:$AI$659,3,))*$F566</f>
        <v>0</v>
      </c>
      <c r="M566" s="15">
        <f>(VLOOKUP($E566,$D$6:$AI$659,M$2,)/VLOOKUP($E566,$D$6:$AI$659,3,))*$F566</f>
        <v>0</v>
      </c>
      <c r="N566" s="15">
        <f>(VLOOKUP($E566,$D$6:$AI$659,11,)/VLOOKUP($E566,$D$6:$AI$659,3,))*$F566</f>
        <v>0</v>
      </c>
      <c r="O566" s="15">
        <f t="shared" si="178"/>
        <v>0</v>
      </c>
      <c r="P566" s="15">
        <f t="shared" si="178"/>
        <v>0</v>
      </c>
      <c r="Q566" s="15">
        <f t="shared" si="178"/>
        <v>0</v>
      </c>
      <c r="R566" s="15">
        <f>(VLOOKUP($E566,$D$6:$AI$659,15,)/VLOOKUP($E566,$D$6:$AI$659,3,))*$F566</f>
        <v>0</v>
      </c>
      <c r="S566" s="15">
        <f>(VLOOKUP($E566,$D$6:$AI$659,16,)/VLOOKUP($E566,$D$6:$AI$659,3,))*$F566</f>
        <v>0</v>
      </c>
      <c r="T566" s="15">
        <f>(VLOOKUP($E566,$D$6:$AI$659,17,)/VLOOKUP($E566,$D$6:$AI$659,3,))*$F566</f>
        <v>0</v>
      </c>
      <c r="U566" s="148">
        <f>SUM(G566:M566)</f>
        <v>26841.206834065048</v>
      </c>
      <c r="V566" s="133" t="str">
        <f>IF(ABS(F566-U566)&lt;0.01,"ok","err")</f>
        <v>ok</v>
      </c>
      <c r="X566" s="161"/>
    </row>
    <row r="567" spans="1:24" x14ac:dyDescent="0.25">
      <c r="U567" s="148"/>
    </row>
    <row r="568" spans="1:24" x14ac:dyDescent="0.25">
      <c r="A568" s="134" t="s">
        <v>364</v>
      </c>
      <c r="F568" s="15">
        <f>F559+SUM(F561:F562)-SUM(F564:F566)</f>
        <v>51201313.202091783</v>
      </c>
      <c r="G568" s="15">
        <f t="shared" ref="G568:L568" si="179">G559+SUM(G561:G562)-SUM(G564:G566)</f>
        <v>37016758.881872758</v>
      </c>
      <c r="H568" s="15">
        <f t="shared" si="179"/>
        <v>11348705.123117529</v>
      </c>
      <c r="I568" s="15">
        <f t="shared" si="179"/>
        <v>1661590.3943495858</v>
      </c>
      <c r="J568" s="15">
        <f t="shared" si="179"/>
        <v>87229.630795699268</v>
      </c>
      <c r="K568" s="15">
        <f t="shared" si="179"/>
        <v>1087029.1719562612</v>
      </c>
      <c r="L568" s="15">
        <f t="shared" si="179"/>
        <v>0</v>
      </c>
      <c r="M568" s="15">
        <f t="shared" ref="M568:T568" si="180">M559+SUM(M561:M562)-M564</f>
        <v>0</v>
      </c>
      <c r="N568" s="15">
        <f t="shared" si="180"/>
        <v>-85274.140720077397</v>
      </c>
      <c r="O568" s="15">
        <f t="shared" si="180"/>
        <v>0</v>
      </c>
      <c r="P568" s="15">
        <f t="shared" si="180"/>
        <v>0</v>
      </c>
      <c r="Q568" s="15">
        <f t="shared" si="180"/>
        <v>0</v>
      </c>
      <c r="R568" s="15">
        <f t="shared" si="180"/>
        <v>0</v>
      </c>
      <c r="S568" s="15">
        <f t="shared" si="180"/>
        <v>0</v>
      </c>
      <c r="T568" s="15">
        <f t="shared" si="180"/>
        <v>0</v>
      </c>
      <c r="U568" s="148">
        <f>SUM(G568:M568)</f>
        <v>51201313.202091835</v>
      </c>
      <c r="V568" s="133" t="str">
        <f>IF(ABS(F568-U568)&lt;2,"ok","err")</f>
        <v>ok</v>
      </c>
    </row>
    <row r="569" spans="1:24" x14ac:dyDescent="0.25">
      <c r="U569" s="148"/>
    </row>
    <row r="570" spans="1:24" x14ac:dyDescent="0.25">
      <c r="A570" s="134" t="s">
        <v>698</v>
      </c>
      <c r="F570" s="148">
        <f t="shared" ref="F570:M570" si="181">F526</f>
        <v>712384727.09200513</v>
      </c>
      <c r="G570" s="148">
        <f t="shared" si="181"/>
        <v>471078648.23695004</v>
      </c>
      <c r="H570" s="148">
        <f t="shared" si="181"/>
        <v>195659865.6677227</v>
      </c>
      <c r="I570" s="148">
        <f t="shared" si="181"/>
        <v>17524372.844614524</v>
      </c>
      <c r="J570" s="148">
        <f t="shared" si="181"/>
        <v>2084755.6696348684</v>
      </c>
      <c r="K570" s="148">
        <f t="shared" si="181"/>
        <v>26037084.67308291</v>
      </c>
      <c r="L570" s="148">
        <f t="shared" si="181"/>
        <v>0</v>
      </c>
      <c r="M570" s="148">
        <f t="shared" si="181"/>
        <v>0</v>
      </c>
      <c r="N570" s="148">
        <f t="shared" ref="N570:T570" si="182">N523</f>
        <v>1469038.9635557639</v>
      </c>
      <c r="O570" s="148">
        <f t="shared" si="182"/>
        <v>0</v>
      </c>
      <c r="P570" s="148">
        <f t="shared" si="182"/>
        <v>0</v>
      </c>
      <c r="Q570" s="148">
        <f t="shared" si="182"/>
        <v>0</v>
      </c>
      <c r="R570" s="148">
        <f t="shared" si="182"/>
        <v>0</v>
      </c>
      <c r="S570" s="148">
        <f t="shared" si="182"/>
        <v>0</v>
      </c>
      <c r="T570" s="148">
        <f t="shared" si="182"/>
        <v>0</v>
      </c>
      <c r="U570" s="148">
        <f>SUM(G570:M570)</f>
        <v>712384727.09200501</v>
      </c>
      <c r="V570" s="133" t="str">
        <f>IF(ABS(F570-U570)&lt;0.01,"ok","err")</f>
        <v>ok</v>
      </c>
    </row>
    <row r="571" spans="1:24" ht="16.5" thickBot="1" x14ac:dyDescent="0.3">
      <c r="U571" s="148"/>
    </row>
    <row r="572" spans="1:24" ht="16.5" thickBot="1" x14ac:dyDescent="0.3">
      <c r="A572" s="203" t="s">
        <v>753</v>
      </c>
      <c r="B572" s="154"/>
      <c r="C572" s="154"/>
      <c r="D572" s="154"/>
      <c r="E572" s="154"/>
      <c r="F572" s="155">
        <f>F568/F570</f>
        <v>7.1873120316740147E-2</v>
      </c>
      <c r="G572" s="155">
        <f t="shared" ref="G572:Q572" si="183">G568/G570</f>
        <v>7.8578723574950757E-2</v>
      </c>
      <c r="H572" s="155">
        <f t="shared" si="183"/>
        <v>5.8002212586562581E-2</v>
      </c>
      <c r="I572" s="155">
        <f t="shared" si="183"/>
        <v>9.481596911242475E-2</v>
      </c>
      <c r="J572" s="155">
        <f t="shared" si="183"/>
        <v>4.1841656586537539E-2</v>
      </c>
      <c r="K572" s="155">
        <f t="shared" si="183"/>
        <v>4.1749265926074662E-2</v>
      </c>
      <c r="L572" s="155" t="e">
        <f t="shared" si="183"/>
        <v>#DIV/0!</v>
      </c>
      <c r="M572" s="155" t="e">
        <f>M568/M570</f>
        <v>#DIV/0!</v>
      </c>
      <c r="N572" s="160">
        <v>0</v>
      </c>
      <c r="O572" s="160" t="e">
        <f t="shared" si="183"/>
        <v>#DIV/0!</v>
      </c>
      <c r="P572" s="160" t="e">
        <f t="shared" si="183"/>
        <v>#DIV/0!</v>
      </c>
      <c r="Q572" s="160" t="e">
        <f t="shared" si="183"/>
        <v>#DIV/0!</v>
      </c>
      <c r="R572" s="160"/>
      <c r="S572" s="160"/>
      <c r="T572" s="160"/>
      <c r="U572" s="148"/>
    </row>
    <row r="573" spans="1:24" x14ac:dyDescent="0.25">
      <c r="G573" s="151"/>
      <c r="H573" s="151"/>
      <c r="I573" s="15"/>
      <c r="J573" s="151"/>
      <c r="K573" s="151"/>
      <c r="L573" s="151"/>
      <c r="M573" s="151"/>
      <c r="P573" s="148"/>
      <c r="U573" s="148"/>
    </row>
    <row r="574" spans="1:24" x14ac:dyDescent="0.25">
      <c r="D574" s="148"/>
      <c r="F574" s="151"/>
      <c r="G574" s="148"/>
      <c r="H574" s="148"/>
      <c r="I574" s="148"/>
      <c r="J574" s="148"/>
      <c r="K574" s="148"/>
      <c r="L574" s="148"/>
      <c r="M574" s="151"/>
      <c r="P574" s="148"/>
      <c r="U574" s="148"/>
    </row>
    <row r="575" spans="1:24" x14ac:dyDescent="0.25">
      <c r="A575" s="150"/>
      <c r="F575" s="15"/>
      <c r="G575" s="151"/>
      <c r="H575" s="15"/>
      <c r="I575" s="15"/>
      <c r="J575" s="15"/>
      <c r="K575" s="15"/>
      <c r="L575" s="15"/>
      <c r="U575" s="148"/>
    </row>
    <row r="576" spans="1:24" x14ac:dyDescent="0.25">
      <c r="U576" s="148"/>
    </row>
    <row r="577" spans="1:23" x14ac:dyDescent="0.25">
      <c r="A577" s="145" t="s">
        <v>225</v>
      </c>
      <c r="U577" s="148"/>
    </row>
    <row r="578" spans="1:23" x14ac:dyDescent="0.25">
      <c r="U578" s="148"/>
    </row>
    <row r="579" spans="1:23" x14ac:dyDescent="0.25">
      <c r="A579" s="134" t="s">
        <v>2</v>
      </c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</row>
    <row r="580" spans="1:23" x14ac:dyDescent="0.25">
      <c r="A580" s="140" t="s">
        <v>455</v>
      </c>
      <c r="D580" s="140" t="s">
        <v>311</v>
      </c>
      <c r="F580" s="15">
        <v>31987084.649387419</v>
      </c>
      <c r="G580" s="15">
        <v>19516321.910371594</v>
      </c>
      <c r="H580" s="15">
        <v>10137905.826085169</v>
      </c>
      <c r="I580" s="15">
        <f>1948733.41186559+7.2</f>
        <v>1948740.6118655899</v>
      </c>
      <c r="J580" s="15">
        <v>384116.30106506636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0</v>
      </c>
      <c r="Q580" s="15">
        <v>0</v>
      </c>
      <c r="R580" s="15"/>
      <c r="S580" s="15"/>
      <c r="T580" s="15"/>
      <c r="U580" s="15">
        <f>SUM(G580:M580)</f>
        <v>31987084.649387419</v>
      </c>
      <c r="V580" s="162" t="str">
        <f>IF(ABS(F580-U580)&lt;0.01,"ok","err")</f>
        <v>ok</v>
      </c>
    </row>
    <row r="581" spans="1:23" x14ac:dyDescent="0.25">
      <c r="A581" s="161"/>
      <c r="F581" s="15"/>
      <c r="G581" s="163">
        <f>G580/$F580</f>
        <v>0.61013131156813161</v>
      </c>
      <c r="H581" s="163">
        <f>H580/$F580</f>
        <v>0.31693747452159005</v>
      </c>
      <c r="I581" s="163">
        <f>I580/$F580</f>
        <v>6.0922732822508409E-2</v>
      </c>
      <c r="J581" s="163">
        <f t="shared" ref="J581:L581" si="184">J580/$F580</f>
        <v>1.2008481087769984E-2</v>
      </c>
      <c r="K581" s="163">
        <f t="shared" si="184"/>
        <v>0</v>
      </c>
      <c r="L581" s="163">
        <f t="shared" si="184"/>
        <v>0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62"/>
    </row>
    <row r="582" spans="1:23" x14ac:dyDescent="0.25">
      <c r="A582" s="140" t="s">
        <v>3</v>
      </c>
      <c r="D582" s="140" t="s">
        <v>313</v>
      </c>
      <c r="E582" s="15"/>
      <c r="F582" s="164">
        <f>SUM(G582:J582)+L582+M582</f>
        <v>20188040.564992484</v>
      </c>
      <c r="G582" s="15">
        <v>13096059.168414768</v>
      </c>
      <c r="H582" s="15">
        <v>6232264.8289532159</v>
      </c>
      <c r="I582" s="15">
        <v>859716.56762449816</v>
      </c>
      <c r="J582" s="15"/>
      <c r="K582" s="16">
        <v>0</v>
      </c>
      <c r="L582" s="15"/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/>
      <c r="S582" s="15"/>
      <c r="T582" s="15"/>
      <c r="U582" s="15">
        <f>SUM(G582:M582)</f>
        <v>20188040.564992484</v>
      </c>
      <c r="V582" s="162" t="str">
        <f>IF(ABS(F582-U582)&lt;0.01,"ok","err")</f>
        <v>ok</v>
      </c>
    </row>
    <row r="583" spans="1:23" x14ac:dyDescent="0.25">
      <c r="A583" s="140" t="s">
        <v>4</v>
      </c>
      <c r="D583" s="140" t="s">
        <v>315</v>
      </c>
      <c r="F583" s="164">
        <f>F582</f>
        <v>20188040.564992484</v>
      </c>
      <c r="G583" s="15">
        <f t="shared" ref="G583:N583" si="185">G582</f>
        <v>13096059.168414768</v>
      </c>
      <c r="H583" s="15">
        <f t="shared" si="185"/>
        <v>6232264.8289532159</v>
      </c>
      <c r="I583" s="15">
        <f t="shared" si="185"/>
        <v>859716.56762449816</v>
      </c>
      <c r="J583" s="15">
        <f t="shared" si="185"/>
        <v>0</v>
      </c>
      <c r="K583" s="15">
        <f t="shared" si="185"/>
        <v>0</v>
      </c>
      <c r="L583" s="15">
        <f t="shared" si="185"/>
        <v>0</v>
      </c>
      <c r="M583" s="15">
        <f t="shared" si="185"/>
        <v>0</v>
      </c>
      <c r="N583" s="15">
        <f t="shared" si="185"/>
        <v>0</v>
      </c>
      <c r="O583" s="15">
        <f>O582</f>
        <v>0</v>
      </c>
      <c r="P583" s="15">
        <f>P582</f>
        <v>0</v>
      </c>
      <c r="Q583" s="15">
        <f>Q582</f>
        <v>0</v>
      </c>
      <c r="R583" s="15"/>
      <c r="S583" s="15"/>
      <c r="T583" s="15"/>
      <c r="U583" s="15">
        <f>SUM(G583:M583)</f>
        <v>20188040.564992484</v>
      </c>
      <c r="V583" s="162" t="str">
        <f>IF(ABS(F583-U583)&lt;0.01,"ok","err")</f>
        <v>ok</v>
      </c>
    </row>
    <row r="584" spans="1:23" x14ac:dyDescent="0.25">
      <c r="A584" s="140" t="s">
        <v>5</v>
      </c>
      <c r="D584" s="140" t="s">
        <v>316</v>
      </c>
      <c r="F584" s="164">
        <v>44300973.146566719</v>
      </c>
      <c r="G584" s="15">
        <f>G580</f>
        <v>19516321.910371594</v>
      </c>
      <c r="H584" s="15">
        <f t="shared" ref="H584:M584" si="186">H580</f>
        <v>10137905.826085169</v>
      </c>
      <c r="I584" s="15">
        <f t="shared" si="186"/>
        <v>1948740.6118655899</v>
      </c>
      <c r="J584" s="15">
        <f t="shared" si="186"/>
        <v>384116.30106506636</v>
      </c>
      <c r="K584" s="15">
        <v>12313888.497179303</v>
      </c>
      <c r="L584" s="15">
        <f t="shared" si="186"/>
        <v>0</v>
      </c>
      <c r="M584" s="15">
        <f t="shared" si="186"/>
        <v>0</v>
      </c>
      <c r="N584" s="15">
        <f>N580</f>
        <v>0</v>
      </c>
      <c r="O584" s="15">
        <f>O580</f>
        <v>0</v>
      </c>
      <c r="P584" s="15">
        <f>P580</f>
        <v>0</v>
      </c>
      <c r="Q584" s="15">
        <f>Q580</f>
        <v>0</v>
      </c>
      <c r="R584" s="15"/>
      <c r="S584" s="15"/>
      <c r="T584" s="15"/>
      <c r="U584" s="15">
        <f>SUM(G584:M584)</f>
        <v>44300973.146566719</v>
      </c>
      <c r="V584" s="162" t="str">
        <f>IF(ABS(F584-U584)&lt;0.01,"ok","err")</f>
        <v>ok</v>
      </c>
    </row>
    <row r="585" spans="1:23" x14ac:dyDescent="0.25">
      <c r="A585" s="140" t="s">
        <v>657</v>
      </c>
      <c r="F585" s="164">
        <v>44300973.146566719</v>
      </c>
      <c r="G585" s="164">
        <f t="shared" ref="G585:M585" si="187">G584</f>
        <v>19516321.910371594</v>
      </c>
      <c r="H585" s="164">
        <f t="shared" si="187"/>
        <v>10137905.826085169</v>
      </c>
      <c r="I585" s="164">
        <f t="shared" si="187"/>
        <v>1948740.6118655899</v>
      </c>
      <c r="J585" s="164">
        <f t="shared" si="187"/>
        <v>384116.30106506636</v>
      </c>
      <c r="K585" s="164">
        <f t="shared" si="187"/>
        <v>12313888.497179303</v>
      </c>
      <c r="L585" s="164">
        <f t="shared" si="187"/>
        <v>0</v>
      </c>
      <c r="M585" s="164">
        <f t="shared" si="187"/>
        <v>0</v>
      </c>
      <c r="N585" s="15">
        <v>0</v>
      </c>
      <c r="O585" s="15">
        <v>0</v>
      </c>
      <c r="P585" s="15">
        <v>0</v>
      </c>
      <c r="Q585" s="15">
        <v>0</v>
      </c>
      <c r="R585" s="15"/>
      <c r="S585" s="15"/>
      <c r="T585" s="15"/>
      <c r="U585" s="15">
        <f>SUM(G585:M585)</f>
        <v>44300973.146566719</v>
      </c>
      <c r="V585" s="162" t="str">
        <f>IF(ABS(F585-U585)&lt;0.01,"ok","err")</f>
        <v>ok</v>
      </c>
    </row>
    <row r="586" spans="1:23" x14ac:dyDescent="0.25">
      <c r="A586" s="161"/>
      <c r="U586" s="15">
        <f>+F585-U585</f>
        <v>0</v>
      </c>
      <c r="V586" s="162"/>
    </row>
    <row r="587" spans="1:23" x14ac:dyDescent="0.25">
      <c r="A587" s="134" t="s">
        <v>1</v>
      </c>
      <c r="U587" s="15"/>
    </row>
    <row r="588" spans="1:23" x14ac:dyDescent="0.25">
      <c r="A588" s="140" t="s">
        <v>455</v>
      </c>
      <c r="D588" s="140" t="s">
        <v>310</v>
      </c>
      <c r="F588" s="15">
        <f>SUM(G588:M588)</f>
        <v>466311.42316766304</v>
      </c>
      <c r="G588" s="15">
        <v>308336.73558260128</v>
      </c>
      <c r="H588" s="15">
        <v>140916.59292402765</v>
      </c>
      <c r="I588" s="15">
        <v>13941.820402562018</v>
      </c>
      <c r="J588" s="15">
        <v>3116.2742584720804</v>
      </c>
      <c r="K588" s="15">
        <v>0</v>
      </c>
      <c r="L588" s="15">
        <v>0</v>
      </c>
      <c r="M588" s="15">
        <v>0</v>
      </c>
      <c r="N588" s="15">
        <v>0</v>
      </c>
      <c r="O588" s="15">
        <v>0</v>
      </c>
      <c r="P588" s="15">
        <v>0</v>
      </c>
      <c r="Q588" s="15">
        <v>0</v>
      </c>
      <c r="R588" s="15"/>
      <c r="S588" s="15"/>
      <c r="T588" s="15"/>
      <c r="U588" s="15">
        <f>SUM(G588:M588)</f>
        <v>466311.42316766304</v>
      </c>
      <c r="V588" s="162" t="str">
        <f>IF(ABS(F588-U588)&lt;0.01,"ok","err")</f>
        <v>ok</v>
      </c>
      <c r="W588" s="161"/>
    </row>
    <row r="589" spans="1:23" x14ac:dyDescent="0.25">
      <c r="A589" s="140" t="s">
        <v>3</v>
      </c>
      <c r="D589" s="140" t="s">
        <v>312</v>
      </c>
      <c r="F589" s="15">
        <f>SUM(G589:M589)</f>
        <v>11840000</v>
      </c>
      <c r="G589" s="15">
        <v>7885865.8631999996</v>
      </c>
      <c r="H589" s="15">
        <v>3548830.9071999998</v>
      </c>
      <c r="I589" s="15">
        <v>301991.41200000001</v>
      </c>
      <c r="J589" s="15"/>
      <c r="K589" s="15">
        <v>103311.81759999999</v>
      </c>
      <c r="L589" s="15"/>
      <c r="M589" s="15"/>
      <c r="N589" s="15">
        <f>J589+K589</f>
        <v>103311.81759999999</v>
      </c>
      <c r="O589" s="15"/>
      <c r="P589" s="15"/>
      <c r="Q589" s="15">
        <v>0</v>
      </c>
      <c r="R589" s="15"/>
      <c r="S589" s="15"/>
      <c r="T589" s="15"/>
      <c r="U589" s="15">
        <f>SUM(G589:M589)</f>
        <v>11840000</v>
      </c>
      <c r="V589" s="162" t="str">
        <f>IF(ABS(F589-U589)&lt;0.01,"ok","err")</f>
        <v>ok</v>
      </c>
    </row>
    <row r="590" spans="1:23" x14ac:dyDescent="0.25">
      <c r="F590" s="15"/>
      <c r="G590" s="163">
        <f>G589/$F589</f>
        <v>0.66603596817567567</v>
      </c>
      <c r="H590" s="163">
        <f>H589/$F589</f>
        <v>0.29973234013513511</v>
      </c>
      <c r="I590" s="163">
        <f>I589/$F589</f>
        <v>2.5506031418918919E-2</v>
      </c>
      <c r="J590" s="163"/>
      <c r="K590" s="163">
        <f>K589/$F589</f>
        <v>8.7256602702702694E-3</v>
      </c>
      <c r="L590" s="163"/>
      <c r="M590" s="163"/>
      <c r="N590" s="15"/>
      <c r="O590" s="15"/>
      <c r="P590" s="15"/>
      <c r="Q590" s="15"/>
      <c r="R590" s="15"/>
      <c r="S590" s="15"/>
      <c r="T590" s="15"/>
      <c r="U590" s="15"/>
      <c r="V590" s="162"/>
    </row>
    <row r="591" spans="1:23" x14ac:dyDescent="0.25">
      <c r="A591" s="140" t="s">
        <v>866</v>
      </c>
      <c r="D591" s="140" t="s">
        <v>314</v>
      </c>
      <c r="F591" s="15">
        <f>F589</f>
        <v>11840000</v>
      </c>
      <c r="G591" s="15">
        <f>G589</f>
        <v>7885865.8631999996</v>
      </c>
      <c r="H591" s="15">
        <f>H589</f>
        <v>3548830.9071999998</v>
      </c>
      <c r="I591" s="15">
        <f>I589</f>
        <v>301991.41200000001</v>
      </c>
      <c r="J591" s="15">
        <f t="shared" ref="J591:Q591" si="188">J589</f>
        <v>0</v>
      </c>
      <c r="K591" s="15">
        <f t="shared" si="188"/>
        <v>103311.81759999999</v>
      </c>
      <c r="L591" s="15">
        <f t="shared" si="188"/>
        <v>0</v>
      </c>
      <c r="M591" s="15">
        <f>M589</f>
        <v>0</v>
      </c>
      <c r="N591" s="15">
        <f t="shared" si="188"/>
        <v>103311.81759999999</v>
      </c>
      <c r="O591" s="15">
        <f t="shared" si="188"/>
        <v>0</v>
      </c>
      <c r="P591" s="15">
        <f t="shared" si="188"/>
        <v>0</v>
      </c>
      <c r="Q591" s="15">
        <f t="shared" si="188"/>
        <v>0</v>
      </c>
      <c r="R591" s="15"/>
      <c r="S591" s="15"/>
      <c r="T591" s="15"/>
      <c r="U591" s="15">
        <f>SUM(G591:M591)</f>
        <v>11840000</v>
      </c>
      <c r="V591" s="162" t="str">
        <f>IF(ABS(F591-U591)&lt;0.01,"ok","err")</f>
        <v>ok</v>
      </c>
    </row>
    <row r="592" spans="1:23" x14ac:dyDescent="0.25">
      <c r="A592" s="140" t="s">
        <v>324</v>
      </c>
      <c r="D592" s="140" t="s">
        <v>317</v>
      </c>
      <c r="F592" s="15">
        <v>567935.02609289566</v>
      </c>
      <c r="G592" s="15">
        <f t="shared" ref="G592:M592" si="189">G588</f>
        <v>308336.73558260128</v>
      </c>
      <c r="H592" s="15">
        <f t="shared" si="189"/>
        <v>140916.59292402765</v>
      </c>
      <c r="I592" s="15">
        <f t="shared" si="189"/>
        <v>13941.820402562018</v>
      </c>
      <c r="J592" s="15">
        <f t="shared" si="189"/>
        <v>3116.2742584720804</v>
      </c>
      <c r="K592" s="15">
        <v>101623.60292523264</v>
      </c>
      <c r="L592" s="15">
        <f t="shared" si="189"/>
        <v>0</v>
      </c>
      <c r="M592" s="15">
        <f t="shared" si="189"/>
        <v>0</v>
      </c>
      <c r="N592" s="15">
        <v>0</v>
      </c>
      <c r="O592" s="15">
        <f>O588</f>
        <v>0</v>
      </c>
      <c r="P592" s="15">
        <f>P588</f>
        <v>0</v>
      </c>
      <c r="Q592" s="15">
        <f>Q588</f>
        <v>0</v>
      </c>
      <c r="R592" s="15"/>
      <c r="S592" s="15"/>
      <c r="T592" s="15"/>
      <c r="U592" s="15">
        <f>SUM(G592:M592)</f>
        <v>567935.02609289566</v>
      </c>
      <c r="V592" s="162" t="str">
        <f>IF(ABS(F592-U592)&lt;0.01,"ok","err")</f>
        <v>ok</v>
      </c>
    </row>
    <row r="593" spans="1:22" x14ac:dyDescent="0.25">
      <c r="A593" s="140" t="s">
        <v>683</v>
      </c>
      <c r="D593" s="140" t="s">
        <v>318</v>
      </c>
      <c r="F593" s="15">
        <v>567935.02609289566</v>
      </c>
      <c r="G593" s="15">
        <f t="shared" ref="G593:P593" si="190">G592</f>
        <v>308336.73558260128</v>
      </c>
      <c r="H593" s="15">
        <f t="shared" si="190"/>
        <v>140916.59292402765</v>
      </c>
      <c r="I593" s="15">
        <f t="shared" si="190"/>
        <v>13941.820402562018</v>
      </c>
      <c r="J593" s="15">
        <f t="shared" si="190"/>
        <v>3116.2742584720804</v>
      </c>
      <c r="K593" s="15">
        <f t="shared" si="190"/>
        <v>101623.60292523264</v>
      </c>
      <c r="L593" s="15">
        <f t="shared" si="190"/>
        <v>0</v>
      </c>
      <c r="M593" s="15">
        <f t="shared" si="190"/>
        <v>0</v>
      </c>
      <c r="N593" s="15">
        <v>0</v>
      </c>
      <c r="O593" s="15">
        <f t="shared" si="190"/>
        <v>0</v>
      </c>
      <c r="P593" s="15">
        <f t="shared" si="190"/>
        <v>0</v>
      </c>
      <c r="Q593" s="15">
        <v>0</v>
      </c>
      <c r="R593" s="15"/>
      <c r="S593" s="15"/>
      <c r="T593" s="15"/>
      <c r="U593" s="15">
        <f>SUM(G593:M593)</f>
        <v>567935.02609289566</v>
      </c>
      <c r="V593" s="162" t="str">
        <f>IF(ABS(F593-U593)&lt;0.01,"ok","err")</f>
        <v>ok</v>
      </c>
    </row>
    <row r="594" spans="1:22" x14ac:dyDescent="0.25">
      <c r="A594" s="140" t="s">
        <v>682</v>
      </c>
      <c r="D594" s="140" t="s">
        <v>685</v>
      </c>
      <c r="F594" s="15">
        <f>SUM(G594:M594)</f>
        <v>480030.9164112382</v>
      </c>
      <c r="G594" s="15">
        <v>308336.73558260128</v>
      </c>
      <c r="H594" s="15">
        <v>140916.59292402765</v>
      </c>
      <c r="I594" s="15">
        <v>13033.182868315442</v>
      </c>
      <c r="J594" s="15">
        <v>2644.744121485779</v>
      </c>
      <c r="K594" s="15">
        <v>15099.660914808032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U594" s="15">
        <f>SUM(G594:M594)</f>
        <v>480030.9164112382</v>
      </c>
      <c r="V594" s="162" t="str">
        <f>IF(ABS(F594-U594)&lt;0.01,"ok","err")</f>
        <v>ok</v>
      </c>
    </row>
    <row r="595" spans="1:22" x14ac:dyDescent="0.25">
      <c r="A595" s="134" t="s">
        <v>9</v>
      </c>
      <c r="F595" s="161"/>
      <c r="G595" s="161"/>
      <c r="U595" s="15"/>
    </row>
    <row r="596" spans="1:22" x14ac:dyDescent="0.25">
      <c r="A596" s="140" t="s">
        <v>854</v>
      </c>
      <c r="D596" s="140" t="s">
        <v>319</v>
      </c>
      <c r="F596" s="15">
        <f>SUM(G596:M596)</f>
        <v>321597</v>
      </c>
      <c r="G596" s="15">
        <v>296513</v>
      </c>
      <c r="H596" s="15">
        <v>24735</v>
      </c>
      <c r="I596" s="15">
        <v>270</v>
      </c>
      <c r="J596" s="15">
        <v>6</v>
      </c>
      <c r="K596" s="15">
        <v>73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/>
      <c r="S596" s="15"/>
      <c r="T596" s="15"/>
      <c r="U596" s="15">
        <f t="shared" ref="U596:U602" si="191">SUM(G596:M596)</f>
        <v>321597</v>
      </c>
      <c r="V596" s="162" t="str">
        <f t="shared" ref="V596:V602" si="192">IF(ABS(F596-U596)&lt;0.01,"ok","err")</f>
        <v>ok</v>
      </c>
    </row>
    <row r="597" spans="1:22" x14ac:dyDescent="0.25">
      <c r="A597" s="140" t="s">
        <v>855</v>
      </c>
      <c r="D597" s="140" t="s">
        <v>684</v>
      </c>
      <c r="F597" s="15">
        <f>SUM(G597:M597)</f>
        <v>321514</v>
      </c>
      <c r="G597" s="15">
        <f>G596</f>
        <v>296513</v>
      </c>
      <c r="H597" s="15">
        <f>H596</f>
        <v>24735</v>
      </c>
      <c r="I597" s="15">
        <f>I596-6</f>
        <v>264</v>
      </c>
      <c r="J597" s="15">
        <f>J596-6</f>
        <v>0</v>
      </c>
      <c r="K597" s="15">
        <f>K596-71</f>
        <v>2</v>
      </c>
      <c r="L597" s="15">
        <v>0</v>
      </c>
      <c r="M597" s="15">
        <v>0</v>
      </c>
      <c r="N597" s="15">
        <v>0</v>
      </c>
      <c r="O597" s="15">
        <v>0</v>
      </c>
      <c r="P597" s="15">
        <v>0</v>
      </c>
      <c r="Q597" s="15">
        <v>0</v>
      </c>
      <c r="R597" s="15"/>
      <c r="S597" s="15"/>
      <c r="T597" s="15"/>
      <c r="U597" s="15">
        <f>SUM(G597:M597)</f>
        <v>321514</v>
      </c>
      <c r="V597" s="162" t="str">
        <f>IF(ABS(F597-U597)&lt;0.01,"ok","err")</f>
        <v>ok</v>
      </c>
    </row>
    <row r="598" spans="1:22" x14ac:dyDescent="0.25">
      <c r="A598" s="140" t="s">
        <v>10</v>
      </c>
      <c r="D598" s="140" t="s">
        <v>320</v>
      </c>
      <c r="F598" s="15">
        <f>F621</f>
        <v>257660226.0925</v>
      </c>
      <c r="G598" s="15">
        <f t="shared" ref="G598:T598" si="193">G621</f>
        <v>191675196.58583334</v>
      </c>
      <c r="H598" s="15">
        <f t="shared" si="193"/>
        <v>61863741.866666675</v>
      </c>
      <c r="I598" s="15">
        <f t="shared" si="193"/>
        <v>1726616.2000000002</v>
      </c>
      <c r="J598" s="15">
        <f t="shared" si="193"/>
        <v>38727.840000000004</v>
      </c>
      <c r="K598" s="15">
        <f t="shared" si="193"/>
        <v>2355943.6</v>
      </c>
      <c r="L598" s="15">
        <f t="shared" si="193"/>
        <v>0</v>
      </c>
      <c r="M598" s="15">
        <f t="shared" si="193"/>
        <v>0</v>
      </c>
      <c r="N598" s="15">
        <v>0</v>
      </c>
      <c r="O598" s="15">
        <f t="shared" si="193"/>
        <v>0</v>
      </c>
      <c r="P598" s="15">
        <f t="shared" si="193"/>
        <v>0</v>
      </c>
      <c r="Q598" s="15">
        <f t="shared" si="193"/>
        <v>0</v>
      </c>
      <c r="R598" s="15">
        <f t="shared" si="193"/>
        <v>0</v>
      </c>
      <c r="S598" s="15">
        <f t="shared" si="193"/>
        <v>0</v>
      </c>
      <c r="T598" s="15">
        <f t="shared" si="193"/>
        <v>0</v>
      </c>
      <c r="U598" s="15">
        <f t="shared" si="191"/>
        <v>257660226.0925</v>
      </c>
      <c r="V598" s="162" t="str">
        <f t="shared" si="192"/>
        <v>ok</v>
      </c>
    </row>
    <row r="599" spans="1:22" x14ac:dyDescent="0.25">
      <c r="A599" s="140" t="s">
        <v>11</v>
      </c>
      <c r="D599" s="140" t="s">
        <v>321</v>
      </c>
      <c r="F599" s="15">
        <f>Meters!K14</f>
        <v>145264686.72919413</v>
      </c>
      <c r="G599" s="15">
        <f>Meters!K6</f>
        <v>97622348.735023171</v>
      </c>
      <c r="H599" s="15">
        <f>Meters!K8</f>
        <v>40094789.788702622</v>
      </c>
      <c r="I599" s="15">
        <f>Meters!K10</f>
        <v>3295059.6351743564</v>
      </c>
      <c r="J599" s="15">
        <f>Meters!K13</f>
        <v>92996.4</v>
      </c>
      <c r="K599" s="15">
        <f>Meters!K12</f>
        <v>4159492.1702939584</v>
      </c>
      <c r="L599" s="15">
        <v>0</v>
      </c>
      <c r="M599" s="15">
        <v>0</v>
      </c>
      <c r="N599" s="15">
        <v>0</v>
      </c>
      <c r="O599" s="15">
        <v>0</v>
      </c>
      <c r="P599" s="15">
        <v>0</v>
      </c>
      <c r="Q599" s="15">
        <v>0</v>
      </c>
      <c r="R599" s="15">
        <v>0</v>
      </c>
      <c r="S599" s="15">
        <v>0</v>
      </c>
      <c r="T599" s="15">
        <v>0</v>
      </c>
      <c r="U599" s="15">
        <f t="shared" si="191"/>
        <v>145264686.72919413</v>
      </c>
      <c r="V599" s="162" t="str">
        <f t="shared" si="192"/>
        <v>ok</v>
      </c>
    </row>
    <row r="600" spans="1:22" x14ac:dyDescent="0.25">
      <c r="A600" s="140" t="s">
        <v>646</v>
      </c>
      <c r="F600" s="15">
        <v>321669.08333333337</v>
      </c>
      <c r="G600" s="15">
        <f>3556511/12</f>
        <v>296375.91666666669</v>
      </c>
      <c r="H600" s="15">
        <f>299360/12</f>
        <v>24946.666666666668</v>
      </c>
      <c r="I600" s="15">
        <f>3210/12</f>
        <v>267.5</v>
      </c>
      <c r="J600" s="15">
        <f>72/12</f>
        <v>6</v>
      </c>
      <c r="K600" s="15">
        <f>876/12</f>
        <v>73</v>
      </c>
      <c r="L600" s="15">
        <v>0</v>
      </c>
      <c r="M600" s="15">
        <v>0</v>
      </c>
      <c r="N600" s="15">
        <v>0</v>
      </c>
      <c r="O600" s="15">
        <v>0</v>
      </c>
      <c r="P600" s="15">
        <v>0</v>
      </c>
      <c r="Q600" s="15">
        <v>0</v>
      </c>
      <c r="R600" s="15"/>
      <c r="S600" s="15"/>
      <c r="T600" s="15"/>
      <c r="U600" s="15">
        <f t="shared" si="191"/>
        <v>321669.08333333337</v>
      </c>
      <c r="V600" s="162" t="str">
        <f t="shared" si="192"/>
        <v>ok</v>
      </c>
    </row>
    <row r="601" spans="1:22" x14ac:dyDescent="0.25">
      <c r="A601" s="140" t="s">
        <v>12</v>
      </c>
      <c r="D601" s="140" t="s">
        <v>322</v>
      </c>
      <c r="F601" s="15">
        <f>F602</f>
        <v>347546.25</v>
      </c>
      <c r="G601" s="15">
        <f t="shared" ref="G601:M601" si="194">G602</f>
        <v>296375.91666666669</v>
      </c>
      <c r="H601" s="15">
        <f t="shared" si="194"/>
        <v>49893.333333333336</v>
      </c>
      <c r="I601" s="15">
        <f t="shared" si="194"/>
        <v>535</v>
      </c>
      <c r="J601" s="15">
        <f t="shared" si="194"/>
        <v>12</v>
      </c>
      <c r="K601" s="15">
        <f t="shared" si="194"/>
        <v>730</v>
      </c>
      <c r="L601" s="15">
        <f t="shared" si="194"/>
        <v>0</v>
      </c>
      <c r="M601" s="15">
        <f t="shared" si="194"/>
        <v>0</v>
      </c>
      <c r="N601" s="15">
        <v>0</v>
      </c>
      <c r="O601" s="15">
        <f>O602</f>
        <v>0</v>
      </c>
      <c r="P601" s="15">
        <f>P602</f>
        <v>0</v>
      </c>
      <c r="Q601" s="15">
        <f>Q602</f>
        <v>0</v>
      </c>
      <c r="R601" s="15">
        <v>0</v>
      </c>
      <c r="S601" s="15">
        <v>0</v>
      </c>
      <c r="T601" s="15">
        <v>0</v>
      </c>
      <c r="U601" s="15">
        <f t="shared" si="191"/>
        <v>347546.25</v>
      </c>
      <c r="V601" s="162" t="str">
        <f>IF(ABS(F601-U601)&lt;0.0001,"ok","err")</f>
        <v>ok</v>
      </c>
    </row>
    <row r="602" spans="1:22" x14ac:dyDescent="0.25">
      <c r="A602" s="140" t="s">
        <v>13</v>
      </c>
      <c r="D602" s="140" t="s">
        <v>323</v>
      </c>
      <c r="F602" s="15">
        <f>U602</f>
        <v>347546.25</v>
      </c>
      <c r="G602" s="15">
        <f>G600*1</f>
        <v>296375.91666666669</v>
      </c>
      <c r="H602" s="15">
        <f>H600*2</f>
        <v>49893.333333333336</v>
      </c>
      <c r="I602" s="15">
        <f>I600*2</f>
        <v>535</v>
      </c>
      <c r="J602" s="15">
        <f>J600*2</f>
        <v>12</v>
      </c>
      <c r="K602" s="15">
        <f>K600*10</f>
        <v>730</v>
      </c>
      <c r="L602" s="15">
        <f>L600*50</f>
        <v>0</v>
      </c>
      <c r="M602" s="15">
        <f>M600*50</f>
        <v>0</v>
      </c>
      <c r="N602" s="15">
        <v>0</v>
      </c>
      <c r="O602" s="15">
        <f>O600*20</f>
        <v>0</v>
      </c>
      <c r="P602" s="15">
        <f>P600*20</f>
        <v>0</v>
      </c>
      <c r="Q602" s="15">
        <f>Q600*20</f>
        <v>0</v>
      </c>
      <c r="R602" s="15"/>
      <c r="S602" s="15"/>
      <c r="T602" s="15"/>
      <c r="U602" s="15">
        <f t="shared" si="191"/>
        <v>347546.25</v>
      </c>
      <c r="V602" s="162" t="str">
        <f t="shared" si="192"/>
        <v>ok</v>
      </c>
    </row>
    <row r="603" spans="1:22" x14ac:dyDescent="0.25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33"/>
    </row>
    <row r="604" spans="1:22" x14ac:dyDescent="0.25">
      <c r="A604" s="140" t="s">
        <v>666</v>
      </c>
      <c r="D604" s="140" t="s">
        <v>667</v>
      </c>
      <c r="F604" s="15">
        <v>993014.04</v>
      </c>
      <c r="G604" s="15">
        <v>810131.99</v>
      </c>
      <c r="H604" s="15">
        <v>165592.66</v>
      </c>
      <c r="I604" s="15">
        <v>17211.71</v>
      </c>
      <c r="J604" s="15">
        <v>77.680000000000007</v>
      </c>
      <c r="K604" s="15"/>
      <c r="L604" s="15">
        <v>0</v>
      </c>
      <c r="M604" s="15">
        <v>0</v>
      </c>
      <c r="N604" s="163">
        <v>0</v>
      </c>
      <c r="O604" s="163">
        <v>0</v>
      </c>
      <c r="P604" s="163">
        <v>0</v>
      </c>
      <c r="Q604" s="163">
        <v>0</v>
      </c>
      <c r="R604" s="15"/>
      <c r="S604" s="15"/>
      <c r="T604" s="15"/>
      <c r="U604" s="15">
        <f>SUM(G604:M604)</f>
        <v>993014.04</v>
      </c>
      <c r="V604" s="162" t="str">
        <f>IF(ABS(F604-U604)=0,"ok","err")</f>
        <v>ok</v>
      </c>
    </row>
    <row r="605" spans="1:22" x14ac:dyDescent="0.25">
      <c r="F605" s="15"/>
      <c r="G605" s="15"/>
      <c r="H605" s="15"/>
      <c r="I605" s="15"/>
      <c r="J605" s="163"/>
      <c r="K605" s="163"/>
      <c r="L605" s="163"/>
      <c r="M605" s="163"/>
      <c r="N605" s="163"/>
      <c r="O605" s="163"/>
      <c r="P605" s="163"/>
      <c r="Q605" s="163"/>
      <c r="R605" s="15"/>
      <c r="S605" s="15"/>
      <c r="T605" s="15"/>
      <c r="U605" s="15"/>
      <c r="V605" s="162"/>
    </row>
    <row r="606" spans="1:22" x14ac:dyDescent="0.25">
      <c r="A606" s="145" t="s">
        <v>663</v>
      </c>
      <c r="F606" s="15"/>
      <c r="G606" s="163"/>
      <c r="H606" s="163"/>
      <c r="I606" s="163"/>
      <c r="J606" s="163"/>
      <c r="K606" s="163"/>
      <c r="L606" s="163"/>
      <c r="M606" s="163"/>
      <c r="N606" s="15"/>
      <c r="O606" s="15"/>
      <c r="P606" s="15"/>
      <c r="Q606" s="15"/>
      <c r="R606" s="15"/>
      <c r="S606" s="15"/>
      <c r="T606" s="15"/>
      <c r="U606" s="163"/>
      <c r="V606" s="133"/>
    </row>
    <row r="607" spans="1:22" x14ac:dyDescent="0.25">
      <c r="H607" s="15"/>
      <c r="I607" s="15"/>
      <c r="J607" s="15"/>
      <c r="K607" s="15"/>
      <c r="L607" s="15"/>
      <c r="M607" s="15"/>
      <c r="U607" s="15"/>
    </row>
    <row r="608" spans="1:22" x14ac:dyDescent="0.25">
      <c r="A608" s="134" t="s">
        <v>303</v>
      </c>
      <c r="U608" s="15"/>
    </row>
    <row r="609" spans="1:24" x14ac:dyDescent="0.25">
      <c r="U609" s="15"/>
    </row>
    <row r="610" spans="1:24" x14ac:dyDescent="0.25">
      <c r="A610" s="140" t="s">
        <v>304</v>
      </c>
      <c r="D610" s="140" t="s">
        <v>308</v>
      </c>
      <c r="F610" s="148">
        <f>F517</f>
        <v>61837283.744830087</v>
      </c>
      <c r="G610" s="148">
        <f t="shared" ref="G610:Q610" si="195">G517</f>
        <v>44616228.076230884</v>
      </c>
      <c r="H610" s="148">
        <f t="shared" si="195"/>
        <v>13186602.086183619</v>
      </c>
      <c r="I610" s="148">
        <f t="shared" si="195"/>
        <v>2519882.1538286251</v>
      </c>
      <c r="J610" s="148">
        <f t="shared" si="195"/>
        <v>189396.9572647856</v>
      </c>
      <c r="K610" s="148">
        <f t="shared" si="195"/>
        <v>1325174.4713222506</v>
      </c>
      <c r="L610" s="148">
        <f t="shared" si="195"/>
        <v>0</v>
      </c>
      <c r="M610" s="148">
        <f t="shared" si="195"/>
        <v>0</v>
      </c>
      <c r="N610" s="148">
        <f t="shared" si="195"/>
        <v>-152616.01686338065</v>
      </c>
      <c r="O610" s="148">
        <f t="shared" si="195"/>
        <v>0</v>
      </c>
      <c r="P610" s="148">
        <f t="shared" si="195"/>
        <v>0</v>
      </c>
      <c r="Q610" s="148">
        <f t="shared" si="195"/>
        <v>0</v>
      </c>
      <c r="R610" s="148">
        <v>0</v>
      </c>
      <c r="S610" s="148">
        <v>0</v>
      </c>
      <c r="T610" s="148">
        <v>0</v>
      </c>
      <c r="U610" s="15">
        <f>SUM(G610:M610)</f>
        <v>61837283.744830176</v>
      </c>
      <c r="V610" s="133" t="str">
        <f>IF(ABS(F610-U610)&lt;2,"ok","err")</f>
        <v>ok</v>
      </c>
    </row>
    <row r="611" spans="1:24" x14ac:dyDescent="0.25">
      <c r="U611" s="15"/>
    </row>
    <row r="612" spans="1:24" x14ac:dyDescent="0.25">
      <c r="A612" s="140" t="s">
        <v>655</v>
      </c>
      <c r="D612" s="140" t="s">
        <v>307</v>
      </c>
      <c r="F612" s="147">
        <f t="shared" ref="F612:Q612" si="196">F460</f>
        <v>12736800.254514528</v>
      </c>
      <c r="G612" s="147">
        <f t="shared" si="196"/>
        <v>8428720.8162924889</v>
      </c>
      <c r="H612" s="147">
        <f t="shared" si="196"/>
        <v>3483857.2961074077</v>
      </c>
      <c r="I612" s="147">
        <f t="shared" si="196"/>
        <v>313171.68921562686</v>
      </c>
      <c r="J612" s="147">
        <f t="shared" si="196"/>
        <v>39972.182009515956</v>
      </c>
      <c r="K612" s="147">
        <f t="shared" si="196"/>
        <v>471078.2708894895</v>
      </c>
      <c r="L612" s="147">
        <f t="shared" si="196"/>
        <v>0</v>
      </c>
      <c r="M612" s="147">
        <f t="shared" si="196"/>
        <v>0</v>
      </c>
      <c r="N612" s="147">
        <f t="shared" si="196"/>
        <v>20834.354520685505</v>
      </c>
      <c r="O612" s="147">
        <f t="shared" si="196"/>
        <v>0</v>
      </c>
      <c r="P612" s="147">
        <f t="shared" si="196"/>
        <v>0</v>
      </c>
      <c r="Q612" s="147">
        <f t="shared" si="196"/>
        <v>0</v>
      </c>
      <c r="R612" s="147"/>
      <c r="S612" s="147"/>
      <c r="T612" s="147"/>
      <c r="U612" s="15">
        <f>SUM(G612:M612)</f>
        <v>12736800.254514528</v>
      </c>
      <c r="V612" s="133" t="str">
        <f>IF(ABS(F612-U612)&lt;0.01,"ok","err")</f>
        <v>ok</v>
      </c>
    </row>
    <row r="613" spans="1:24" x14ac:dyDescent="0.25">
      <c r="A613" s="140" t="s">
        <v>695</v>
      </c>
      <c r="F613" s="147">
        <v>0</v>
      </c>
      <c r="G613" s="15">
        <f>$F613*(G612/$F612)</f>
        <v>0</v>
      </c>
      <c r="H613" s="15">
        <f t="shared" ref="H613:Q613" si="197">$F613*(H612/$F612)</f>
        <v>0</v>
      </c>
      <c r="I613" s="15">
        <f t="shared" si="197"/>
        <v>0</v>
      </c>
      <c r="J613" s="15">
        <f t="shared" si="197"/>
        <v>0</v>
      </c>
      <c r="K613" s="15">
        <f t="shared" si="197"/>
        <v>0</v>
      </c>
      <c r="L613" s="15">
        <f t="shared" si="197"/>
        <v>0</v>
      </c>
      <c r="M613" s="15">
        <f t="shared" si="197"/>
        <v>0</v>
      </c>
      <c r="N613" s="15">
        <f t="shared" si="197"/>
        <v>0</v>
      </c>
      <c r="O613" s="15">
        <f t="shared" si="197"/>
        <v>0</v>
      </c>
      <c r="P613" s="15">
        <f t="shared" si="197"/>
        <v>0</v>
      </c>
      <c r="Q613" s="15">
        <f t="shared" si="197"/>
        <v>0</v>
      </c>
      <c r="R613" s="147"/>
      <c r="S613" s="147"/>
      <c r="T613" s="147"/>
      <c r="U613" s="15">
        <f>SUM(G613:M613)</f>
        <v>0</v>
      </c>
      <c r="V613" s="133" t="str">
        <f>IF(ABS(F613-U613)&lt;0.01,"ok","err")</f>
        <v>ok</v>
      </c>
    </row>
    <row r="614" spans="1:24" x14ac:dyDescent="0.25">
      <c r="U614" s="15"/>
    </row>
    <row r="615" spans="1:24" x14ac:dyDescent="0.25">
      <c r="A615" s="140" t="s">
        <v>303</v>
      </c>
      <c r="D615" s="140" t="s">
        <v>306</v>
      </c>
      <c r="F615" s="148">
        <f>F610-F612-F613</f>
        <v>49100483.490315557</v>
      </c>
      <c r="G615" s="148">
        <f t="shared" ref="G615:Q615" si="198">G610-G612-G613</f>
        <v>36187507.259938397</v>
      </c>
      <c r="H615" s="148">
        <f t="shared" si="198"/>
        <v>9702744.7900762111</v>
      </c>
      <c r="I615" s="148">
        <f t="shared" si="198"/>
        <v>2206710.4646129981</v>
      </c>
      <c r="J615" s="148">
        <f t="shared" si="198"/>
        <v>149424.77525526963</v>
      </c>
      <c r="K615" s="148">
        <f t="shared" si="198"/>
        <v>854096.20043276111</v>
      </c>
      <c r="L615" s="148">
        <f t="shared" si="198"/>
        <v>0</v>
      </c>
      <c r="M615" s="148">
        <f t="shared" si="198"/>
        <v>0</v>
      </c>
      <c r="N615" s="148">
        <f t="shared" si="198"/>
        <v>-173450.37138406615</v>
      </c>
      <c r="O615" s="148">
        <f t="shared" si="198"/>
        <v>0</v>
      </c>
      <c r="P615" s="148">
        <f t="shared" si="198"/>
        <v>0</v>
      </c>
      <c r="Q615" s="148">
        <f t="shared" si="198"/>
        <v>0</v>
      </c>
      <c r="R615" s="148"/>
      <c r="S615" s="148"/>
      <c r="T615" s="148"/>
      <c r="U615" s="15">
        <f>SUM(G615:M615)</f>
        <v>49100483.490315638</v>
      </c>
      <c r="V615" s="133" t="str">
        <f>IF(ABS(F615-U615)&lt;2,"ok","err")</f>
        <v>ok</v>
      </c>
    </row>
    <row r="616" spans="1:24" x14ac:dyDescent="0.25">
      <c r="U616" s="15"/>
    </row>
    <row r="617" spans="1:24" x14ac:dyDescent="0.25">
      <c r="A617" s="140" t="s">
        <v>670</v>
      </c>
      <c r="D617" s="140" t="s">
        <v>671</v>
      </c>
      <c r="F617" s="148">
        <f t="shared" ref="F617:Q617" si="199">F119+F122+F129+F132+F135</f>
        <v>36770314.936386257</v>
      </c>
      <c r="G617" s="148">
        <f t="shared" si="199"/>
        <v>22896842.741570294</v>
      </c>
      <c r="H617" s="148">
        <f t="shared" si="199"/>
        <v>10044932.389379792</v>
      </c>
      <c r="I617" s="148">
        <f t="shared" si="199"/>
        <v>1119300.3525325847</v>
      </c>
      <c r="J617" s="148">
        <f t="shared" si="199"/>
        <v>190928.98793025943</v>
      </c>
      <c r="K617" s="148">
        <f t="shared" si="199"/>
        <v>2518310.4649733324</v>
      </c>
      <c r="L617" s="148">
        <f t="shared" si="199"/>
        <v>0</v>
      </c>
      <c r="M617" s="148">
        <f t="shared" si="199"/>
        <v>0</v>
      </c>
      <c r="N617" s="148">
        <f t="shared" si="199"/>
        <v>0</v>
      </c>
      <c r="O617" s="148">
        <f t="shared" si="199"/>
        <v>0</v>
      </c>
      <c r="P617" s="148">
        <f t="shared" si="199"/>
        <v>0</v>
      </c>
      <c r="Q617" s="148">
        <f t="shared" si="199"/>
        <v>0</v>
      </c>
      <c r="U617" s="15">
        <f>SUM(G617:M617)</f>
        <v>36770314.936386265</v>
      </c>
    </row>
    <row r="618" spans="1:24" x14ac:dyDescent="0.25">
      <c r="U618" s="15"/>
    </row>
    <row r="619" spans="1:24" x14ac:dyDescent="0.25">
      <c r="A619" s="140" t="s">
        <v>325</v>
      </c>
      <c r="F619" s="161">
        <f t="shared" ref="F619:T619" si="200">F596</f>
        <v>321597</v>
      </c>
      <c r="G619" s="161">
        <f t="shared" si="200"/>
        <v>296513</v>
      </c>
      <c r="H619" s="161">
        <f t="shared" si="200"/>
        <v>24735</v>
      </c>
      <c r="I619" s="161">
        <f t="shared" si="200"/>
        <v>270</v>
      </c>
      <c r="J619" s="161">
        <f t="shared" si="200"/>
        <v>6</v>
      </c>
      <c r="K619" s="161">
        <f t="shared" si="200"/>
        <v>73</v>
      </c>
      <c r="L619" s="161">
        <f t="shared" si="200"/>
        <v>0</v>
      </c>
      <c r="M619" s="161">
        <f t="shared" si="200"/>
        <v>0</v>
      </c>
      <c r="N619" s="161">
        <f t="shared" si="200"/>
        <v>0</v>
      </c>
      <c r="O619" s="161">
        <f t="shared" si="200"/>
        <v>0</v>
      </c>
      <c r="P619" s="161">
        <f t="shared" si="200"/>
        <v>0</v>
      </c>
      <c r="Q619" s="161">
        <f t="shared" si="200"/>
        <v>0</v>
      </c>
      <c r="R619" s="161">
        <f t="shared" si="200"/>
        <v>0</v>
      </c>
      <c r="S619" s="161">
        <f t="shared" si="200"/>
        <v>0</v>
      </c>
      <c r="T619" s="161">
        <f t="shared" si="200"/>
        <v>0</v>
      </c>
      <c r="U619" s="15">
        <f>SUM(G619:M619)</f>
        <v>321597</v>
      </c>
      <c r="V619" s="133" t="str">
        <f>IF(ABS(F619-U619)&lt;0.01,"ok","err")</f>
        <v>ok</v>
      </c>
    </row>
    <row r="620" spans="1:24" x14ac:dyDescent="0.25">
      <c r="G620" s="165"/>
      <c r="U620" s="15"/>
    </row>
    <row r="621" spans="1:24" x14ac:dyDescent="0.25">
      <c r="A621" s="140" t="s">
        <v>687</v>
      </c>
      <c r="F621" s="161">
        <v>257660226.0925</v>
      </c>
      <c r="G621" s="15">
        <f>G602*G622</f>
        <v>191675196.58583334</v>
      </c>
      <c r="H621" s="15">
        <f t="shared" ref="H621:K621" si="201">H602*H622</f>
        <v>61863741.866666675</v>
      </c>
      <c r="I621" s="15">
        <f t="shared" si="201"/>
        <v>1726616.2000000002</v>
      </c>
      <c r="J621" s="15">
        <f t="shared" si="201"/>
        <v>38727.840000000004</v>
      </c>
      <c r="K621" s="15">
        <f t="shared" si="201"/>
        <v>2355943.6</v>
      </c>
      <c r="L621" s="15">
        <v>0</v>
      </c>
      <c r="M621" s="15">
        <f t="shared" ref="M621:Q621" si="202">$F621*M622</f>
        <v>0</v>
      </c>
      <c r="N621" s="15">
        <f t="shared" si="202"/>
        <v>0</v>
      </c>
      <c r="O621" s="15">
        <f t="shared" si="202"/>
        <v>0</v>
      </c>
      <c r="P621" s="15">
        <f t="shared" si="202"/>
        <v>0</v>
      </c>
      <c r="Q621" s="15">
        <f t="shared" si="202"/>
        <v>0</v>
      </c>
      <c r="R621" s="161">
        <f>R619*R620</f>
        <v>0</v>
      </c>
      <c r="S621" s="161">
        <f>S619*S620</f>
        <v>0</v>
      </c>
      <c r="T621" s="161">
        <f>T619*T620</f>
        <v>0</v>
      </c>
      <c r="U621" s="15">
        <f>SUM(G621:M621)</f>
        <v>257660226.0925</v>
      </c>
      <c r="V621" s="133" t="str">
        <f>IF(ABS(F621-U621)&lt;0.01,"ok","err")</f>
        <v>ok</v>
      </c>
    </row>
    <row r="622" spans="1:24" x14ac:dyDescent="0.25">
      <c r="G622" s="207">
        <v>646.73</v>
      </c>
      <c r="H622" s="207">
        <v>1239.92</v>
      </c>
      <c r="I622" s="207">
        <v>3227.32</v>
      </c>
      <c r="J622" s="207">
        <v>3227.32</v>
      </c>
      <c r="K622" s="207">
        <v>3227.32</v>
      </c>
      <c r="L622" s="163">
        <v>0</v>
      </c>
      <c r="M622" s="163">
        <v>0</v>
      </c>
      <c r="N622" s="163">
        <v>0</v>
      </c>
      <c r="O622" s="163">
        <f>M622/4</f>
        <v>0</v>
      </c>
      <c r="P622" s="163">
        <f>M622/4</f>
        <v>0</v>
      </c>
      <c r="Q622" s="163">
        <f>M622/2</f>
        <v>0</v>
      </c>
      <c r="U622" s="166">
        <f>SUM(G622:M622)</f>
        <v>11568.61</v>
      </c>
    </row>
    <row r="623" spans="1:24" x14ac:dyDescent="0.25">
      <c r="F623" s="161"/>
      <c r="G623" s="15"/>
      <c r="H623" s="15"/>
      <c r="I623" s="15"/>
      <c r="J623" s="15"/>
      <c r="K623" s="15"/>
      <c r="L623" s="15"/>
      <c r="M623" s="15"/>
      <c r="U623" s="163"/>
    </row>
    <row r="624" spans="1:24" s="15" customFormat="1" x14ac:dyDescent="0.25">
      <c r="A624" s="140" t="s">
        <v>694</v>
      </c>
      <c r="D624" s="167" t="s">
        <v>773</v>
      </c>
      <c r="F624" s="15">
        <v>324979206.5015738</v>
      </c>
      <c r="G624" s="15">
        <v>214163791.26607656</v>
      </c>
      <c r="H624" s="15">
        <v>90246980.729756191</v>
      </c>
      <c r="I624" s="15">
        <v>11720051.942706166</v>
      </c>
      <c r="J624" s="15">
        <v>1076927.4693100373</v>
      </c>
      <c r="K624" s="15">
        <v>7771455.0937248711</v>
      </c>
      <c r="L624" s="15">
        <v>0</v>
      </c>
      <c r="M624" s="15">
        <v>0</v>
      </c>
      <c r="N624" s="15">
        <v>0</v>
      </c>
      <c r="O624" s="15">
        <v>0</v>
      </c>
      <c r="P624" s="15">
        <v>0</v>
      </c>
      <c r="Q624" s="15">
        <v>0</v>
      </c>
      <c r="U624" s="15">
        <f t="shared" ref="U624:U628" si="203">SUM(G624:M624)</f>
        <v>324979206.5015738</v>
      </c>
      <c r="V624" s="133" t="str">
        <f>IF(ABS(F624-U624)=0,"ok","err")</f>
        <v>ok</v>
      </c>
      <c r="W624" s="148"/>
      <c r="X624" s="133"/>
    </row>
    <row r="625" spans="1:25" x14ac:dyDescent="0.25">
      <c r="A625" s="140" t="s">
        <v>700</v>
      </c>
      <c r="D625" s="153" t="s">
        <v>690</v>
      </c>
      <c r="F625" s="15">
        <v>5131907.7389026266</v>
      </c>
      <c r="G625" s="15">
        <v>2013223.6865790721</v>
      </c>
      <c r="H625" s="15">
        <v>1178167.8742125058</v>
      </c>
      <c r="I625" s="15">
        <v>1.3341336732703244</v>
      </c>
      <c r="J625" s="15">
        <v>10394.581739040445</v>
      </c>
      <c r="K625" s="15">
        <v>1930120.2622383344</v>
      </c>
      <c r="L625" s="15">
        <v>0</v>
      </c>
      <c r="M625" s="15"/>
      <c r="N625" s="15">
        <v>0</v>
      </c>
      <c r="O625" s="15">
        <v>0</v>
      </c>
      <c r="P625" s="15">
        <v>0</v>
      </c>
      <c r="Q625" s="15">
        <v>0</v>
      </c>
      <c r="R625" s="161"/>
      <c r="S625" s="161"/>
      <c r="T625" s="161"/>
      <c r="U625" s="15">
        <f t="shared" si="203"/>
        <v>5131907.7389026266</v>
      </c>
      <c r="V625" s="133" t="str">
        <f>IF(ABS(F625-U625)=0,"ok","err")</f>
        <v>ok</v>
      </c>
    </row>
    <row r="626" spans="1:25" x14ac:dyDescent="0.25">
      <c r="A626" s="140" t="s">
        <v>720</v>
      </c>
      <c r="D626" s="153" t="s">
        <v>719</v>
      </c>
      <c r="F626" s="15">
        <v>332763.48</v>
      </c>
      <c r="G626" s="15">
        <v>95489.119349999994</v>
      </c>
      <c r="H626" s="15">
        <v>237274.36064999999</v>
      </c>
      <c r="I626" s="15"/>
      <c r="J626" s="15"/>
      <c r="K626" s="15"/>
      <c r="L626" s="15"/>
      <c r="M626" s="15"/>
      <c r="N626" s="15">
        <v>0</v>
      </c>
      <c r="O626" s="15">
        <v>0</v>
      </c>
      <c r="P626" s="15">
        <v>0</v>
      </c>
      <c r="Q626" s="15">
        <v>0</v>
      </c>
      <c r="R626" s="15">
        <v>0</v>
      </c>
      <c r="S626" s="15">
        <v>0</v>
      </c>
      <c r="T626" s="15">
        <v>0</v>
      </c>
      <c r="U626" s="15">
        <f t="shared" si="203"/>
        <v>332763.48</v>
      </c>
      <c r="V626" s="133" t="str">
        <f>IF(ABS(F626-U626)=0,"ok","err")</f>
        <v>ok</v>
      </c>
      <c r="Y626" s="161"/>
    </row>
    <row r="627" spans="1:25" x14ac:dyDescent="0.25">
      <c r="A627" s="140" t="s">
        <v>772</v>
      </c>
      <c r="D627" s="153" t="s">
        <v>771</v>
      </c>
      <c r="F627" s="15">
        <v>135270880.39599565</v>
      </c>
      <c r="G627" s="15">
        <v>84917418.250368789</v>
      </c>
      <c r="H627" s="15">
        <v>43709321.934499532</v>
      </c>
      <c r="I627" s="15">
        <v>6139195.7153041475</v>
      </c>
      <c r="J627" s="15">
        <v>504944.4958231686</v>
      </c>
      <c r="K627" s="15"/>
      <c r="L627" s="15">
        <v>0</v>
      </c>
      <c r="M627" s="15">
        <v>0</v>
      </c>
      <c r="N627" s="15"/>
      <c r="O627" s="15">
        <v>0</v>
      </c>
      <c r="P627" s="15">
        <v>0</v>
      </c>
      <c r="Q627" s="15">
        <v>0</v>
      </c>
      <c r="U627" s="15">
        <f>SUM(G627:M627)</f>
        <v>135270880.39599565</v>
      </c>
      <c r="V627" s="133" t="s">
        <v>0</v>
      </c>
    </row>
    <row r="628" spans="1:25" x14ac:dyDescent="0.25">
      <c r="A628" s="140" t="s">
        <v>871</v>
      </c>
      <c r="D628" s="153" t="s">
        <v>872</v>
      </c>
      <c r="F628" s="15">
        <v>-4397744.5157478089</v>
      </c>
      <c r="G628" s="15">
        <v>-2965727.8289550813</v>
      </c>
      <c r="H628" s="15">
        <v>-1272142.3731262062</v>
      </c>
      <c r="I628" s="15">
        <v>-127900.27101778766</v>
      </c>
      <c r="J628" s="15">
        <v>-31974.042648733248</v>
      </c>
      <c r="K628" s="15"/>
      <c r="L628" s="15"/>
      <c r="M628" s="15"/>
      <c r="N628" s="15"/>
      <c r="O628" s="15"/>
      <c r="P628" s="15"/>
      <c r="Q628" s="15"/>
      <c r="U628" s="15">
        <f t="shared" si="203"/>
        <v>-4397744.5157478089</v>
      </c>
      <c r="V628" s="133" t="s">
        <v>0</v>
      </c>
    </row>
    <row r="629" spans="1:25" x14ac:dyDescent="0.25">
      <c r="A629" s="140" t="s">
        <v>769</v>
      </c>
      <c r="D629" s="153" t="s">
        <v>770</v>
      </c>
      <c r="F629" s="15">
        <f t="shared" ref="F629:Q629" si="204">F478+SUM(F495:F508)</f>
        <v>-145431050.10242972</v>
      </c>
      <c r="G629" s="15">
        <f t="shared" si="204"/>
        <v>-90311885.605784073</v>
      </c>
      <c r="H629" s="15">
        <f t="shared" si="204"/>
        <v>-46334727.373107411</v>
      </c>
      <c r="I629" s="15">
        <f t="shared" si="204"/>
        <v>-6289836.3054055655</v>
      </c>
      <c r="J629" s="15">
        <f t="shared" si="204"/>
        <v>-549402.55101180775</v>
      </c>
      <c r="K629" s="15">
        <f t="shared" si="204"/>
        <v>-1945198.2671208414</v>
      </c>
      <c r="L629" s="15">
        <f t="shared" si="204"/>
        <v>0</v>
      </c>
      <c r="M629" s="15">
        <f t="shared" si="204"/>
        <v>0</v>
      </c>
      <c r="N629" s="15">
        <f t="shared" si="204"/>
        <v>0</v>
      </c>
      <c r="O629" s="15">
        <f t="shared" si="204"/>
        <v>0</v>
      </c>
      <c r="P629" s="15">
        <f t="shared" si="204"/>
        <v>0</v>
      </c>
      <c r="Q629" s="15">
        <f t="shared" si="204"/>
        <v>0</v>
      </c>
      <c r="U629" s="15">
        <f>SUM(G629:M629)</f>
        <v>-145431050.10242969</v>
      </c>
      <c r="V629" s="133" t="s">
        <v>0</v>
      </c>
    </row>
    <row r="630" spans="1:25" x14ac:dyDescent="0.25">
      <c r="F630" s="161"/>
      <c r="M630" s="161"/>
      <c r="U630" s="15"/>
    </row>
    <row r="631" spans="1:25" x14ac:dyDescent="0.25">
      <c r="A631" s="140" t="s">
        <v>744</v>
      </c>
      <c r="D631" s="140" t="s">
        <v>745</v>
      </c>
      <c r="F631" s="161">
        <f t="shared" ref="F631:M631" si="205">F81+F82</f>
        <v>23892464.918672029</v>
      </c>
      <c r="G631" s="161">
        <f t="shared" si="205"/>
        <v>11748496.25790485</v>
      </c>
      <c r="H631" s="161">
        <f t="shared" si="205"/>
        <v>5697905.8734741649</v>
      </c>
      <c r="I631" s="161">
        <f t="shared" si="205"/>
        <v>818758.10147830623</v>
      </c>
      <c r="J631" s="161">
        <f t="shared" si="205"/>
        <v>169130.3677472634</v>
      </c>
      <c r="K631" s="161">
        <f t="shared" si="205"/>
        <v>5458174.3180674464</v>
      </c>
      <c r="L631" s="161">
        <f t="shared" si="205"/>
        <v>0</v>
      </c>
      <c r="M631" s="161">
        <f t="shared" si="205"/>
        <v>0</v>
      </c>
      <c r="U631" s="15">
        <f>SUM(G631:M631)</f>
        <v>23892464.918672029</v>
      </c>
      <c r="V631" s="133" t="s">
        <v>0</v>
      </c>
    </row>
    <row r="632" spans="1:25" x14ac:dyDescent="0.25">
      <c r="U632" s="15"/>
    </row>
    <row r="633" spans="1:25" x14ac:dyDescent="0.25">
      <c r="A633" s="156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6"/>
    </row>
    <row r="634" spans="1:25" x14ac:dyDescent="0.25">
      <c r="A634" s="158"/>
      <c r="B634" s="158"/>
      <c r="C634" s="158"/>
      <c r="D634" s="158"/>
      <c r="E634" s="158"/>
      <c r="F634" s="158"/>
      <c r="G634" s="16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6"/>
    </row>
    <row r="635" spans="1:25" x14ac:dyDescent="0.25">
      <c r="A635" s="158" t="s">
        <v>922</v>
      </c>
      <c r="B635" s="158"/>
      <c r="C635" s="158"/>
      <c r="D635" s="158"/>
      <c r="E635" s="158"/>
      <c r="F635" s="173">
        <f>SUM(G635:K635)</f>
        <v>567935.02609289566</v>
      </c>
      <c r="G635" s="16">
        <f>G593</f>
        <v>308336.73558260128</v>
      </c>
      <c r="H635" s="16">
        <f t="shared" ref="H635:K635" si="206">H593</f>
        <v>140916.59292402765</v>
      </c>
      <c r="I635" s="16">
        <f t="shared" si="206"/>
        <v>13941.820402562018</v>
      </c>
      <c r="J635" s="16">
        <f t="shared" si="206"/>
        <v>3116.2742584720804</v>
      </c>
      <c r="K635" s="16">
        <f t="shared" si="206"/>
        <v>101623.60292523264</v>
      </c>
      <c r="L635" s="158"/>
      <c r="M635" s="158"/>
      <c r="N635" s="158"/>
      <c r="O635" s="158"/>
      <c r="P635" s="158"/>
      <c r="Q635" s="158"/>
      <c r="R635" s="158"/>
      <c r="S635" s="158"/>
      <c r="T635" s="158"/>
      <c r="U635" s="15">
        <f t="shared" ref="U635:U653" si="207">SUM(G635:M635)</f>
        <v>567935.02609289566</v>
      </c>
      <c r="V635" s="133" t="s">
        <v>0</v>
      </c>
    </row>
    <row r="636" spans="1:25" x14ac:dyDescent="0.25">
      <c r="A636" s="158" t="s">
        <v>923</v>
      </c>
      <c r="B636" s="158"/>
      <c r="C636" s="158"/>
      <c r="D636" s="158"/>
      <c r="E636" s="158"/>
      <c r="F636" s="173">
        <f>SUM(G636:K636)</f>
        <v>480030.9164112382</v>
      </c>
      <c r="G636" s="16">
        <f>G594</f>
        <v>308336.73558260128</v>
      </c>
      <c r="H636" s="16">
        <f t="shared" ref="H636:K636" si="208">H594</f>
        <v>140916.59292402765</v>
      </c>
      <c r="I636" s="16">
        <f t="shared" si="208"/>
        <v>13033.182868315442</v>
      </c>
      <c r="J636" s="16">
        <f t="shared" si="208"/>
        <v>2644.744121485779</v>
      </c>
      <c r="K636" s="16">
        <f t="shared" si="208"/>
        <v>15099.660914808032</v>
      </c>
      <c r="L636" s="168"/>
      <c r="M636" s="168"/>
      <c r="N636" s="168"/>
      <c r="O636" s="168"/>
      <c r="P636" s="168"/>
      <c r="Q636" s="168"/>
      <c r="R636" s="158"/>
      <c r="S636" s="158"/>
      <c r="T636" s="158"/>
      <c r="U636" s="15">
        <f t="shared" si="207"/>
        <v>480030.9164112382</v>
      </c>
      <c r="V636" s="133" t="s">
        <v>0</v>
      </c>
    </row>
    <row r="637" spans="1:25" x14ac:dyDescent="0.25">
      <c r="A637" s="158" t="s">
        <v>924</v>
      </c>
      <c r="B637" s="158"/>
      <c r="C637" s="158"/>
      <c r="D637" s="158"/>
      <c r="E637" s="158"/>
      <c r="F637" s="228">
        <f>F636/F635</f>
        <v>0.84522153830449043</v>
      </c>
      <c r="G637" s="227">
        <f>G636/G635</f>
        <v>1</v>
      </c>
      <c r="H637" s="227">
        <f t="shared" ref="H637:K637" si="209">H636/H635</f>
        <v>1</v>
      </c>
      <c r="I637" s="227">
        <f t="shared" si="209"/>
        <v>0.93482647832132448</v>
      </c>
      <c r="J637" s="227">
        <f t="shared" si="209"/>
        <v>0.84868785675574843</v>
      </c>
      <c r="K637" s="227">
        <f t="shared" si="209"/>
        <v>0.14858419186256641</v>
      </c>
      <c r="L637" s="169"/>
      <c r="M637" s="169"/>
      <c r="N637" s="169"/>
      <c r="O637" s="169"/>
      <c r="P637" s="169"/>
      <c r="Q637" s="169"/>
      <c r="R637" s="158"/>
      <c r="S637" s="158"/>
      <c r="T637" s="158"/>
      <c r="U637" s="15">
        <f t="shared" si="207"/>
        <v>3.9320985269396393</v>
      </c>
      <c r="V637" s="133" t="s">
        <v>0</v>
      </c>
    </row>
    <row r="638" spans="1:25" x14ac:dyDescent="0.25">
      <c r="A638" s="158"/>
      <c r="B638" s="158"/>
      <c r="C638" s="158"/>
      <c r="D638" s="158"/>
      <c r="E638" s="158"/>
      <c r="F638" s="170"/>
      <c r="G638" s="16"/>
      <c r="H638" s="16"/>
      <c r="I638" s="16"/>
      <c r="J638" s="16"/>
      <c r="K638" s="16"/>
      <c r="L638" s="170"/>
      <c r="M638" s="170"/>
      <c r="N638" s="170"/>
      <c r="O638" s="170"/>
      <c r="P638" s="170"/>
      <c r="Q638" s="170"/>
      <c r="R638" s="158"/>
      <c r="S638" s="158"/>
      <c r="T638" s="158"/>
      <c r="U638" s="15">
        <f t="shared" si="207"/>
        <v>0</v>
      </c>
      <c r="V638" s="133" t="s">
        <v>0</v>
      </c>
    </row>
    <row r="639" spans="1:25" x14ac:dyDescent="0.25">
      <c r="A639" s="158" t="s">
        <v>925</v>
      </c>
      <c r="B639" s="158"/>
      <c r="C639" s="158"/>
      <c r="D639" s="158"/>
      <c r="E639" s="158"/>
      <c r="F639" s="173">
        <f>SUM(G639:K639)</f>
        <v>44300973.146566719</v>
      </c>
      <c r="G639" s="15">
        <f>G584</f>
        <v>19516321.910371594</v>
      </c>
      <c r="H639" s="15">
        <f t="shared" ref="H639:K639" si="210">H584</f>
        <v>10137905.826085169</v>
      </c>
      <c r="I639" s="15">
        <f t="shared" si="210"/>
        <v>1948740.6118655899</v>
      </c>
      <c r="J639" s="15">
        <f t="shared" si="210"/>
        <v>384116.30106506636</v>
      </c>
      <c r="K639" s="15">
        <f t="shared" si="210"/>
        <v>12313888.497179303</v>
      </c>
      <c r="L639" s="158"/>
      <c r="M639" s="158"/>
      <c r="N639" s="158"/>
      <c r="O639" s="158"/>
      <c r="P639" s="158"/>
      <c r="Q639" s="158"/>
      <c r="R639" s="158"/>
      <c r="S639" s="158"/>
      <c r="T639" s="158"/>
      <c r="U639" s="15">
        <f t="shared" si="207"/>
        <v>44300973.146566719</v>
      </c>
      <c r="V639" s="133" t="s">
        <v>0</v>
      </c>
    </row>
    <row r="640" spans="1:25" x14ac:dyDescent="0.25">
      <c r="A640" s="158" t="s">
        <v>926</v>
      </c>
      <c r="B640" s="158"/>
      <c r="C640" s="158"/>
      <c r="D640" s="158"/>
      <c r="E640" s="158"/>
      <c r="F640" s="173">
        <f>SUM(G640:K640)</f>
        <v>33631606.071143813</v>
      </c>
      <c r="G640" s="161">
        <f>G639*G637</f>
        <v>19516321.910371594</v>
      </c>
      <c r="H640" s="161">
        <f t="shared" ref="H640:K640" si="211">H639*H637</f>
        <v>10137905.826085169</v>
      </c>
      <c r="I640" s="161">
        <f t="shared" si="211"/>
        <v>1821734.3233520524</v>
      </c>
      <c r="J640" s="161">
        <f t="shared" si="211"/>
        <v>325994.84029585699</v>
      </c>
      <c r="K640" s="161">
        <f t="shared" si="211"/>
        <v>1829649.1710391392</v>
      </c>
      <c r="L640" s="168"/>
      <c r="M640" s="168"/>
      <c r="N640" s="168"/>
      <c r="O640" s="168"/>
      <c r="P640" s="168"/>
      <c r="Q640" s="168"/>
      <c r="R640" s="158"/>
      <c r="S640" s="158"/>
      <c r="T640" s="158"/>
      <c r="U640" s="15">
        <f t="shared" si="207"/>
        <v>33631606.071143813</v>
      </c>
      <c r="V640" s="133" t="s">
        <v>0</v>
      </c>
    </row>
    <row r="641" spans="1:22" x14ac:dyDescent="0.25">
      <c r="A641" s="158"/>
      <c r="B641" s="158"/>
      <c r="C641" s="158"/>
      <c r="D641" s="158"/>
      <c r="E641" s="158"/>
      <c r="F641" s="16"/>
      <c r="G641" s="15"/>
      <c r="H641" s="15"/>
      <c r="I641" s="15"/>
      <c r="J641" s="15"/>
      <c r="K641" s="15"/>
      <c r="L641" s="16"/>
      <c r="M641" s="16"/>
      <c r="N641" s="16"/>
      <c r="O641" s="16"/>
      <c r="P641" s="16"/>
      <c r="Q641" s="16"/>
      <c r="R641" s="158"/>
      <c r="S641" s="158"/>
      <c r="T641" s="158"/>
      <c r="U641" s="15">
        <f t="shared" si="207"/>
        <v>0</v>
      </c>
      <c r="V641" s="133" t="s">
        <v>0</v>
      </c>
    </row>
    <row r="642" spans="1:22" x14ac:dyDescent="0.25">
      <c r="A642" s="158" t="s">
        <v>927</v>
      </c>
      <c r="B642" s="158"/>
      <c r="C642" s="158"/>
      <c r="D642" s="158"/>
      <c r="E642" s="158"/>
      <c r="F642" s="16"/>
      <c r="L642" s="16"/>
      <c r="M642" s="16"/>
      <c r="N642" s="16"/>
      <c r="O642" s="16"/>
      <c r="P642" s="16"/>
      <c r="Q642" s="16"/>
      <c r="R642" s="158"/>
      <c r="S642" s="158"/>
      <c r="T642" s="158"/>
      <c r="U642" s="15">
        <f t="shared" si="207"/>
        <v>0</v>
      </c>
      <c r="V642" s="133" t="s">
        <v>0</v>
      </c>
    </row>
    <row r="643" spans="1:22" x14ac:dyDescent="0.25">
      <c r="A643" s="158" t="s">
        <v>929</v>
      </c>
      <c r="B643" s="158"/>
      <c r="C643" s="158"/>
      <c r="D643" s="158"/>
      <c r="E643" s="158"/>
      <c r="F643" s="16"/>
      <c r="G643" s="229">
        <f>G635/$F635</f>
        <v>0.5429084691321141</v>
      </c>
      <c r="H643" s="229">
        <f t="shared" ref="H643:K643" si="212">H635/$F635</f>
        <v>0.24812097590363846</v>
      </c>
      <c r="I643" s="229">
        <f t="shared" si="212"/>
        <v>2.454826654815544E-2</v>
      </c>
      <c r="J643" s="229">
        <f t="shared" si="212"/>
        <v>5.4870260070248944E-3</v>
      </c>
      <c r="K643" s="229">
        <f t="shared" si="212"/>
        <v>0.17893526240906707</v>
      </c>
      <c r="L643" s="16"/>
      <c r="M643" s="16"/>
      <c r="N643" s="16"/>
      <c r="O643" s="16"/>
      <c r="P643" s="16"/>
      <c r="Q643" s="16"/>
      <c r="R643" s="158"/>
      <c r="S643" s="158"/>
      <c r="T643" s="158"/>
      <c r="U643" s="15">
        <f t="shared" si="207"/>
        <v>1</v>
      </c>
      <c r="V643" s="133" t="s">
        <v>0</v>
      </c>
    </row>
    <row r="644" spans="1:22" x14ac:dyDescent="0.25">
      <c r="A644" s="158" t="s">
        <v>930</v>
      </c>
      <c r="B644" s="158"/>
      <c r="C644" s="158"/>
      <c r="D644" s="158"/>
      <c r="E644" s="158"/>
      <c r="F644" s="16"/>
      <c r="G644" s="229">
        <f>G639/$F639</f>
        <v>0.4405393499100615</v>
      </c>
      <c r="H644" s="229">
        <f t="shared" ref="H644:K644" si="213">H639/$F639</f>
        <v>0.22884160563571834</v>
      </c>
      <c r="I644" s="229">
        <f t="shared" si="213"/>
        <v>4.3988663757302031E-2</v>
      </c>
      <c r="J644" s="229">
        <f t="shared" si="213"/>
        <v>8.6706063949034268E-3</v>
      </c>
      <c r="K644" s="229">
        <f t="shared" si="213"/>
        <v>0.27795977430201479</v>
      </c>
      <c r="L644" s="16"/>
      <c r="M644" s="16"/>
      <c r="N644" s="16"/>
      <c r="O644" s="16"/>
      <c r="P644" s="16"/>
      <c r="Q644" s="16"/>
      <c r="R644" s="158"/>
      <c r="S644" s="158"/>
      <c r="T644" s="158"/>
      <c r="U644" s="15">
        <f t="shared" si="207"/>
        <v>1</v>
      </c>
      <c r="V644" s="133" t="s">
        <v>0</v>
      </c>
    </row>
    <row r="645" spans="1:22" x14ac:dyDescent="0.25">
      <c r="A645" s="158" t="s">
        <v>927</v>
      </c>
      <c r="B645" s="158"/>
      <c r="C645" s="158"/>
      <c r="D645" s="158" t="s">
        <v>931</v>
      </c>
      <c r="E645" s="158"/>
      <c r="F645" s="228">
        <f>SUM(G645:K645)</f>
        <v>1</v>
      </c>
      <c r="G645" s="227">
        <f>AVERAGE(G643:G644)</f>
        <v>0.4917239095210878</v>
      </c>
      <c r="H645" s="227">
        <f t="shared" ref="H645:K645" si="214">AVERAGE(H643:H644)</f>
        <v>0.23848129076967839</v>
      </c>
      <c r="I645" s="227">
        <f t="shared" si="214"/>
        <v>3.4268465152728737E-2</v>
      </c>
      <c r="J645" s="227">
        <f t="shared" si="214"/>
        <v>7.0788162009641602E-3</v>
      </c>
      <c r="K645" s="227">
        <f t="shared" si="214"/>
        <v>0.22844751835554095</v>
      </c>
      <c r="L645" s="158"/>
      <c r="M645" s="158"/>
      <c r="N645" s="158"/>
      <c r="O645" s="158"/>
      <c r="P645" s="158"/>
      <c r="Q645" s="158"/>
      <c r="R645" s="158"/>
      <c r="S645" s="158"/>
      <c r="T645" s="158"/>
      <c r="U645" s="15">
        <f t="shared" si="207"/>
        <v>1</v>
      </c>
      <c r="V645" s="133" t="s">
        <v>0</v>
      </c>
    </row>
    <row r="646" spans="1:22" x14ac:dyDescent="0.25">
      <c r="A646" s="158"/>
      <c r="B646" s="158"/>
      <c r="C646" s="158"/>
      <c r="D646" s="158"/>
      <c r="E646" s="158"/>
      <c r="F646" s="168"/>
      <c r="G646" s="171"/>
      <c r="H646" s="171"/>
      <c r="I646" s="171"/>
      <c r="J646" s="171"/>
      <c r="K646" s="171"/>
      <c r="L646" s="168"/>
      <c r="M646" s="168"/>
      <c r="N646" s="168"/>
      <c r="O646" s="168"/>
      <c r="P646" s="168"/>
      <c r="Q646" s="168"/>
      <c r="R646" s="158"/>
      <c r="S646" s="158"/>
      <c r="T646" s="158"/>
      <c r="U646" s="15">
        <f t="shared" si="207"/>
        <v>0</v>
      </c>
      <c r="V646" s="133" t="s">
        <v>0</v>
      </c>
    </row>
    <row r="647" spans="1:22" x14ac:dyDescent="0.25">
      <c r="A647" s="158" t="s">
        <v>928</v>
      </c>
      <c r="B647" s="158"/>
      <c r="C647" s="158"/>
      <c r="D647" s="158"/>
      <c r="E647" s="158"/>
      <c r="F647" s="16"/>
      <c r="G647" s="169"/>
      <c r="H647" s="169"/>
      <c r="I647" s="169"/>
      <c r="J647" s="169"/>
      <c r="K647" s="169"/>
      <c r="L647" s="16"/>
      <c r="M647" s="16"/>
      <c r="N647" s="16"/>
      <c r="O647" s="16"/>
      <c r="P647" s="16"/>
      <c r="Q647" s="16"/>
      <c r="R647" s="158"/>
      <c r="S647" s="158"/>
      <c r="T647" s="158"/>
      <c r="U647" s="15">
        <f t="shared" si="207"/>
        <v>0</v>
      </c>
      <c r="V647" s="133" t="s">
        <v>0</v>
      </c>
    </row>
    <row r="648" spans="1:22" x14ac:dyDescent="0.25">
      <c r="A648" s="158" t="s">
        <v>929</v>
      </c>
      <c r="B648" s="158"/>
      <c r="C648" s="158"/>
      <c r="D648" s="158"/>
      <c r="E648" s="158"/>
      <c r="F648" s="168"/>
      <c r="G648" s="229">
        <f>G636/$F636</f>
        <v>0.64232682737970137</v>
      </c>
      <c r="H648" s="229">
        <f t="shared" ref="H648:K648" si="215">H636/$F636</f>
        <v>0.29355732746868674</v>
      </c>
      <c r="I648" s="229">
        <f t="shared" si="215"/>
        <v>2.715071555339163E-2</v>
      </c>
      <c r="J648" s="229">
        <f t="shared" si="215"/>
        <v>5.5095287221459928E-3</v>
      </c>
      <c r="K648" s="229">
        <f t="shared" si="215"/>
        <v>3.1455600876074172E-2</v>
      </c>
      <c r="L648" s="168"/>
      <c r="M648" s="168"/>
      <c r="N648" s="168"/>
      <c r="O648" s="168"/>
      <c r="P648" s="168"/>
      <c r="Q648" s="168"/>
      <c r="R648" s="158"/>
      <c r="S648" s="158"/>
      <c r="T648" s="158"/>
      <c r="U648" s="15">
        <f t="shared" si="207"/>
        <v>0.99999999999999978</v>
      </c>
      <c r="V648" s="133" t="s">
        <v>0</v>
      </c>
    </row>
    <row r="649" spans="1:22" x14ac:dyDescent="0.25">
      <c r="A649" s="158" t="s">
        <v>930</v>
      </c>
      <c r="B649" s="158"/>
      <c r="C649" s="158"/>
      <c r="D649" s="158"/>
      <c r="E649" s="158"/>
      <c r="F649" s="158"/>
      <c r="G649" s="229">
        <f>G640/$F640</f>
        <v>0.58029705358367512</v>
      </c>
      <c r="H649" s="229">
        <f t="shared" ref="H649:K649" si="216">H640/$F640</f>
        <v>0.30143983622547166</v>
      </c>
      <c r="I649" s="229">
        <f t="shared" si="216"/>
        <v>5.4167330560972372E-2</v>
      </c>
      <c r="J649" s="229">
        <f t="shared" si="216"/>
        <v>9.6931094996252111E-3</v>
      </c>
      <c r="K649" s="229">
        <f t="shared" si="216"/>
        <v>5.4402670130255619E-2</v>
      </c>
      <c r="L649" s="158"/>
      <c r="M649" s="158"/>
      <c r="N649" s="158"/>
      <c r="O649" s="158"/>
      <c r="P649" s="158"/>
      <c r="Q649" s="158"/>
      <c r="R649" s="158"/>
      <c r="S649" s="158"/>
      <c r="T649" s="158"/>
      <c r="U649" s="15">
        <f t="shared" si="207"/>
        <v>0.99999999999999989</v>
      </c>
      <c r="V649" s="133" t="s">
        <v>0</v>
      </c>
    </row>
    <row r="650" spans="1:22" x14ac:dyDescent="0.25">
      <c r="A650" s="158" t="s">
        <v>928</v>
      </c>
      <c r="B650" s="158"/>
      <c r="C650" s="158"/>
      <c r="D650" s="158" t="s">
        <v>932</v>
      </c>
      <c r="E650" s="158"/>
      <c r="F650" s="228">
        <f>SUM(G650:K650)</f>
        <v>0.99999999999999989</v>
      </c>
      <c r="G650" s="229">
        <f>AVERAGE(G648:G649)</f>
        <v>0.61131194048168824</v>
      </c>
      <c r="H650" s="229">
        <f t="shared" ref="H650:K650" si="217">AVERAGE(H648:H649)</f>
        <v>0.29749858184707922</v>
      </c>
      <c r="I650" s="229">
        <f t="shared" si="217"/>
        <v>4.0659023057181998E-2</v>
      </c>
      <c r="J650" s="229">
        <f t="shared" si="217"/>
        <v>7.6013191108856015E-3</v>
      </c>
      <c r="K650" s="229">
        <f t="shared" si="217"/>
        <v>4.2929135503164892E-2</v>
      </c>
      <c r="L650" s="173"/>
      <c r="M650" s="173"/>
      <c r="N650" s="173"/>
      <c r="O650" s="173"/>
      <c r="P650" s="173"/>
      <c r="Q650" s="173"/>
      <c r="R650" s="158"/>
      <c r="S650" s="158"/>
      <c r="T650" s="158"/>
      <c r="U650" s="15">
        <f t="shared" si="207"/>
        <v>0.99999999999999989</v>
      </c>
      <c r="V650" s="133" t="s">
        <v>0</v>
      </c>
    </row>
    <row r="651" spans="1:22" x14ac:dyDescent="0.25">
      <c r="A651" s="158"/>
      <c r="B651" s="158"/>
      <c r="C651" s="158"/>
      <c r="D651" s="158"/>
      <c r="E651" s="158"/>
      <c r="F651" s="158"/>
      <c r="G651" s="14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5">
        <f t="shared" si="207"/>
        <v>0</v>
      </c>
      <c r="V651" s="133" t="s">
        <v>0</v>
      </c>
    </row>
    <row r="652" spans="1:22" x14ac:dyDescent="0.25">
      <c r="A652" s="158"/>
      <c r="B652" s="158"/>
      <c r="C652" s="158"/>
      <c r="D652" s="158"/>
      <c r="E652" s="158"/>
      <c r="F652" s="174"/>
      <c r="G652" s="175"/>
      <c r="H652" s="171"/>
      <c r="I652" s="171"/>
      <c r="J652" s="171"/>
      <c r="K652" s="171"/>
      <c r="L652" s="171"/>
      <c r="M652" s="171"/>
      <c r="N652" s="171"/>
      <c r="O652" s="171"/>
      <c r="P652" s="171"/>
      <c r="Q652" s="171"/>
      <c r="R652" s="158"/>
      <c r="S652" s="158"/>
      <c r="T652" s="158"/>
      <c r="U652" s="15">
        <f t="shared" si="207"/>
        <v>0</v>
      </c>
      <c r="V652" s="133" t="s">
        <v>0</v>
      </c>
    </row>
    <row r="653" spans="1:22" x14ac:dyDescent="0.25">
      <c r="A653" s="158"/>
      <c r="B653" s="158"/>
      <c r="C653" s="158"/>
      <c r="D653" s="158"/>
      <c r="E653" s="158"/>
      <c r="F653" s="176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5">
        <f t="shared" si="207"/>
        <v>0</v>
      </c>
      <c r="V653" s="133" t="s">
        <v>0</v>
      </c>
    </row>
    <row r="654" spans="1:22" x14ac:dyDescent="0.25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6"/>
    </row>
    <row r="655" spans="1:22" x14ac:dyDescent="0.25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6"/>
    </row>
    <row r="656" spans="1:22" x14ac:dyDescent="0.25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6"/>
    </row>
    <row r="657" spans="1:21" x14ac:dyDescent="0.25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6"/>
    </row>
    <row r="658" spans="1:21" x14ac:dyDescent="0.25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6"/>
    </row>
    <row r="659" spans="1:21" x14ac:dyDescent="0.25">
      <c r="A659" s="156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6"/>
    </row>
    <row r="660" spans="1:21" x14ac:dyDescent="0.25">
      <c r="A660" s="158"/>
      <c r="B660" s="158"/>
      <c r="C660" s="158"/>
      <c r="D660" s="158"/>
      <c r="E660" s="158"/>
      <c r="F660" s="170"/>
      <c r="G660" s="170"/>
      <c r="H660" s="170"/>
      <c r="I660" s="170"/>
      <c r="J660" s="170"/>
      <c r="K660" s="170"/>
      <c r="L660" s="170"/>
      <c r="M660" s="170"/>
      <c r="N660" s="170"/>
      <c r="O660" s="170"/>
      <c r="P660" s="170"/>
      <c r="Q660" s="170"/>
      <c r="R660" s="158"/>
      <c r="S660" s="158"/>
      <c r="T660" s="158"/>
      <c r="U660" s="16"/>
    </row>
    <row r="661" spans="1:21" x14ac:dyDescent="0.25">
      <c r="A661" s="158"/>
      <c r="B661" s="158"/>
      <c r="C661" s="158"/>
      <c r="D661" s="158"/>
      <c r="E661" s="158"/>
      <c r="F661" s="169"/>
      <c r="G661" s="169"/>
      <c r="H661" s="169"/>
      <c r="I661" s="169"/>
      <c r="J661" s="169"/>
      <c r="K661" s="169"/>
      <c r="L661" s="169"/>
      <c r="M661" s="169"/>
      <c r="N661" s="169"/>
      <c r="O661" s="169"/>
      <c r="P661" s="169"/>
      <c r="Q661" s="169"/>
      <c r="R661" s="158"/>
      <c r="S661" s="158"/>
      <c r="T661" s="158"/>
      <c r="U661" s="16"/>
    </row>
    <row r="662" spans="1:21" x14ac:dyDescent="0.25">
      <c r="A662" s="158"/>
      <c r="B662" s="158"/>
      <c r="C662" s="158"/>
      <c r="D662" s="158"/>
      <c r="E662" s="158"/>
      <c r="F662" s="170"/>
      <c r="G662" s="170"/>
      <c r="H662" s="170"/>
      <c r="I662" s="170"/>
      <c r="J662" s="170"/>
      <c r="K662" s="170"/>
      <c r="L662" s="170"/>
      <c r="M662" s="170"/>
      <c r="N662" s="170"/>
      <c r="O662" s="170"/>
      <c r="P662" s="170"/>
      <c r="Q662" s="170"/>
      <c r="R662" s="158"/>
      <c r="S662" s="158"/>
      <c r="T662" s="158"/>
      <c r="U662" s="16"/>
    </row>
    <row r="663" spans="1:21" x14ac:dyDescent="0.25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6"/>
    </row>
    <row r="664" spans="1:21" x14ac:dyDescent="0.25">
      <c r="A664" s="158"/>
      <c r="B664" s="158"/>
      <c r="C664" s="158"/>
      <c r="D664" s="158"/>
      <c r="E664" s="15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58"/>
      <c r="S664" s="158"/>
      <c r="T664" s="158"/>
      <c r="U664" s="16"/>
    </row>
    <row r="665" spans="1:21" x14ac:dyDescent="0.25">
      <c r="A665" s="158"/>
      <c r="B665" s="158"/>
      <c r="C665" s="158"/>
      <c r="D665" s="158"/>
      <c r="E665" s="158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58"/>
      <c r="S665" s="158"/>
      <c r="T665" s="158"/>
      <c r="U665" s="16"/>
    </row>
    <row r="666" spans="1:21" x14ac:dyDescent="0.25">
      <c r="A666" s="158"/>
      <c r="B666" s="158"/>
      <c r="C666" s="158"/>
      <c r="D666" s="158"/>
      <c r="E666" s="158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58"/>
      <c r="S666" s="158"/>
      <c r="T666" s="158"/>
      <c r="U666" s="16"/>
    </row>
    <row r="667" spans="1:21" x14ac:dyDescent="0.25">
      <c r="A667" s="158"/>
      <c r="B667" s="158"/>
      <c r="C667" s="158"/>
      <c r="D667" s="158"/>
      <c r="E667" s="158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58"/>
      <c r="S667" s="158"/>
      <c r="T667" s="158"/>
      <c r="U667" s="16"/>
    </row>
    <row r="668" spans="1:21" x14ac:dyDescent="0.25">
      <c r="A668" s="158"/>
      <c r="B668" s="158"/>
      <c r="C668" s="158"/>
      <c r="D668" s="158"/>
      <c r="E668" s="158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58"/>
      <c r="S668" s="158"/>
      <c r="T668" s="158"/>
      <c r="U668" s="16"/>
    </row>
    <row r="669" spans="1:21" x14ac:dyDescent="0.25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6"/>
    </row>
    <row r="670" spans="1:21" x14ac:dyDescent="0.25">
      <c r="A670" s="158"/>
      <c r="B670" s="158"/>
      <c r="C670" s="158"/>
      <c r="D670" s="158"/>
      <c r="E670" s="15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58"/>
      <c r="S670" s="158"/>
      <c r="T670" s="158"/>
      <c r="U670" s="16"/>
    </row>
    <row r="671" spans="1:21" x14ac:dyDescent="0.25">
      <c r="A671" s="158"/>
      <c r="B671" s="158"/>
      <c r="C671" s="158"/>
      <c r="D671" s="158"/>
      <c r="E671" s="158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58"/>
      <c r="S671" s="158"/>
      <c r="T671" s="158"/>
      <c r="U671" s="16"/>
    </row>
    <row r="672" spans="1:21" x14ac:dyDescent="0.25">
      <c r="A672" s="158"/>
      <c r="B672" s="158"/>
      <c r="C672" s="158"/>
      <c r="D672" s="158"/>
      <c r="E672" s="15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58"/>
      <c r="S672" s="158"/>
      <c r="T672" s="158"/>
      <c r="U672" s="16"/>
    </row>
    <row r="673" spans="1:21" x14ac:dyDescent="0.25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6"/>
    </row>
    <row r="674" spans="1:21" x14ac:dyDescent="0.25">
      <c r="A674" s="158"/>
      <c r="B674" s="158"/>
      <c r="C674" s="158"/>
      <c r="D674" s="158"/>
      <c r="E674" s="158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3"/>
      <c r="R674" s="158"/>
      <c r="S674" s="158"/>
      <c r="T674" s="158"/>
      <c r="U674" s="16"/>
    </row>
    <row r="675" spans="1:21" x14ac:dyDescent="0.25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6"/>
    </row>
    <row r="676" spans="1:21" x14ac:dyDescent="0.25">
      <c r="A676" s="158"/>
      <c r="B676" s="158"/>
      <c r="C676" s="158"/>
      <c r="D676" s="158"/>
      <c r="E676" s="158"/>
      <c r="F676" s="171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  <c r="R676" s="158"/>
      <c r="S676" s="158"/>
      <c r="T676" s="158"/>
      <c r="U676" s="16"/>
    </row>
    <row r="677" spans="1:21" x14ac:dyDescent="0.25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6"/>
    </row>
    <row r="678" spans="1:21" x14ac:dyDescent="0.25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6"/>
    </row>
    <row r="679" spans="1:21" x14ac:dyDescent="0.25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6"/>
    </row>
    <row r="680" spans="1:21" x14ac:dyDescent="0.25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  <c r="R680" s="158"/>
      <c r="S680" s="158"/>
      <c r="T680" s="158"/>
      <c r="U680" s="16"/>
    </row>
    <row r="681" spans="1:21" x14ac:dyDescent="0.25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  <c r="R681" s="158"/>
      <c r="S681" s="158"/>
      <c r="T681" s="158"/>
      <c r="U681" s="16"/>
    </row>
    <row r="682" spans="1:21" x14ac:dyDescent="0.25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  <c r="R682" s="158"/>
      <c r="S682" s="158"/>
      <c r="T682" s="158"/>
      <c r="U682" s="16"/>
    </row>
    <row r="683" spans="1:21" x14ac:dyDescent="0.25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  <c r="R683" s="158"/>
      <c r="S683" s="158"/>
      <c r="T683" s="158"/>
      <c r="U683" s="16"/>
    </row>
    <row r="684" spans="1:21" x14ac:dyDescent="0.25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  <c r="R684" s="158"/>
      <c r="S684" s="158"/>
      <c r="T684" s="158"/>
      <c r="U684" s="16"/>
    </row>
    <row r="685" spans="1:21" x14ac:dyDescent="0.25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  <c r="R685" s="158"/>
      <c r="S685" s="158"/>
      <c r="T685" s="158"/>
      <c r="U685" s="16"/>
    </row>
    <row r="686" spans="1:21" x14ac:dyDescent="0.25">
      <c r="A686" s="156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  <c r="R686" s="158"/>
      <c r="S686" s="158"/>
      <c r="T686" s="158"/>
      <c r="U686" s="16"/>
    </row>
    <row r="687" spans="1:21" x14ac:dyDescent="0.25">
      <c r="A687" s="158"/>
      <c r="B687" s="158"/>
      <c r="C687" s="158"/>
      <c r="D687" s="158"/>
      <c r="E687" s="158"/>
      <c r="F687" s="170"/>
      <c r="G687" s="170"/>
      <c r="H687" s="170"/>
      <c r="I687" s="170"/>
      <c r="J687" s="170"/>
      <c r="K687" s="170"/>
      <c r="L687" s="170"/>
      <c r="M687" s="170"/>
      <c r="N687" s="170"/>
      <c r="O687" s="170"/>
      <c r="P687" s="170"/>
      <c r="Q687" s="170"/>
      <c r="R687" s="158"/>
      <c r="S687" s="158"/>
      <c r="T687" s="158"/>
      <c r="U687" s="16"/>
    </row>
    <row r="688" spans="1:21" x14ac:dyDescent="0.25">
      <c r="A688" s="158"/>
      <c r="B688" s="158"/>
      <c r="C688" s="158"/>
      <c r="D688" s="158"/>
      <c r="E688" s="158"/>
      <c r="F688" s="169"/>
      <c r="G688" s="169"/>
      <c r="H688" s="169"/>
      <c r="I688" s="169"/>
      <c r="J688" s="169"/>
      <c r="K688" s="169"/>
      <c r="L688" s="169"/>
      <c r="M688" s="169"/>
      <c r="N688" s="169"/>
      <c r="O688" s="169"/>
      <c r="P688" s="169"/>
      <c r="Q688" s="169"/>
      <c r="R688" s="158"/>
      <c r="S688" s="158"/>
      <c r="T688" s="158"/>
      <c r="U688" s="16"/>
    </row>
    <row r="689" spans="1:21" x14ac:dyDescent="0.25">
      <c r="A689" s="158"/>
      <c r="B689" s="158"/>
      <c r="C689" s="158"/>
      <c r="D689" s="158"/>
      <c r="E689" s="158"/>
      <c r="F689" s="170"/>
      <c r="G689" s="170"/>
      <c r="H689" s="170"/>
      <c r="I689" s="170"/>
      <c r="J689" s="170"/>
      <c r="K689" s="170"/>
      <c r="L689" s="170"/>
      <c r="M689" s="170"/>
      <c r="N689" s="170"/>
      <c r="O689" s="170"/>
      <c r="P689" s="170"/>
      <c r="Q689" s="170"/>
      <c r="R689" s="158"/>
      <c r="S689" s="158"/>
      <c r="T689" s="158"/>
      <c r="U689" s="16"/>
    </row>
    <row r="690" spans="1:21" x14ac:dyDescent="0.25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  <c r="R690" s="158"/>
      <c r="S690" s="158"/>
      <c r="T690" s="158"/>
      <c r="U690" s="16"/>
    </row>
    <row r="691" spans="1:21" x14ac:dyDescent="0.25">
      <c r="A691" s="158"/>
      <c r="B691" s="158"/>
      <c r="C691" s="158"/>
      <c r="D691" s="158"/>
      <c r="E691" s="15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58"/>
      <c r="S691" s="158"/>
      <c r="T691" s="158"/>
      <c r="U691" s="16"/>
    </row>
    <row r="692" spans="1:21" x14ac:dyDescent="0.25">
      <c r="A692" s="158"/>
      <c r="B692" s="158"/>
      <c r="C692" s="158"/>
      <c r="D692" s="158"/>
      <c r="E692" s="158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58"/>
      <c r="S692" s="158"/>
      <c r="T692" s="158"/>
      <c r="U692" s="16"/>
    </row>
    <row r="693" spans="1:21" x14ac:dyDescent="0.25">
      <c r="A693" s="158"/>
      <c r="B693" s="158"/>
      <c r="C693" s="158"/>
      <c r="D693" s="158"/>
      <c r="E693" s="158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58"/>
      <c r="S693" s="158"/>
      <c r="T693" s="158"/>
      <c r="U693" s="16"/>
    </row>
    <row r="694" spans="1:21" x14ac:dyDescent="0.25">
      <c r="A694" s="158"/>
      <c r="B694" s="158"/>
      <c r="C694" s="158"/>
      <c r="D694" s="158"/>
      <c r="E694" s="158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58"/>
      <c r="S694" s="158"/>
      <c r="T694" s="158"/>
      <c r="U694" s="16"/>
    </row>
    <row r="695" spans="1:21" x14ac:dyDescent="0.25">
      <c r="A695" s="158"/>
      <c r="B695" s="158"/>
      <c r="C695" s="158"/>
      <c r="D695" s="158"/>
      <c r="E695" s="158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58"/>
      <c r="S695" s="158"/>
      <c r="T695" s="158"/>
      <c r="U695" s="16"/>
    </row>
    <row r="696" spans="1:21" x14ac:dyDescent="0.25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  <c r="R696" s="158"/>
      <c r="S696" s="158"/>
      <c r="T696" s="158"/>
      <c r="U696" s="16"/>
    </row>
    <row r="697" spans="1:21" x14ac:dyDescent="0.25">
      <c r="A697" s="158"/>
      <c r="B697" s="158"/>
      <c r="C697" s="158"/>
      <c r="D697" s="158"/>
      <c r="E697" s="15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58"/>
      <c r="S697" s="158"/>
      <c r="T697" s="158"/>
      <c r="U697" s="16"/>
    </row>
    <row r="698" spans="1:21" x14ac:dyDescent="0.25">
      <c r="A698" s="158"/>
      <c r="B698" s="158"/>
      <c r="C698" s="158"/>
      <c r="D698" s="158"/>
      <c r="E698" s="158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58"/>
      <c r="S698" s="158"/>
      <c r="T698" s="158"/>
      <c r="U698" s="16"/>
    </row>
    <row r="699" spans="1:21" x14ac:dyDescent="0.25">
      <c r="A699" s="158"/>
      <c r="B699" s="158"/>
      <c r="C699" s="158"/>
      <c r="D699" s="158"/>
      <c r="E699" s="15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58"/>
      <c r="S699" s="158"/>
      <c r="T699" s="158"/>
      <c r="U699" s="16"/>
    </row>
    <row r="700" spans="1:21" x14ac:dyDescent="0.25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  <c r="R700" s="158"/>
      <c r="S700" s="158"/>
      <c r="T700" s="158"/>
      <c r="U700" s="16"/>
    </row>
    <row r="701" spans="1:21" x14ac:dyDescent="0.25">
      <c r="A701" s="158"/>
      <c r="B701" s="158"/>
      <c r="C701" s="158"/>
      <c r="D701" s="158"/>
      <c r="E701" s="158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3"/>
      <c r="R701" s="158"/>
      <c r="S701" s="158"/>
      <c r="T701" s="158"/>
      <c r="U701" s="16"/>
    </row>
    <row r="702" spans="1:21" x14ac:dyDescent="0.25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  <c r="R702" s="158"/>
      <c r="S702" s="158"/>
      <c r="T702" s="158"/>
      <c r="U702" s="16"/>
    </row>
    <row r="703" spans="1:21" x14ac:dyDescent="0.25">
      <c r="A703" s="158"/>
      <c r="B703" s="158"/>
      <c r="C703" s="158"/>
      <c r="D703" s="158"/>
      <c r="E703" s="158"/>
      <c r="F703" s="171"/>
      <c r="G703" s="171"/>
      <c r="H703" s="171"/>
      <c r="I703" s="171"/>
      <c r="J703" s="171"/>
      <c r="K703" s="171"/>
      <c r="L703" s="171"/>
      <c r="M703" s="171"/>
      <c r="N703" s="171"/>
      <c r="O703" s="171"/>
      <c r="P703" s="171"/>
      <c r="Q703" s="171"/>
      <c r="R703" s="158"/>
      <c r="S703" s="158"/>
      <c r="T703" s="158"/>
      <c r="U703" s="16"/>
    </row>
    <row r="704" spans="1:21" x14ac:dyDescent="0.25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  <c r="R704" s="158"/>
      <c r="S704" s="158"/>
      <c r="T704" s="158"/>
      <c r="U704" s="16"/>
    </row>
    <row r="705" spans="1:21" x14ac:dyDescent="0.25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  <c r="R705" s="158"/>
      <c r="S705" s="158"/>
      <c r="T705" s="158"/>
      <c r="U705" s="16"/>
    </row>
    <row r="706" spans="1:21" x14ac:dyDescent="0.25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  <c r="R706" s="158"/>
      <c r="S706" s="158"/>
      <c r="T706" s="158"/>
      <c r="U706" s="16"/>
    </row>
    <row r="707" spans="1:21" x14ac:dyDescent="0.25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  <c r="R707" s="158"/>
      <c r="S707" s="158"/>
      <c r="T707" s="158"/>
      <c r="U707" s="16"/>
    </row>
    <row r="708" spans="1:21" x14ac:dyDescent="0.25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  <c r="R708" s="158"/>
      <c r="S708" s="158"/>
      <c r="T708" s="158"/>
      <c r="U708" s="16"/>
    </row>
    <row r="709" spans="1:21" x14ac:dyDescent="0.25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  <c r="R709" s="158"/>
      <c r="S709" s="158"/>
      <c r="T709" s="158"/>
      <c r="U709" s="16"/>
    </row>
    <row r="710" spans="1:21" x14ac:dyDescent="0.25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  <c r="R710" s="158"/>
      <c r="S710" s="158"/>
      <c r="T710" s="158"/>
      <c r="U710" s="16"/>
    </row>
    <row r="711" spans="1:21" x14ac:dyDescent="0.25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  <c r="R711" s="158"/>
      <c r="S711" s="158"/>
      <c r="T711" s="158"/>
      <c r="U711" s="16"/>
    </row>
    <row r="712" spans="1:21" x14ac:dyDescent="0.25">
      <c r="A712" s="158"/>
      <c r="B712" s="158"/>
      <c r="C712" s="158"/>
      <c r="D712" s="158"/>
      <c r="E712" s="158"/>
      <c r="F712" s="168"/>
      <c r="G712" s="158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  <c r="R712" s="158"/>
      <c r="S712" s="158"/>
      <c r="T712" s="158"/>
      <c r="U712" s="16"/>
    </row>
    <row r="713" spans="1:21" x14ac:dyDescent="0.25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  <c r="R713" s="158"/>
      <c r="S713" s="158"/>
      <c r="T713" s="158"/>
      <c r="U713" s="158"/>
    </row>
    <row r="714" spans="1:21" x14ac:dyDescent="0.25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  <c r="R714" s="158"/>
      <c r="S714" s="158"/>
      <c r="T714" s="158"/>
      <c r="U714" s="158"/>
    </row>
    <row r="715" spans="1:21" x14ac:dyDescent="0.25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  <c r="R715" s="158"/>
      <c r="S715" s="158"/>
      <c r="T715" s="158"/>
      <c r="U715" s="158"/>
    </row>
    <row r="716" spans="1:21" x14ac:dyDescent="0.25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  <c r="R716" s="158"/>
      <c r="S716" s="158"/>
      <c r="T716" s="158"/>
      <c r="U716" s="158"/>
    </row>
    <row r="717" spans="1:21" x14ac:dyDescent="0.25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  <c r="R717" s="158"/>
      <c r="S717" s="158"/>
      <c r="T717" s="158"/>
      <c r="U717" s="158"/>
    </row>
    <row r="718" spans="1:21" x14ac:dyDescent="0.25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  <c r="R718" s="158"/>
      <c r="S718" s="158"/>
      <c r="T718" s="158"/>
      <c r="U718" s="158"/>
    </row>
    <row r="719" spans="1:21" x14ac:dyDescent="0.25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  <c r="R719" s="158"/>
      <c r="S719" s="158"/>
      <c r="T719" s="158"/>
      <c r="U719" s="158"/>
    </row>
    <row r="720" spans="1:21" x14ac:dyDescent="0.25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  <c r="R720" s="158"/>
      <c r="S720" s="158"/>
      <c r="T720" s="158"/>
      <c r="U720" s="158"/>
    </row>
    <row r="721" spans="1:21" x14ac:dyDescent="0.25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  <c r="R721" s="158"/>
      <c r="S721" s="158"/>
      <c r="T721" s="158"/>
      <c r="U721" s="158"/>
    </row>
    <row r="722" spans="1:21" x14ac:dyDescent="0.25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  <c r="R722" s="158"/>
      <c r="S722" s="158"/>
      <c r="T722" s="158"/>
      <c r="U722" s="158"/>
    </row>
    <row r="723" spans="1:21" x14ac:dyDescent="0.25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  <c r="R723" s="158"/>
      <c r="S723" s="158"/>
      <c r="T723" s="158"/>
      <c r="U723" s="158"/>
    </row>
    <row r="724" spans="1:21" x14ac:dyDescent="0.25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  <c r="R724" s="158"/>
      <c r="S724" s="158"/>
      <c r="T724" s="158"/>
      <c r="U724" s="158"/>
    </row>
    <row r="725" spans="1:21" x14ac:dyDescent="0.25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  <c r="R725" s="158"/>
      <c r="S725" s="158"/>
      <c r="T725" s="158"/>
      <c r="U725" s="158"/>
    </row>
    <row r="726" spans="1:21" x14ac:dyDescent="0.25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  <c r="R726" s="158"/>
      <c r="S726" s="158"/>
      <c r="T726" s="158"/>
      <c r="U726" s="158"/>
    </row>
    <row r="727" spans="1:21" x14ac:dyDescent="0.25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  <c r="R727" s="158"/>
      <c r="S727" s="158"/>
      <c r="T727" s="158"/>
      <c r="U727" s="158"/>
    </row>
    <row r="728" spans="1:21" x14ac:dyDescent="0.25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  <c r="R728" s="158"/>
      <c r="S728" s="158"/>
      <c r="T728" s="158"/>
      <c r="U728" s="158"/>
    </row>
    <row r="729" spans="1:21" x14ac:dyDescent="0.25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  <c r="R729" s="158"/>
      <c r="S729" s="158"/>
      <c r="T729" s="158"/>
      <c r="U729" s="158"/>
    </row>
    <row r="730" spans="1:21" x14ac:dyDescent="0.25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  <c r="R730" s="158"/>
      <c r="S730" s="158"/>
      <c r="T730" s="158"/>
      <c r="U730" s="158"/>
    </row>
    <row r="731" spans="1:21" x14ac:dyDescent="0.25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  <c r="R731" s="158"/>
      <c r="S731" s="158"/>
      <c r="T731" s="158"/>
      <c r="U731" s="158"/>
    </row>
    <row r="732" spans="1:21" x14ac:dyDescent="0.25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  <c r="R732" s="158"/>
      <c r="S732" s="158"/>
      <c r="T732" s="158"/>
      <c r="U732" s="158"/>
    </row>
    <row r="733" spans="1:21" x14ac:dyDescent="0.25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  <c r="R733" s="158"/>
      <c r="S733" s="158"/>
      <c r="T733" s="158"/>
      <c r="U733" s="158"/>
    </row>
    <row r="734" spans="1:21" x14ac:dyDescent="0.25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  <c r="R734" s="158"/>
      <c r="S734" s="158"/>
      <c r="T734" s="158"/>
      <c r="U734" s="158"/>
    </row>
    <row r="735" spans="1:21" x14ac:dyDescent="0.25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  <c r="R735" s="158"/>
      <c r="S735" s="158"/>
      <c r="T735" s="158"/>
      <c r="U735" s="158"/>
    </row>
    <row r="736" spans="1:21" x14ac:dyDescent="0.25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  <c r="R736" s="158"/>
      <c r="S736" s="158"/>
      <c r="T736" s="158"/>
      <c r="U736" s="158"/>
    </row>
    <row r="737" spans="1:21" x14ac:dyDescent="0.25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  <c r="R737" s="158"/>
      <c r="S737" s="158"/>
      <c r="T737" s="158"/>
      <c r="U737" s="158"/>
    </row>
    <row r="738" spans="1:21" x14ac:dyDescent="0.25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  <c r="R738" s="158"/>
      <c r="S738" s="158"/>
      <c r="T738" s="158"/>
      <c r="U738" s="158"/>
    </row>
    <row r="739" spans="1:21" x14ac:dyDescent="0.25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  <c r="R739" s="158"/>
      <c r="S739" s="158"/>
      <c r="T739" s="158"/>
      <c r="U739" s="158"/>
    </row>
    <row r="740" spans="1:21" x14ac:dyDescent="0.25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  <c r="R740" s="158"/>
      <c r="S740" s="158"/>
      <c r="T740" s="158"/>
      <c r="U740" s="158"/>
    </row>
    <row r="741" spans="1:21" x14ac:dyDescent="0.25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  <c r="R741" s="158"/>
      <c r="S741" s="158"/>
      <c r="T741" s="158"/>
      <c r="U741" s="158"/>
    </row>
    <row r="742" spans="1:21" x14ac:dyDescent="0.25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  <c r="R742" s="158"/>
      <c r="S742" s="158"/>
      <c r="T742" s="158"/>
      <c r="U742" s="158"/>
    </row>
    <row r="743" spans="1:21" x14ac:dyDescent="0.25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  <c r="R743" s="158"/>
      <c r="S743" s="158"/>
      <c r="T743" s="158"/>
      <c r="U743" s="158"/>
    </row>
    <row r="744" spans="1:21" x14ac:dyDescent="0.25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  <c r="R744" s="158"/>
      <c r="S744" s="158"/>
      <c r="T744" s="158"/>
      <c r="U744" s="158"/>
    </row>
    <row r="745" spans="1:21" x14ac:dyDescent="0.25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  <c r="R745" s="158"/>
      <c r="S745" s="158"/>
      <c r="T745" s="158"/>
      <c r="U745" s="158"/>
    </row>
    <row r="746" spans="1:21" x14ac:dyDescent="0.25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  <c r="R746" s="158"/>
      <c r="S746" s="158"/>
      <c r="T746" s="158"/>
      <c r="U746" s="158"/>
    </row>
    <row r="747" spans="1:21" x14ac:dyDescent="0.25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  <c r="R747" s="158"/>
      <c r="S747" s="158"/>
      <c r="T747" s="158"/>
      <c r="U747" s="158"/>
    </row>
    <row r="748" spans="1:21" x14ac:dyDescent="0.25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  <c r="R748" s="158"/>
      <c r="S748" s="158"/>
      <c r="T748" s="158"/>
      <c r="U748" s="158"/>
    </row>
    <row r="749" spans="1:21" x14ac:dyDescent="0.25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  <c r="R749" s="158"/>
      <c r="S749" s="158"/>
      <c r="T749" s="158"/>
      <c r="U749" s="158"/>
    </row>
    <row r="750" spans="1:21" x14ac:dyDescent="0.25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  <c r="R750" s="158"/>
      <c r="S750" s="158"/>
      <c r="T750" s="158"/>
      <c r="U750" s="158"/>
    </row>
    <row r="751" spans="1:21" x14ac:dyDescent="0.25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  <c r="R751" s="158"/>
      <c r="S751" s="158"/>
      <c r="T751" s="158"/>
      <c r="U751" s="158"/>
    </row>
    <row r="752" spans="1:21" x14ac:dyDescent="0.25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  <c r="R752" s="158"/>
      <c r="S752" s="158"/>
      <c r="T752" s="158"/>
      <c r="U752" s="158"/>
    </row>
    <row r="753" spans="1:21" x14ac:dyDescent="0.25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  <c r="R753" s="158"/>
      <c r="S753" s="158"/>
      <c r="T753" s="158"/>
      <c r="U753" s="158"/>
    </row>
  </sheetData>
  <autoFilter ref="D2:E753"/>
  <phoneticPr fontId="0" type="noConversion"/>
  <pageMargins left="0.75" right="0.75" top="1.6" bottom="0.65" header="0.5" footer="0.5"/>
  <pageSetup scale="55" pageOrder="overThenDown" orientation="landscape" r:id="rId1"/>
  <headerFooter alignWithMargins="0">
    <oddHeader>&amp;C&amp;"Times New Roman,Bold"&amp;14LOUISVILLE GAS AND ELECTRIC COMPANY
Cost of Service Study
Class Allocation</oddHeader>
  </headerFooter>
  <rowBreaks count="17" manualBreakCount="17">
    <brk id="49" max="11" man="1"/>
    <brk id="97" max="11" man="1"/>
    <brk id="145" max="11" man="1"/>
    <brk id="192" max="11" man="1"/>
    <brk id="237" max="11" man="1"/>
    <brk id="281" max="16383" man="1"/>
    <brk id="325" max="16383" man="1"/>
    <brk id="369" max="11" man="1"/>
    <brk id="416" max="11" man="1"/>
    <brk id="461" max="11" man="1"/>
    <brk id="491" max="11" man="1"/>
    <brk id="554" max="11" man="1"/>
    <brk id="575" max="11" man="1"/>
    <brk id="604" max="11" man="1"/>
    <brk id="632" max="16383" man="1"/>
    <brk id="658" max="16383" man="1"/>
    <brk id="6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Normal="100" zoomScaleSheetLayoutView="100" workbookViewId="0">
      <selection activeCell="A5" sqref="A5:G5"/>
    </sheetView>
  </sheetViews>
  <sheetFormatPr defaultRowHeight="12.75" x14ac:dyDescent="0.2"/>
  <cols>
    <col min="1" max="1" width="48.140625" bestFit="1" customWidth="1"/>
    <col min="3" max="3" width="19" style="11" bestFit="1" customWidth="1"/>
    <col min="4" max="4" width="19.7109375" style="11" customWidth="1"/>
    <col min="5" max="5" width="18" style="11" customWidth="1"/>
    <col min="6" max="6" width="18.85546875" style="8" customWidth="1"/>
    <col min="7" max="7" width="14.140625" customWidth="1"/>
    <col min="8" max="10" width="16.5703125" style="4" customWidth="1"/>
    <col min="12" max="14" width="15.7109375" style="4" customWidth="1"/>
    <col min="15" max="15" width="15.7109375" customWidth="1"/>
  </cols>
  <sheetData>
    <row r="1" spans="1:15" ht="14.25" x14ac:dyDescent="0.2">
      <c r="B1" s="35"/>
    </row>
    <row r="3" spans="1:15" ht="18.75" x14ac:dyDescent="0.3">
      <c r="A3" s="241" t="s">
        <v>752</v>
      </c>
      <c r="B3" s="241"/>
      <c r="C3" s="241"/>
      <c r="D3" s="241"/>
      <c r="E3" s="241"/>
      <c r="F3" s="241"/>
      <c r="G3" s="241"/>
    </row>
    <row r="4" spans="1:15" ht="14.25" x14ac:dyDescent="0.2">
      <c r="A4" s="242" t="s">
        <v>830</v>
      </c>
      <c r="B4" s="242"/>
      <c r="C4" s="242"/>
      <c r="D4" s="242"/>
      <c r="E4" s="242"/>
      <c r="F4" s="242"/>
      <c r="G4" s="242"/>
    </row>
    <row r="5" spans="1:15" x14ac:dyDescent="0.2">
      <c r="A5" s="14"/>
      <c r="B5" s="14"/>
      <c r="C5" s="243"/>
      <c r="D5" s="243"/>
      <c r="E5" s="243"/>
      <c r="F5" s="244"/>
      <c r="G5" s="14"/>
    </row>
    <row r="6" spans="1:15" ht="14.25" x14ac:dyDescent="0.2">
      <c r="A6" s="36"/>
      <c r="B6" s="35"/>
      <c r="C6" s="233"/>
      <c r="D6" s="230" t="s">
        <v>826</v>
      </c>
      <c r="E6" s="230" t="s">
        <v>827</v>
      </c>
      <c r="F6" s="234"/>
      <c r="G6" s="27" t="s">
        <v>920</v>
      </c>
      <c r="H6" s="235"/>
      <c r="J6" s="8"/>
      <c r="O6" s="8"/>
    </row>
    <row r="7" spans="1:15" ht="15" thickBot="1" x14ac:dyDescent="0.25">
      <c r="A7" s="40"/>
      <c r="B7" s="41"/>
      <c r="C7" s="231" t="s">
        <v>686</v>
      </c>
      <c r="D7" s="231" t="s">
        <v>302</v>
      </c>
      <c r="E7" s="231" t="s">
        <v>828</v>
      </c>
      <c r="F7" s="232" t="s">
        <v>245</v>
      </c>
      <c r="G7" s="231" t="s">
        <v>829</v>
      </c>
      <c r="H7" s="231" t="s">
        <v>933</v>
      </c>
      <c r="J7" s="8"/>
      <c r="O7" s="8"/>
    </row>
    <row r="8" spans="1:15" ht="14.25" x14ac:dyDescent="0.2">
      <c r="A8" s="36"/>
      <c r="B8" s="35"/>
      <c r="J8" s="8"/>
      <c r="O8" s="8"/>
    </row>
    <row r="9" spans="1:15" ht="14.25" x14ac:dyDescent="0.2">
      <c r="A9" s="1" t="s">
        <v>833</v>
      </c>
      <c r="B9" s="35"/>
      <c r="C9" s="5">
        <f>Allocation!G480</f>
        <v>126868439.03557567</v>
      </c>
      <c r="D9" s="5">
        <f>Allocation!G487+Allocation!G515+Allocation!G519</f>
        <v>96301962.553347573</v>
      </c>
      <c r="E9" s="5">
        <f t="shared" ref="E9:E13" si="0">C9-D9</f>
        <v>30566476.4822281</v>
      </c>
      <c r="F9" s="5">
        <f>Allocation!G526</f>
        <v>471078648.23695004</v>
      </c>
      <c r="G9" s="44">
        <f t="shared" ref="G9:G14" si="1">E9/F9</f>
        <v>6.4886142890631132E-2</v>
      </c>
      <c r="H9" s="226">
        <v>5.0807797091749686E-2</v>
      </c>
      <c r="J9" s="8"/>
      <c r="O9" s="8"/>
    </row>
    <row r="10" spans="1:15" ht="14.25" x14ac:dyDescent="0.2">
      <c r="A10" s="1" t="s">
        <v>834</v>
      </c>
      <c r="B10" s="35"/>
      <c r="C10" s="4">
        <f>Allocation!H480</f>
        <v>45259169.848045699</v>
      </c>
      <c r="D10" s="4">
        <f>Allocation!H487+Allocation!H515+Allocation!H519</f>
        <v>35839645.52992627</v>
      </c>
      <c r="E10" s="4">
        <f t="shared" si="0"/>
        <v>9419524.3181194291</v>
      </c>
      <c r="F10" s="4">
        <f>Allocation!H526</f>
        <v>195659865.6677227</v>
      </c>
      <c r="G10" s="44">
        <f t="shared" si="1"/>
        <v>4.8142342763927051E-2</v>
      </c>
      <c r="H10" s="226">
        <v>7.3158975394918668E-2</v>
      </c>
      <c r="J10" s="8"/>
      <c r="O10" s="8"/>
    </row>
    <row r="11" spans="1:15" ht="14.25" x14ac:dyDescent="0.2">
      <c r="A11" s="12" t="s">
        <v>832</v>
      </c>
      <c r="B11" s="35"/>
      <c r="C11" s="9">
        <f>Allocation!I480</f>
        <v>5555867.4484669743</v>
      </c>
      <c r="D11" s="9">
        <f>Allocation!I487+Allocation!I515+Allocation!I519</f>
        <v>3892737.6994115282</v>
      </c>
      <c r="E11" s="9">
        <f t="shared" si="0"/>
        <v>1663129.7490554461</v>
      </c>
      <c r="F11" s="9">
        <f>Allocation!I526</f>
        <v>17524372.844614524</v>
      </c>
      <c r="G11" s="45">
        <f t="shared" si="1"/>
        <v>9.4903809899624922E-2</v>
      </c>
      <c r="H11" s="226">
        <v>0.21306318285177944</v>
      </c>
      <c r="J11" s="8"/>
      <c r="O11" s="8"/>
    </row>
    <row r="12" spans="1:15" x14ac:dyDescent="0.2">
      <c r="A12" s="12" t="s">
        <v>713</v>
      </c>
      <c r="C12" s="4">
        <f>Allocation!J480</f>
        <v>537300.38653933583</v>
      </c>
      <c r="D12" s="4">
        <f>Allocation!J487+Allocation!J515+Allocation!J519</f>
        <v>405917.39965516177</v>
      </c>
      <c r="E12" s="9">
        <f t="shared" si="0"/>
        <v>131382.98688417405</v>
      </c>
      <c r="F12" s="4">
        <f>Allocation!J526</f>
        <v>2084755.6696348684</v>
      </c>
      <c r="G12" s="44">
        <f t="shared" si="1"/>
        <v>6.3020808048544583E-2</v>
      </c>
      <c r="H12" s="226">
        <v>0.30694871779956612</v>
      </c>
    </row>
    <row r="13" spans="1:15" x14ac:dyDescent="0.2">
      <c r="A13" s="12" t="s">
        <v>835</v>
      </c>
      <c r="C13" s="10">
        <f>Allocation!K480</f>
        <v>5896139.8441703971</v>
      </c>
      <c r="D13" s="10">
        <f>Allocation!K487+Allocation!K515+Allocation!K519</f>
        <v>4902567.0874195835</v>
      </c>
      <c r="E13" s="10">
        <f t="shared" si="0"/>
        <v>993572.75675081369</v>
      </c>
      <c r="F13" s="10">
        <f>Allocation!K526</f>
        <v>26037084.67308291</v>
      </c>
      <c r="G13" s="46">
        <f t="shared" si="1"/>
        <v>3.8159908039856985E-2</v>
      </c>
      <c r="H13" s="236">
        <v>0.10997442917373787</v>
      </c>
    </row>
    <row r="14" spans="1:15" x14ac:dyDescent="0.2">
      <c r="C14" s="11">
        <f>SUM(C9:C13)</f>
        <v>184116916.56279808</v>
      </c>
      <c r="D14" s="11">
        <f>SUM(D9:D13)</f>
        <v>141342830.2697601</v>
      </c>
      <c r="E14" s="11">
        <f>SUM(E9:E13)</f>
        <v>42774086.293037966</v>
      </c>
      <c r="F14" s="11">
        <f>SUM(F9:F13)</f>
        <v>712384727.09200501</v>
      </c>
      <c r="G14" s="44">
        <f t="shared" si="1"/>
        <v>6.0043519556692661E-2</v>
      </c>
      <c r="H14" s="226">
        <v>6.004351955669264E-2</v>
      </c>
    </row>
    <row r="16" spans="1:15" ht="18.75" x14ac:dyDescent="0.3">
      <c r="A16" s="33" t="s">
        <v>752</v>
      </c>
      <c r="B16" s="35"/>
    </row>
    <row r="17" spans="1:15" ht="14.25" x14ac:dyDescent="0.2">
      <c r="A17" s="34" t="s">
        <v>831</v>
      </c>
    </row>
    <row r="18" spans="1:15" x14ac:dyDescent="0.2">
      <c r="A18" s="3" t="s">
        <v>837</v>
      </c>
    </row>
    <row r="21" spans="1:15" ht="14.25" x14ac:dyDescent="0.2">
      <c r="A21" s="36"/>
      <c r="B21" s="35"/>
      <c r="D21" s="37" t="s">
        <v>826</v>
      </c>
      <c r="E21" s="37" t="s">
        <v>827</v>
      </c>
      <c r="F21" s="38"/>
      <c r="G21" s="39"/>
      <c r="J21" s="8"/>
      <c r="O21" s="8"/>
    </row>
    <row r="22" spans="1:15" ht="15" thickBot="1" x14ac:dyDescent="0.25">
      <c r="A22" s="40"/>
      <c r="B22" s="41"/>
      <c r="C22" s="42" t="s">
        <v>686</v>
      </c>
      <c r="D22" s="42" t="s">
        <v>302</v>
      </c>
      <c r="E22" s="42" t="s">
        <v>828</v>
      </c>
      <c r="F22" s="43" t="s">
        <v>245</v>
      </c>
      <c r="G22" s="42" t="s">
        <v>829</v>
      </c>
      <c r="J22" s="8"/>
      <c r="O22" s="8"/>
    </row>
    <row r="23" spans="1:15" ht="14.25" x14ac:dyDescent="0.2">
      <c r="A23" s="36"/>
      <c r="B23" s="35"/>
      <c r="J23" s="8"/>
      <c r="O23" s="8"/>
    </row>
    <row r="24" spans="1:15" ht="14.25" x14ac:dyDescent="0.2">
      <c r="A24" s="1" t="s">
        <v>833</v>
      </c>
      <c r="B24" s="35"/>
      <c r="C24" s="5">
        <f>C9+Allocation!G561+Allocation!G562</f>
        <v>137452726.89325672</v>
      </c>
      <c r="D24" s="5">
        <f>D9+Allocation!G564+Allocation!G565+Allocation!G566</f>
        <v>100435968.01138397</v>
      </c>
      <c r="E24" s="5">
        <f t="shared" ref="E24:E28" si="2">C24-D24</f>
        <v>37016758.881872758</v>
      </c>
      <c r="F24" s="5">
        <f>Allocation!G570</f>
        <v>471078648.23695004</v>
      </c>
      <c r="G24" s="44">
        <f t="shared" ref="G24:G29" si="3">E24/F24</f>
        <v>7.8578723574950757E-2</v>
      </c>
      <c r="J24" s="8"/>
      <c r="O24" s="8"/>
    </row>
    <row r="25" spans="1:15" ht="14.25" x14ac:dyDescent="0.2">
      <c r="A25" s="1" t="s">
        <v>834</v>
      </c>
      <c r="B25" s="35"/>
      <c r="C25" s="4">
        <f>C10+Allocation!H561+Allocation!H562</f>
        <v>48422615.752977259</v>
      </c>
      <c r="D25" s="4">
        <f>D10+Allocation!H564+Allocation!H565+Allocation!H566</f>
        <v>37073910.629859723</v>
      </c>
      <c r="E25" s="4">
        <f t="shared" si="2"/>
        <v>11348705.123117536</v>
      </c>
      <c r="F25" s="4">
        <f>Allocation!H570</f>
        <v>195659865.6677227</v>
      </c>
      <c r="G25" s="44">
        <f t="shared" si="3"/>
        <v>5.8002212586562615E-2</v>
      </c>
      <c r="J25" s="8"/>
      <c r="O25" s="8"/>
    </row>
    <row r="26" spans="1:15" ht="14.25" x14ac:dyDescent="0.2">
      <c r="A26" s="12" t="s">
        <v>832</v>
      </c>
      <c r="B26" s="35"/>
      <c r="C26" s="9">
        <f>C11+Allocation!I561+Allocation!I562</f>
        <v>5555014.7170575447</v>
      </c>
      <c r="D26" s="9">
        <f>D11+Allocation!I564+Allocation!I565+Allocation!I566</f>
        <v>3893424.3227079585</v>
      </c>
      <c r="E26" s="9">
        <f t="shared" si="2"/>
        <v>1661590.3943495862</v>
      </c>
      <c r="F26" s="9">
        <f>Allocation!I570</f>
        <v>17524372.844614524</v>
      </c>
      <c r="G26" s="45">
        <f t="shared" si="3"/>
        <v>9.4815969112424778E-2</v>
      </c>
      <c r="J26" s="8"/>
      <c r="O26" s="8"/>
    </row>
    <row r="27" spans="1:15" x14ac:dyDescent="0.2">
      <c r="A27" s="12" t="s">
        <v>713</v>
      </c>
      <c r="C27" s="4">
        <f>C12+Allocation!J561+Allocation!J562</f>
        <v>465490.36273334955</v>
      </c>
      <c r="D27" s="4">
        <f>D12+Allocation!J564+Allocation!J565+Allocation!J566</f>
        <v>378260.73193765024</v>
      </c>
      <c r="E27" s="9">
        <f t="shared" si="2"/>
        <v>87229.630795699311</v>
      </c>
      <c r="F27" s="4">
        <f>Allocation!J570</f>
        <v>2084755.6696348684</v>
      </c>
      <c r="G27" s="44">
        <f t="shared" si="3"/>
        <v>4.1841656586537559E-2</v>
      </c>
    </row>
    <row r="28" spans="1:15" x14ac:dyDescent="0.2">
      <c r="A28" s="12" t="s">
        <v>835</v>
      </c>
      <c r="C28" s="4">
        <f>C13+Allocation!K561+Allocation!K562</f>
        <v>6049598.8367732149</v>
      </c>
      <c r="D28" s="4">
        <f>D13+Allocation!K564+Allocation!K565+Allocation!K566</f>
        <v>4962569.6648169532</v>
      </c>
      <c r="E28" s="4">
        <f t="shared" si="2"/>
        <v>1087029.1719562616</v>
      </c>
      <c r="F28" s="4">
        <f>Allocation!K570</f>
        <v>26037084.67308291</v>
      </c>
      <c r="G28" s="44">
        <f t="shared" si="3"/>
        <v>4.1749265926074676E-2</v>
      </c>
    </row>
    <row r="29" spans="1:15" x14ac:dyDescent="0.2">
      <c r="C29" s="11">
        <f>SUM(C24:C28)</f>
        <v>197945446.56279811</v>
      </c>
      <c r="D29" s="11">
        <f>SUM(D24:D28)</f>
        <v>146744133.36070624</v>
      </c>
      <c r="E29" s="11">
        <f>SUM(E24:E28)</f>
        <v>51201313.20209185</v>
      </c>
      <c r="F29" s="11">
        <f>SUM(F24:F28)</f>
        <v>712384727.09200501</v>
      </c>
      <c r="G29" s="44">
        <f t="shared" si="3"/>
        <v>7.1873120316740258E-2</v>
      </c>
    </row>
  </sheetData>
  <mergeCells count="2">
    <mergeCell ref="A3:G3"/>
    <mergeCell ref="A4:G4"/>
  </mergeCells>
  <printOptions horizontalCentered="1"/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9"/>
  <sheetViews>
    <sheetView workbookViewId="0"/>
  </sheetViews>
  <sheetFormatPr defaultRowHeight="12.75" x14ac:dyDescent="0.2"/>
  <cols>
    <col min="2" max="2" width="11.28515625" customWidth="1"/>
    <col min="3" max="3" width="12.85546875" bestFit="1" customWidth="1"/>
    <col min="4" max="4" width="10.28515625" bestFit="1" customWidth="1"/>
    <col min="5" max="5" width="12.140625" customWidth="1"/>
    <col min="6" max="6" width="13.85546875" customWidth="1"/>
    <col min="7" max="7" width="12.85546875" customWidth="1"/>
    <col min="8" max="8" width="14.42578125" customWidth="1"/>
    <col min="9" max="9" width="3.5703125" customWidth="1"/>
    <col min="10" max="10" width="16.85546875" bestFit="1" customWidth="1"/>
    <col min="11" max="11" width="17.85546875" customWidth="1"/>
  </cols>
  <sheetData>
    <row r="5" spans="1:11" ht="38.25" x14ac:dyDescent="0.2">
      <c r="B5" s="14"/>
      <c r="C5" s="14"/>
      <c r="D5" s="211" t="s">
        <v>879</v>
      </c>
      <c r="E5" s="211" t="s">
        <v>880</v>
      </c>
      <c r="F5" s="211" t="s">
        <v>881</v>
      </c>
      <c r="G5" s="211" t="s">
        <v>882</v>
      </c>
      <c r="H5" s="211" t="s">
        <v>14</v>
      </c>
      <c r="I5" s="212"/>
      <c r="J5" s="213" t="s">
        <v>883</v>
      </c>
      <c r="K5" s="213" t="s">
        <v>867</v>
      </c>
    </row>
    <row r="6" spans="1:11" x14ac:dyDescent="0.2">
      <c r="B6" t="s">
        <v>884</v>
      </c>
      <c r="D6" s="4">
        <v>306078</v>
      </c>
      <c r="E6" s="5">
        <v>36.073740680392262</v>
      </c>
      <c r="F6" s="5">
        <v>195.01837325779704</v>
      </c>
      <c r="G6" s="5">
        <v>87.853869554559964</v>
      </c>
      <c r="H6" s="5">
        <v>318.94598349121196</v>
      </c>
      <c r="J6" s="22">
        <f>D6*H6</f>
        <v>97622348.735023171</v>
      </c>
      <c r="K6" s="214">
        <f>J6</f>
        <v>97622348.735023171</v>
      </c>
    </row>
    <row r="7" spans="1:11" x14ac:dyDescent="0.2">
      <c r="B7" t="s">
        <v>885</v>
      </c>
      <c r="C7" t="s">
        <v>886</v>
      </c>
      <c r="D7" s="4">
        <v>25335</v>
      </c>
      <c r="E7" s="5">
        <v>122.6143313005302</v>
      </c>
      <c r="F7" s="5">
        <v>204.21190053285969</v>
      </c>
      <c r="G7" s="5">
        <v>449.99874062699774</v>
      </c>
      <c r="H7" s="5">
        <v>776.82497246064304</v>
      </c>
      <c r="I7" s="215"/>
      <c r="J7" s="22">
        <f t="shared" ref="J7:J13" si="0">D7*H7</f>
        <v>19680860.677290391</v>
      </c>
    </row>
    <row r="8" spans="1:11" ht="15" x14ac:dyDescent="0.25">
      <c r="B8" t="s">
        <v>885</v>
      </c>
      <c r="C8" t="s">
        <v>887</v>
      </c>
      <c r="D8" s="4">
        <v>1144</v>
      </c>
      <c r="E8" s="5">
        <v>1724.0640472027978</v>
      </c>
      <c r="F8" s="5">
        <v>956.49663461537637</v>
      </c>
      <c r="G8" s="5">
        <v>15163.782947038633</v>
      </c>
      <c r="H8" s="5">
        <v>17844.343628856841</v>
      </c>
      <c r="I8" s="22"/>
      <c r="J8" s="22">
        <f t="shared" si="0"/>
        <v>20413929.111412227</v>
      </c>
      <c r="K8" s="214">
        <f>J7+J8</f>
        <v>40094789.788702622</v>
      </c>
    </row>
    <row r="9" spans="1:11" x14ac:dyDescent="0.2">
      <c r="B9" t="s">
        <v>888</v>
      </c>
      <c r="C9" t="s">
        <v>886</v>
      </c>
      <c r="D9" s="4">
        <v>133</v>
      </c>
      <c r="E9" s="5">
        <v>458.05711654135348</v>
      </c>
      <c r="F9" s="5">
        <v>261.03947368421052</v>
      </c>
      <c r="G9" s="5">
        <v>2332.5844917336572</v>
      </c>
      <c r="H9" s="5">
        <v>3051.6810819592165</v>
      </c>
      <c r="I9" s="215"/>
      <c r="J9" s="22">
        <f t="shared" si="0"/>
        <v>405873.58390057582</v>
      </c>
    </row>
    <row r="10" spans="1:11" ht="15" x14ac:dyDescent="0.25">
      <c r="B10" t="s">
        <v>888</v>
      </c>
      <c r="C10" t="s">
        <v>887</v>
      </c>
      <c r="D10" s="4">
        <v>139</v>
      </c>
      <c r="E10" s="5">
        <v>3192.3526618705037</v>
      </c>
      <c r="F10" s="5">
        <v>1043.5920863309375</v>
      </c>
      <c r="G10" s="5">
        <v>16549.566412041542</v>
      </c>
      <c r="H10" s="5">
        <v>20785.511160243026</v>
      </c>
      <c r="I10" s="22"/>
      <c r="J10" s="22">
        <f t="shared" si="0"/>
        <v>2889186.0512737804</v>
      </c>
      <c r="K10" s="214">
        <f>J9+J10</f>
        <v>3295059.6351743564</v>
      </c>
    </row>
    <row r="11" spans="1:11" x14ac:dyDescent="0.2">
      <c r="B11" t="s">
        <v>889</v>
      </c>
      <c r="C11" t="s">
        <v>886</v>
      </c>
      <c r="D11" s="4">
        <v>3</v>
      </c>
      <c r="E11" s="4">
        <v>739.81333333333339</v>
      </c>
      <c r="F11" s="4">
        <v>314.5</v>
      </c>
      <c r="G11" s="4">
        <v>4019.0700326609026</v>
      </c>
      <c r="H11" s="4">
        <v>5073.3833659942366</v>
      </c>
      <c r="I11" s="215"/>
      <c r="J11" s="22">
        <f t="shared" si="0"/>
        <v>15220.150097982711</v>
      </c>
    </row>
    <row r="12" spans="1:11" ht="15" x14ac:dyDescent="0.25">
      <c r="B12" t="s">
        <v>889</v>
      </c>
      <c r="C12" t="s">
        <v>887</v>
      </c>
      <c r="D12" s="4">
        <v>170</v>
      </c>
      <c r="E12" s="4">
        <v>4508.088235294118</v>
      </c>
      <c r="F12" s="4">
        <v>1178.2270588235328</v>
      </c>
      <c r="G12" s="4">
        <v>18691.755412917446</v>
      </c>
      <c r="H12" s="4">
        <v>24378.070707035153</v>
      </c>
      <c r="I12" s="22"/>
      <c r="J12" s="22">
        <f t="shared" si="0"/>
        <v>4144272.0201959759</v>
      </c>
      <c r="K12" s="214">
        <f>J11+J12</f>
        <v>4159492.1702939584</v>
      </c>
    </row>
    <row r="13" spans="1:11" x14ac:dyDescent="0.2">
      <c r="B13" t="s">
        <v>890</v>
      </c>
      <c r="D13" s="4">
        <v>4</v>
      </c>
      <c r="E13" s="4">
        <v>3051.5</v>
      </c>
      <c r="F13" s="4">
        <v>1197.5999999999999</v>
      </c>
      <c r="G13" s="4">
        <v>19000</v>
      </c>
      <c r="H13" s="4">
        <v>23249.1</v>
      </c>
      <c r="J13" s="22">
        <f t="shared" si="0"/>
        <v>92996.4</v>
      </c>
      <c r="K13" s="214">
        <f>J13</f>
        <v>92996.4</v>
      </c>
    </row>
    <row r="14" spans="1:11" x14ac:dyDescent="0.2">
      <c r="K14" s="214">
        <f>SUM(K6:K13)</f>
        <v>145264686.72919413</v>
      </c>
    </row>
    <row r="16" spans="1:11" x14ac:dyDescent="0.2">
      <c r="A16" t="s">
        <v>891</v>
      </c>
    </row>
    <row r="17" spans="1:7" x14ac:dyDescent="0.2">
      <c r="A17" t="s">
        <v>892</v>
      </c>
    </row>
    <row r="18" spans="1:7" x14ac:dyDescent="0.2">
      <c r="A18" t="s">
        <v>893</v>
      </c>
    </row>
    <row r="19" spans="1:7" x14ac:dyDescent="0.2">
      <c r="A19" t="s">
        <v>894</v>
      </c>
    </row>
    <row r="20" spans="1:7" x14ac:dyDescent="0.2">
      <c r="A20" s="216" t="s">
        <v>895</v>
      </c>
    </row>
    <row r="21" spans="1:7" x14ac:dyDescent="0.2">
      <c r="G21" t="s">
        <v>896</v>
      </c>
    </row>
    <row r="22" spans="1:7" x14ac:dyDescent="0.2">
      <c r="A22" s="217" t="s">
        <v>897</v>
      </c>
      <c r="D22" s="5">
        <v>85.03</v>
      </c>
      <c r="E22" t="s">
        <v>898</v>
      </c>
      <c r="G22" s="5">
        <v>66</v>
      </c>
    </row>
    <row r="23" spans="1:7" x14ac:dyDescent="0.2">
      <c r="A23" s="217" t="s">
        <v>899</v>
      </c>
      <c r="D23" s="5">
        <v>258</v>
      </c>
      <c r="E23" t="s">
        <v>898</v>
      </c>
      <c r="G23" s="5">
        <v>141</v>
      </c>
    </row>
    <row r="24" spans="1:7" x14ac:dyDescent="0.2">
      <c r="A24" s="217" t="s">
        <v>900</v>
      </c>
      <c r="D24" s="5">
        <v>258</v>
      </c>
      <c r="E24" t="s">
        <v>898</v>
      </c>
      <c r="G24" s="5">
        <v>150</v>
      </c>
    </row>
    <row r="25" spans="1:7" x14ac:dyDescent="0.2">
      <c r="A25" s="217" t="s">
        <v>901</v>
      </c>
      <c r="D25" s="5">
        <v>5899.6050489913541</v>
      </c>
      <c r="E25" t="s">
        <v>898</v>
      </c>
      <c r="G25" s="5">
        <v>5000</v>
      </c>
    </row>
    <row r="26" spans="1:7" x14ac:dyDescent="0.2">
      <c r="A26" s="217" t="s">
        <v>902</v>
      </c>
      <c r="D26" s="5">
        <v>19000</v>
      </c>
      <c r="E26" t="s">
        <v>898</v>
      </c>
      <c r="G26" s="5">
        <v>12000</v>
      </c>
    </row>
    <row r="27" spans="1:7" x14ac:dyDescent="0.2">
      <c r="A27" s="217"/>
    </row>
    <row r="28" spans="1:7" x14ac:dyDescent="0.2">
      <c r="A28" s="217" t="s">
        <v>903</v>
      </c>
    </row>
    <row r="29" spans="1:7" x14ac:dyDescent="0.2">
      <c r="A29" s="217" t="s">
        <v>904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topLeftCell="A7" zoomScaleNormal="100" zoomScaleSheetLayoutView="75" workbookViewId="0">
      <selection activeCell="A12" sqref="A12"/>
    </sheetView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40.140625" style="49" customWidth="1"/>
    <col min="4" max="4" width="34.28515625" style="49" hidden="1" customWidth="1"/>
    <col min="5" max="8" width="16.7109375" style="49" customWidth="1"/>
    <col min="9" max="9" width="20.28515625" style="49" customWidth="1"/>
    <col min="10" max="10" width="14.5703125" style="49" customWidth="1"/>
    <col min="11" max="11" width="13.85546875" style="49" customWidth="1"/>
    <col min="12" max="12" width="17.42578125" style="49" customWidth="1"/>
    <col min="13" max="13" width="18.28515625" style="49" customWidth="1"/>
    <col min="14" max="14" width="1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37" t="s">
        <v>752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2:16" ht="15.75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6" ht="15.75" x14ac:dyDescent="0.25">
      <c r="B3" s="237" t="s">
        <v>778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6" ht="15.75" x14ac:dyDescent="0.25">
      <c r="B4" s="237" t="s">
        <v>876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37" t="s">
        <v>811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38" t="s">
        <v>779</v>
      </c>
      <c r="F10" s="239"/>
      <c r="G10" s="239"/>
      <c r="H10" s="240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3"/>
      <c r="E11" s="218" t="s">
        <v>909</v>
      </c>
      <c r="F11" s="218" t="s">
        <v>909</v>
      </c>
      <c r="G11" s="62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62" t="s">
        <v>782</v>
      </c>
      <c r="G12" s="62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Allocation!G80</f>
        <v>0</v>
      </c>
      <c r="F15" s="87">
        <f>Allocation!G82</f>
        <v>0</v>
      </c>
      <c r="G15" s="87">
        <f>Allocation!G86+Allocation!G89+Allocation!G92+Allocation!G95</f>
        <v>194093841.29853997</v>
      </c>
      <c r="H15" s="88">
        <f>E15+F15+G15</f>
        <v>194093841.29853997</v>
      </c>
      <c r="I15" s="89">
        <f>Allocation!G62+Allocation!G68</f>
        <v>112132808.07107888</v>
      </c>
      <c r="J15" s="88">
        <f>Allocation!G63</f>
        <v>907417.27526307188</v>
      </c>
      <c r="K15" s="87">
        <f>Allocation!G58+Allocation!G72</f>
        <v>180463.93082992191</v>
      </c>
      <c r="L15" s="90">
        <f>Allocation!G79</f>
        <v>133069156.67046599</v>
      </c>
      <c r="M15" s="91">
        <f>Allocation!G57+Allocation!G67+Allocation!G75+Allocation!G81</f>
        <v>30694960.990772251</v>
      </c>
      <c r="N15" s="92">
        <f>E15+F15+G15+K15+L15+M15+I15+J15</f>
        <v>471078648.2369501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0</v>
      </c>
      <c r="F17" s="87">
        <f>F15+F16</f>
        <v>0</v>
      </c>
      <c r="G17" s="87">
        <f>G15+G16</f>
        <v>194093841.29853997</v>
      </c>
      <c r="H17" s="88">
        <f>E17+F17+G17</f>
        <v>194093841.29853997</v>
      </c>
      <c r="I17" s="89">
        <f>I15+I16</f>
        <v>112132808.07107888</v>
      </c>
      <c r="J17" s="88">
        <f>J15+J16</f>
        <v>907417.27526307188</v>
      </c>
      <c r="K17" s="87">
        <f>K15+K16</f>
        <v>180463.93082992191</v>
      </c>
      <c r="L17" s="90">
        <f>L15+L16</f>
        <v>133069156.67046599</v>
      </c>
      <c r="M17" s="91">
        <f>M15+M16</f>
        <v>30694960.990772251</v>
      </c>
      <c r="N17" s="97">
        <f>E17+F17+G17+K17+L17+M17+I17+J17</f>
        <v>471078648.2369501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Allocation!G572</f>
        <v>7.8578723574950757E-2</v>
      </c>
      <c r="F19" s="99">
        <f>E19</f>
        <v>7.8578723574950757E-2</v>
      </c>
      <c r="G19" s="99">
        <f>E19</f>
        <v>7.8578723574950757E-2</v>
      </c>
      <c r="H19" s="100">
        <f>E19</f>
        <v>7.8578723574950757E-2</v>
      </c>
      <c r="I19" s="98">
        <f>E19</f>
        <v>7.8578723574950757E-2</v>
      </c>
      <c r="J19" s="100">
        <f>E19</f>
        <v>7.8578723574950757E-2</v>
      </c>
      <c r="K19" s="99">
        <f>E19</f>
        <v>7.8578723574950757E-2</v>
      </c>
      <c r="L19" s="101">
        <f>F19</f>
        <v>7.8578723574950757E-2</v>
      </c>
      <c r="M19" s="100">
        <f>G19</f>
        <v>7.8578723574950757E-2</v>
      </c>
      <c r="N19" s="100">
        <f>E19</f>
        <v>7.8578723574950757E-2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849</v>
      </c>
      <c r="D21" s="85" t="s">
        <v>794</v>
      </c>
      <c r="E21" s="86">
        <f>E17*E19</f>
        <v>0</v>
      </c>
      <c r="F21" s="87">
        <f>F17*F19</f>
        <v>0</v>
      </c>
      <c r="G21" s="87">
        <f>G17*G19</f>
        <v>15251646.302998334</v>
      </c>
      <c r="H21" s="88">
        <f>E21+F21+G21</f>
        <v>15251646.302998334</v>
      </c>
      <c r="I21" s="86">
        <f>I17*I19</f>
        <v>8811252.9291003142</v>
      </c>
      <c r="J21" s="91">
        <f>J17*J19</f>
        <v>71303.691240031927</v>
      </c>
      <c r="K21" s="87">
        <f>K17*K19</f>
        <v>14180.625335933468</v>
      </c>
      <c r="L21" s="90">
        <f>L17*L19</f>
        <v>10456404.478360362</v>
      </c>
      <c r="M21" s="91">
        <f>M17*M19</f>
        <v>2411970.8548377892</v>
      </c>
      <c r="N21" s="92">
        <f>E21+F21+G21+K21+L21+M21+I21+J21</f>
        <v>37016758.881872766</v>
      </c>
      <c r="P21" s="50">
        <f>H21+I21+J21+K21+L21+M21</f>
        <v>37016758.881872758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Allocation!G443</f>
        <v>0</v>
      </c>
      <c r="F23" s="87">
        <f>Allocation!G445</f>
        <v>0</v>
      </c>
      <c r="G23" s="87">
        <f>Allocation!G449+Allocation!G452+Allocation!G455+Allocation!G458</f>
        <v>3705637.692910647</v>
      </c>
      <c r="H23" s="88">
        <f>E23+F23+G23</f>
        <v>3705637.692910647</v>
      </c>
      <c r="I23" s="86">
        <f>Allocation!G426+Allocation!G432</f>
        <v>1590301.3702904829</v>
      </c>
      <c r="J23" s="91">
        <f>Allocation!G427</f>
        <v>0</v>
      </c>
      <c r="K23" s="87">
        <f>Allocation!G422+Allocation!G436</f>
        <v>0</v>
      </c>
      <c r="L23" s="90">
        <f>Allocation!G442</f>
        <v>2615881.7393369619</v>
      </c>
      <c r="M23" s="91">
        <f>Allocation!G421+Allocation!G431+Allocation!G439+Allocation!G444</f>
        <v>516900.01375439577</v>
      </c>
      <c r="N23" s="92">
        <f>E23+F23+G23+K23+L23+M23+I23+J23</f>
        <v>8428720.8162924871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850</v>
      </c>
      <c r="D25" s="85" t="s">
        <v>797</v>
      </c>
      <c r="E25" s="89">
        <f t="shared" ref="E25:M25" si="1">E21-E23</f>
        <v>0</v>
      </c>
      <c r="F25" s="102">
        <f t="shared" si="1"/>
        <v>0</v>
      </c>
      <c r="G25" s="102">
        <f t="shared" si="1"/>
        <v>11546008.610087687</v>
      </c>
      <c r="H25" s="88">
        <f t="shared" si="1"/>
        <v>11546008.610087687</v>
      </c>
      <c r="I25" s="89">
        <f t="shared" si="1"/>
        <v>7220951.5588098317</v>
      </c>
      <c r="J25" s="88">
        <f t="shared" si="1"/>
        <v>71303.691240031927</v>
      </c>
      <c r="K25" s="102">
        <f t="shared" si="1"/>
        <v>14180.625335933468</v>
      </c>
      <c r="L25" s="92">
        <f t="shared" si="1"/>
        <v>7840522.7390234005</v>
      </c>
      <c r="M25" s="88">
        <f t="shared" si="1"/>
        <v>1895070.8410833934</v>
      </c>
      <c r="N25" s="92">
        <f>N21-N23</f>
        <v>28588038.065580279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0</v>
      </c>
      <c r="F27" s="87">
        <f>$P$27*(F25/$N$25)</f>
        <v>0</v>
      </c>
      <c r="G27" s="87">
        <f>$P$27*(G25/$N$25)</f>
        <v>7326066.5464043962</v>
      </c>
      <c r="H27" s="88">
        <f>E27+G27+F27</f>
        <v>7326066.5464043962</v>
      </c>
      <c r="I27" s="86">
        <f>$P$27*(I25/$N$25)</f>
        <v>4581771.3665988352</v>
      </c>
      <c r="J27" s="91">
        <f>$P$27*(J25/$N$25)</f>
        <v>45242.958382375466</v>
      </c>
      <c r="K27" s="87">
        <f>$P$27*(K25/$N$25)</f>
        <v>8997.7591728028165</v>
      </c>
      <c r="L27" s="90">
        <f>$P$27*(L25/$N$25)</f>
        <v>4974895.9388872366</v>
      </c>
      <c r="M27" s="87">
        <f>$P$27*(M25/$N$25)</f>
        <v>1202442.8147227971</v>
      </c>
      <c r="N27" s="92">
        <f>E27+F27+G27+K27+L27+M27+I27+J27</f>
        <v>18139417.384168442</v>
      </c>
      <c r="P27" s="51">
        <f>Allocation!G519+Allocation!G509+Allocation!G564</f>
        <v>18139417.384168442</v>
      </c>
      <c r="S27" s="49">
        <f>1-(N27/N25)</f>
        <v>0.36548925314297365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Allocation!G126</f>
        <v>0</v>
      </c>
      <c r="F29" s="87">
        <f>Allocation!G128</f>
        <v>0</v>
      </c>
      <c r="G29" s="87">
        <f>Allocation!G132+Allocation!G135+Allocation!G138+Allocation!G141</f>
        <v>19995643.020223733</v>
      </c>
      <c r="H29" s="88">
        <f>E29+F29+G29</f>
        <v>19995643.020223733</v>
      </c>
      <c r="I29" s="89">
        <f>Allocation!G109+Allocation!G115</f>
        <v>6258442.2230501985</v>
      </c>
      <c r="J29" s="88">
        <f>Allocation!G110</f>
        <v>6622765.794084698</v>
      </c>
      <c r="K29" s="87">
        <f>Allocation!G105+Allocation!G119</f>
        <v>1317112.1828378006</v>
      </c>
      <c r="L29" s="90">
        <f>Allocation!G125</f>
        <v>11210589.416908029</v>
      </c>
      <c r="M29" s="91">
        <f>Allocation!G104+Allocation!G114+Allocation!G122+Allocation!G127</f>
        <v>3524434.8424414201</v>
      </c>
      <c r="N29" s="92">
        <f>E29+F29+G29+K29+L29+M29+I29+J29</f>
        <v>48928987.479545876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Allocation!G219</f>
        <v>0</v>
      </c>
      <c r="F30" s="94">
        <f>Allocation!G221</f>
        <v>0</v>
      </c>
      <c r="G30" s="94">
        <f>Allocation!G225+Allocation!G228+Allocation!G231+Allocation!G234</f>
        <v>13956402.181646669</v>
      </c>
      <c r="H30" s="95">
        <f>E30+F30+G30</f>
        <v>13956402.181646669</v>
      </c>
      <c r="I30" s="93">
        <f>Allocation!G202+Allocation!G208</f>
        <v>4007383.0980664687</v>
      </c>
      <c r="J30" s="95">
        <f>Allocation!G203</f>
        <v>0</v>
      </c>
      <c r="K30" s="94">
        <f>Allocation!G198+Allocation!G212</f>
        <v>0</v>
      </c>
      <c r="L30" s="96">
        <f>Allocation!G218</f>
        <v>6526739.3994696476</v>
      </c>
      <c r="M30" s="95">
        <f>Allocation!G197+Allocation!G207+Allocation!G215+Allocation!G220</f>
        <v>1501920.5858613919</v>
      </c>
      <c r="N30" s="96">
        <f>E30+F30+G30+K30+L30+M30+I30+J30</f>
        <v>25992445.265044179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Allocation!G396</f>
        <v>0</v>
      </c>
      <c r="F31" s="94">
        <f>Allocation!G398</f>
        <v>0</v>
      </c>
      <c r="G31" s="94">
        <f>Allocation!G402+Allocation!G405+Allocation!G408+Allocation!G411</f>
        <v>3233374.7581203836</v>
      </c>
      <c r="H31" s="95">
        <f>E31+F31+G31</f>
        <v>3233374.7581203836</v>
      </c>
      <c r="I31" s="93">
        <f>Allocation!G379+Allocation!G385</f>
        <v>1387626.296639544</v>
      </c>
      <c r="J31" s="95">
        <f>Allocation!G380</f>
        <v>0</v>
      </c>
      <c r="K31" s="94">
        <f>Allocation!G375+Allocation!G389</f>
        <v>0</v>
      </c>
      <c r="L31" s="96">
        <f>Allocation!G395</f>
        <v>2282502.1459549707</v>
      </c>
      <c r="M31" s="95">
        <f>Allocation!G374+Allocation!G384+Allocation!G392+Allocation!G397</f>
        <v>451023.97898828879</v>
      </c>
      <c r="N31" s="96">
        <f>E31+F31+G31+K31+L31+M31+I31+J31</f>
        <v>7354527.1797031872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Allocation!G264+Allocation!G308+Allocation!G352</f>
        <v>0</v>
      </c>
      <c r="F32" s="94">
        <f>Allocation!G266+Allocation!G310+Allocation!G354</f>
        <v>0</v>
      </c>
      <c r="G32" s="94">
        <f>Allocation!G270+Allocation!G273+Allocation!G276+Allocation!G279+Allocation!G314+Allocation!G317+Allocation!G320+Allocation!G323+Allocation!G358+Allocation!G361+Allocation!G364+Allocation!G367</f>
        <v>-10677.98102797269</v>
      </c>
      <c r="H32" s="95">
        <f>E32+F32+G32</f>
        <v>-10677.98102797269</v>
      </c>
      <c r="I32" s="93">
        <f>Allocation!G247+Allocation!G253+Allocation!G291+Allocation!G297+Allocation!G335+Allocation!G341</f>
        <v>-4160.515162260911</v>
      </c>
      <c r="J32" s="95">
        <f>Allocation!G248+Allocation!G292+Allocation!G336+Allocation!G380</f>
        <v>0</v>
      </c>
      <c r="K32" s="94">
        <f>Allocation!G243+Allocation!G257+Allocation!G287+Allocation!G301+Allocation!G331+Allocation!G345+Allocation!G375+Allocation!G389</f>
        <v>0</v>
      </c>
      <c r="L32" s="96">
        <f>Allocation!G307+Allocation!G351+Allocation!G263</f>
        <v>-7447.7564145814504</v>
      </c>
      <c r="M32" s="94">
        <f>Allocation!G242+Allocation!G252+Allocation!G260+Allocation!G265+Allocation!G286+Allocation!G296+Allocation!G304+Allocation!G309+Allocation!G330+Allocation!G340+Allocation!G348+Allocation!G353</f>
        <v>-1462.7123436419488</v>
      </c>
      <c r="N32" s="96">
        <f>E32+F32+G32+K32+L32+M32+I32+J32</f>
        <v>-23748.964948457004</v>
      </c>
      <c r="P32" s="52"/>
    </row>
    <row r="33" spans="2:17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0</v>
      </c>
      <c r="F33" s="94">
        <f t="shared" ref="F33:M33" si="2">(F29/$N$29)*$N$33</f>
        <v>0</v>
      </c>
      <c r="G33" s="94">
        <f t="shared" si="2"/>
        <v>18120.141373229813</v>
      </c>
      <c r="H33" s="95">
        <f>E33+F33+G33</f>
        <v>18120.141373229813</v>
      </c>
      <c r="I33" s="93">
        <f t="shared" si="2"/>
        <v>5671.4284078367882</v>
      </c>
      <c r="J33" s="95">
        <f t="shared" si="2"/>
        <v>6001.5800616779852</v>
      </c>
      <c r="K33" s="94">
        <f t="shared" si="2"/>
        <v>1193.5729665350477</v>
      </c>
      <c r="L33" s="96">
        <f t="shared" si="2"/>
        <v>10159.086402280378</v>
      </c>
      <c r="M33" s="94">
        <f t="shared" si="2"/>
        <v>3193.8586591680864</v>
      </c>
      <c r="N33" s="96">
        <f>Allocation!G499+Allocation!G501+Allocation!G565+Allocation!G566</f>
        <v>44339.667870728095</v>
      </c>
      <c r="P33" s="50">
        <f>H33+I33+J33+K33+L33+M33</f>
        <v>44339.667870728103</v>
      </c>
      <c r="Q33" s="49" t="s">
        <v>921</v>
      </c>
    </row>
    <row r="34" spans="2:17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7" ht="15.75" x14ac:dyDescent="0.25">
      <c r="B35" s="83" t="s">
        <v>804</v>
      </c>
      <c r="C35" s="84" t="s">
        <v>905</v>
      </c>
      <c r="D35" s="85" t="s">
        <v>848</v>
      </c>
      <c r="E35" s="89">
        <f t="shared" ref="E35:M35" si="3">E21+E27+SUM(E29:E33)</f>
        <v>0</v>
      </c>
      <c r="F35" s="102">
        <f t="shared" si="3"/>
        <v>0</v>
      </c>
      <c r="G35" s="102">
        <f>G21+G27+SUM(G29:G33)</f>
        <v>59770574.969738767</v>
      </c>
      <c r="H35" s="88">
        <f t="shared" si="3"/>
        <v>59770574.969738767</v>
      </c>
      <c r="I35" s="89">
        <f t="shared" si="3"/>
        <v>25047986.826700933</v>
      </c>
      <c r="J35" s="88">
        <f t="shared" si="3"/>
        <v>6745314.0237687835</v>
      </c>
      <c r="K35" s="102">
        <f t="shared" si="3"/>
        <v>1341484.1403130719</v>
      </c>
      <c r="L35" s="92">
        <f t="shared" si="3"/>
        <v>35453842.709567949</v>
      </c>
      <c r="M35" s="88">
        <f t="shared" si="3"/>
        <v>9093524.2231672127</v>
      </c>
      <c r="N35" s="92">
        <f>N21+N27+SUM(N29:N33)</f>
        <v>137452726.89325672</v>
      </c>
      <c r="Q35" s="49">
        <f>H35/N35</f>
        <v>0.43484459217862953</v>
      </c>
    </row>
    <row r="36" spans="2:17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7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0</v>
      </c>
      <c r="F37" s="94">
        <f>(F35/$N$35)*$N$37</f>
        <v>0</v>
      </c>
      <c r="G37" s="94">
        <f>(G35/$N$35)*$N$37</f>
        <v>1110714.5801015247</v>
      </c>
      <c r="H37" s="95">
        <f>E37+F37+G37</f>
        <v>1110714.5801015247</v>
      </c>
      <c r="I37" s="93">
        <f>(I35/$N$35)*$N$37</f>
        <v>465465.8949607432</v>
      </c>
      <c r="J37" s="95">
        <f>(J35/$N$35)*$N$37</f>
        <v>125347.94315357438</v>
      </c>
      <c r="K37" s="94">
        <f>(K35/$N$35)*$N$37</f>
        <v>24928.754564851741</v>
      </c>
      <c r="L37" s="96">
        <f>(L35/$N$35)*$N$37</f>
        <v>658837.56410375016</v>
      </c>
      <c r="M37" s="94">
        <f>(M35/$N$35)*$N$37</f>
        <v>168984.65414281021</v>
      </c>
      <c r="N37" s="92">
        <f>Allocation!G467+Allocation!G468+Allocation!G469+Allocation!G476+Allocation!G562</f>
        <v>2554279.3910272545</v>
      </c>
      <c r="P37" s="50">
        <f>H37+I37+J37+K37+L37+M37</f>
        <v>2554279.3910272541</v>
      </c>
    </row>
    <row r="38" spans="2:17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7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0</v>
      </c>
      <c r="F39" s="102">
        <f t="shared" si="4"/>
        <v>0</v>
      </c>
      <c r="G39" s="102">
        <f t="shared" si="4"/>
        <v>58659860.389637239</v>
      </c>
      <c r="H39" s="88">
        <f t="shared" si="4"/>
        <v>58659860.389637239</v>
      </c>
      <c r="I39" s="89">
        <f t="shared" si="4"/>
        <v>24582520.931740191</v>
      </c>
      <c r="J39" s="88">
        <f t="shared" si="4"/>
        <v>6619966.0806152094</v>
      </c>
      <c r="K39" s="102">
        <f>K35-K37</f>
        <v>1316555.3857482201</v>
      </c>
      <c r="L39" s="92">
        <f t="shared" si="4"/>
        <v>34795005.145464197</v>
      </c>
      <c r="M39" s="88">
        <f t="shared" si="4"/>
        <v>8924539.5690244026</v>
      </c>
      <c r="N39" s="92">
        <f>N35-N37</f>
        <v>134898447.50222948</v>
      </c>
      <c r="P39" s="50">
        <f>Allocation!G480-RGS!N39</f>
        <v>-8030008.466653809</v>
      </c>
      <c r="Q39" s="49">
        <f>H39/N39</f>
        <v>0.43484459217862947</v>
      </c>
    </row>
    <row r="40" spans="2:17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7" ht="15.75" x14ac:dyDescent="0.25">
      <c r="B41" s="83" t="s">
        <v>809</v>
      </c>
      <c r="C41" s="84" t="s">
        <v>385</v>
      </c>
      <c r="D41" s="85" t="s">
        <v>846</v>
      </c>
      <c r="E41" s="93">
        <f>Allocation!G600*12</f>
        <v>3556511</v>
      </c>
      <c r="F41" s="94">
        <f>+$E$41</f>
        <v>3556511</v>
      </c>
      <c r="G41" s="94">
        <f>+$E$41</f>
        <v>3556511</v>
      </c>
      <c r="H41" s="95">
        <f>G41</f>
        <v>3556511</v>
      </c>
      <c r="I41" s="93">
        <f>Allocation!G589</f>
        <v>7885865.8631999996</v>
      </c>
      <c r="J41" s="95">
        <f>Allocation!G580</f>
        <v>19516321.910371594</v>
      </c>
      <c r="K41" s="94">
        <f>Allocation!G580</f>
        <v>19516321.910371594</v>
      </c>
      <c r="L41" s="96">
        <f>Allocation!G594</f>
        <v>308336.73558260128</v>
      </c>
      <c r="M41" s="94">
        <f>Allocation!G593</f>
        <v>308336.73558260128</v>
      </c>
      <c r="N41" s="74"/>
    </row>
    <row r="42" spans="2:17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7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$0.00/Cust/Mo</v>
      </c>
      <c r="F43" s="108" t="str">
        <f>CONCATENATE(TEXT(F39/F41,"$0.00"),"/Cust/Mo")</f>
        <v>$0.00/Cust/Mo</v>
      </c>
      <c r="G43" s="108" t="str">
        <f>CONCATENATE(TEXT(G39/G41,"$0.00"),"/Cust/Mo")</f>
        <v>$16.49/Cust/Mo</v>
      </c>
      <c r="H43" s="109" t="str">
        <f>CONCATENATE(TEXT(H39/H41,"$0.00"),"/Cust/Mo")</f>
        <v>$16.49/Cust/Mo</v>
      </c>
      <c r="I43" s="110" t="str">
        <f>CONCATENATE(TEXT(I39/I41,"$0.0000"),"/Mcf")</f>
        <v>$3.1173/Mcf</v>
      </c>
      <c r="J43" s="110" t="str">
        <f>CONCATENATE(TEXT(J39/J41,"$0.0000"),"/Mcf")</f>
        <v>$0.3392/Mcf</v>
      </c>
      <c r="K43" s="110" t="str">
        <f>CONCATENATE(TEXT(K39/K41,"$0.0000"),"/Mcf")</f>
        <v>$0.0675/Mcf</v>
      </c>
      <c r="L43" s="110" t="str">
        <f>CONCATENATE(TEXT(L39/L41,"$0.0000"),"/Mcf")</f>
        <v>$112.8474/Mcf</v>
      </c>
      <c r="M43" s="110" t="str">
        <f>CONCATENATE(TEXT(M39/M41,"$0.0000"),"/Mcf")</f>
        <v>$28.9441/Mcf</v>
      </c>
      <c r="N43" s="111"/>
    </row>
    <row r="44" spans="2:17" ht="15.75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2:17" ht="15.75" x14ac:dyDescent="0.25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112"/>
      <c r="N45" s="60"/>
    </row>
    <row r="46" spans="2:17" x14ac:dyDescent="0.2">
      <c r="M46" s="53"/>
      <c r="N46" s="50"/>
    </row>
    <row r="47" spans="2:17" x14ac:dyDescent="0.2">
      <c r="H47" s="179"/>
      <c r="I47" s="181"/>
      <c r="K47" s="50"/>
      <c r="M47" s="179"/>
      <c r="N47" s="180"/>
    </row>
    <row r="48" spans="2:17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rintOptions horizontalCentered="1"/>
  <pageMargins left="0.5" right="0.5" top="1" bottom="0.5" header="0.5" footer="0.25"/>
  <pageSetup scale="60" orientation="landscape" r:id="rId1"/>
  <headerFooter alignWithMargins="0">
    <oddHeader>&amp;R&amp;"Arial,Bold"&amp;12Exhibit WSS-7
Page  1 0f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zoomScale="90" zoomScaleNormal="90"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8.140625" style="49" customWidth="1"/>
    <col min="4" max="4" width="34.28515625" style="49" hidden="1" customWidth="1"/>
    <col min="5" max="7" width="16.5703125" style="49" customWidth="1"/>
    <col min="8" max="8" width="17.140625" style="49" customWidth="1"/>
    <col min="9" max="9" width="17.28515625" style="49" customWidth="1"/>
    <col min="10" max="10" width="13.28515625" style="49" customWidth="1"/>
    <col min="11" max="11" width="14.7109375" style="49" customWidth="1"/>
    <col min="12" max="12" width="17.42578125" style="49" customWidth="1"/>
    <col min="13" max="13" width="18.28515625" style="49" customWidth="1"/>
    <col min="14" max="14" width="1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37" t="s">
        <v>752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2:16" ht="15.75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6" ht="15.75" x14ac:dyDescent="0.25">
      <c r="B3" s="237" t="s">
        <v>778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6" ht="15.75" x14ac:dyDescent="0.25">
      <c r="B4" s="237" t="s">
        <v>876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37" t="s">
        <v>916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ht="13.5" thickBo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2:16" ht="16.5" thickBot="1" x14ac:dyDescent="0.3">
      <c r="B9" s="68"/>
      <c r="C9" s="69"/>
      <c r="D9" s="70"/>
      <c r="E9" s="238" t="s">
        <v>779</v>
      </c>
      <c r="F9" s="239"/>
      <c r="G9" s="239"/>
      <c r="H9" s="240"/>
      <c r="I9" s="71"/>
      <c r="J9" s="71"/>
      <c r="K9" s="72"/>
      <c r="L9" s="72"/>
      <c r="M9" s="204" t="s">
        <v>875</v>
      </c>
      <c r="N9" s="70"/>
    </row>
    <row r="10" spans="2:16" ht="15.75" x14ac:dyDescent="0.25">
      <c r="B10" s="73"/>
      <c r="C10" s="65"/>
      <c r="D10" s="74"/>
      <c r="E10" s="61" t="s">
        <v>909</v>
      </c>
      <c r="F10" s="62" t="s">
        <v>909</v>
      </c>
      <c r="G10" s="62"/>
      <c r="H10" s="63" t="s">
        <v>14</v>
      </c>
      <c r="I10" s="75" t="s">
        <v>910</v>
      </c>
      <c r="J10" s="75" t="s">
        <v>3</v>
      </c>
      <c r="K10" s="75" t="s">
        <v>244</v>
      </c>
      <c r="L10" s="75" t="s">
        <v>780</v>
      </c>
      <c r="M10" s="75" t="s">
        <v>780</v>
      </c>
      <c r="N10" s="74"/>
    </row>
    <row r="11" spans="2:16" ht="15.75" x14ac:dyDescent="0.25">
      <c r="B11" s="73"/>
      <c r="C11" s="65"/>
      <c r="D11" s="74"/>
      <c r="E11" s="61" t="s">
        <v>781</v>
      </c>
      <c r="F11" s="62" t="s">
        <v>782</v>
      </c>
      <c r="G11" s="62" t="s">
        <v>909</v>
      </c>
      <c r="H11" s="63" t="s">
        <v>909</v>
      </c>
      <c r="I11" s="75" t="s">
        <v>783</v>
      </c>
      <c r="J11" s="75" t="s">
        <v>814</v>
      </c>
      <c r="K11" s="75" t="s">
        <v>635</v>
      </c>
      <c r="L11" s="61" t="s">
        <v>781</v>
      </c>
      <c r="M11" s="61" t="s">
        <v>782</v>
      </c>
      <c r="N11" s="74"/>
    </row>
    <row r="12" spans="2:16" ht="16.5" thickBot="1" x14ac:dyDescent="0.3">
      <c r="B12" s="66"/>
      <c r="C12" s="76" t="s">
        <v>19</v>
      </c>
      <c r="D12" s="77" t="s">
        <v>717</v>
      </c>
      <c r="E12" s="78" t="s">
        <v>784</v>
      </c>
      <c r="F12" s="79" t="s">
        <v>785</v>
      </c>
      <c r="G12" s="79" t="s">
        <v>786</v>
      </c>
      <c r="H12" s="80" t="s">
        <v>787</v>
      </c>
      <c r="I12" s="77" t="s">
        <v>787</v>
      </c>
      <c r="J12" s="77" t="s">
        <v>787</v>
      </c>
      <c r="K12" s="77" t="s">
        <v>787</v>
      </c>
      <c r="L12" s="78" t="s">
        <v>784</v>
      </c>
      <c r="M12" s="78" t="s">
        <v>784</v>
      </c>
      <c r="N12" s="77" t="s">
        <v>788</v>
      </c>
    </row>
    <row r="13" spans="2:16" ht="15.75" x14ac:dyDescent="0.25">
      <c r="B13" s="68"/>
      <c r="C13" s="69"/>
      <c r="D13" s="81"/>
      <c r="E13" s="68"/>
      <c r="F13" s="82"/>
      <c r="G13" s="82"/>
      <c r="H13" s="69"/>
      <c r="I13" s="68"/>
      <c r="J13" s="69"/>
      <c r="K13" s="68"/>
      <c r="L13" s="70"/>
      <c r="M13" s="69"/>
      <c r="N13" s="70"/>
    </row>
    <row r="14" spans="2:16" ht="15.75" x14ac:dyDescent="0.25">
      <c r="B14" s="83" t="s">
        <v>718</v>
      </c>
      <c r="C14" s="84" t="s">
        <v>245</v>
      </c>
      <c r="D14" s="85" t="s">
        <v>838</v>
      </c>
      <c r="E14" s="86">
        <f>Allocation!H80</f>
        <v>0</v>
      </c>
      <c r="F14" s="87">
        <f>Allocation!H82</f>
        <v>0</v>
      </c>
      <c r="G14" s="87">
        <f>Allocation!H86+Allocation!H89+Allocation!H92+Allocation!H95</f>
        <v>65556062.748423524</v>
      </c>
      <c r="H14" s="88">
        <f>E14+F14+G14</f>
        <v>65556062.748423524</v>
      </c>
      <c r="I14" s="89">
        <f>Allocation!H62+Allocation!H68</f>
        <v>50462483.37177401</v>
      </c>
      <c r="J14" s="88">
        <f>Allocation!H63</f>
        <v>431829.50665388233</v>
      </c>
      <c r="K14" s="87">
        <f>Allocation!H58+Allocation!H72</f>
        <v>93743.398175177048</v>
      </c>
      <c r="L14" s="90">
        <f>Allocation!H79</f>
        <v>64758894.396626435</v>
      </c>
      <c r="M14" s="91">
        <f>Allocation!H57+Allocation!H67+Allocation!H75+Allocation!H81</f>
        <v>14356852.246069726</v>
      </c>
      <c r="N14" s="92">
        <f>E14+F14+G14+K14+L14+M14+I14+J14</f>
        <v>195659865.66772276</v>
      </c>
      <c r="O14" s="50"/>
    </row>
    <row r="15" spans="2:16" ht="15.75" x14ac:dyDescent="0.25">
      <c r="B15" s="83" t="s">
        <v>789</v>
      </c>
      <c r="C15" s="84" t="s">
        <v>672</v>
      </c>
      <c r="D15" s="85" t="s">
        <v>839</v>
      </c>
      <c r="E15" s="93">
        <f>(E14/$N$14)*$N$15</f>
        <v>0</v>
      </c>
      <c r="F15" s="94">
        <f t="shared" ref="F15:M15" si="0">(F14/$N$14)*$N$15</f>
        <v>0</v>
      </c>
      <c r="G15" s="94">
        <f t="shared" si="0"/>
        <v>0</v>
      </c>
      <c r="H15" s="95">
        <f>E15+F15+G15</f>
        <v>0</v>
      </c>
      <c r="I15" s="93">
        <f t="shared" si="0"/>
        <v>0</v>
      </c>
      <c r="J15" s="95">
        <f t="shared" si="0"/>
        <v>0</v>
      </c>
      <c r="K15" s="94">
        <f t="shared" si="0"/>
        <v>0</v>
      </c>
      <c r="L15" s="96">
        <f t="shared" si="0"/>
        <v>0</v>
      </c>
      <c r="M15" s="95">
        <f t="shared" si="0"/>
        <v>0</v>
      </c>
      <c r="N15" s="96">
        <f>Allocation!G524+Allocation!G525</f>
        <v>0</v>
      </c>
      <c r="O15" s="50"/>
      <c r="P15" s="50">
        <f>H15+I15+J15+K15+L15+M15</f>
        <v>0</v>
      </c>
    </row>
    <row r="16" spans="2:16" ht="15.75" x14ac:dyDescent="0.25">
      <c r="B16" s="83" t="s">
        <v>790</v>
      </c>
      <c r="C16" s="84" t="s">
        <v>906</v>
      </c>
      <c r="D16" s="85" t="s">
        <v>791</v>
      </c>
      <c r="E16" s="86">
        <f>E14+E15</f>
        <v>0</v>
      </c>
      <c r="F16" s="87">
        <f>F14+F15</f>
        <v>0</v>
      </c>
      <c r="G16" s="87">
        <f>G14+G15</f>
        <v>65556062.748423524</v>
      </c>
      <c r="H16" s="88">
        <f>E16+F16+G16</f>
        <v>65556062.748423524</v>
      </c>
      <c r="I16" s="89">
        <f>I14+I15</f>
        <v>50462483.37177401</v>
      </c>
      <c r="J16" s="88">
        <f>J14+J15</f>
        <v>431829.50665388233</v>
      </c>
      <c r="K16" s="87">
        <f>K14+K15</f>
        <v>93743.398175177048</v>
      </c>
      <c r="L16" s="90">
        <f>L14+L15</f>
        <v>64758894.396626435</v>
      </c>
      <c r="M16" s="91">
        <f>M14+M15</f>
        <v>14356852.246069726</v>
      </c>
      <c r="N16" s="97">
        <f>E16+F16+G16+K16+L16+M16+I16+J16</f>
        <v>195659865.66772276</v>
      </c>
    </row>
    <row r="17" spans="2:19" ht="15.75" x14ac:dyDescent="0.25">
      <c r="B17" s="83"/>
      <c r="C17" s="84"/>
      <c r="D17" s="85"/>
      <c r="E17" s="86"/>
      <c r="F17" s="87"/>
      <c r="G17" s="87"/>
      <c r="H17" s="88"/>
      <c r="I17" s="89"/>
      <c r="J17" s="88"/>
      <c r="K17" s="87"/>
      <c r="L17" s="90"/>
      <c r="M17" s="91"/>
      <c r="N17" s="92"/>
    </row>
    <row r="18" spans="2:19" ht="15.75" x14ac:dyDescent="0.25">
      <c r="B18" s="83" t="s">
        <v>792</v>
      </c>
      <c r="C18" s="84" t="s">
        <v>365</v>
      </c>
      <c r="D18" s="85" t="s">
        <v>847</v>
      </c>
      <c r="E18" s="98">
        <f>Allocation!H572</f>
        <v>5.8002212586562581E-2</v>
      </c>
      <c r="F18" s="99">
        <f>E18</f>
        <v>5.8002212586562581E-2</v>
      </c>
      <c r="G18" s="99">
        <f>E18</f>
        <v>5.8002212586562581E-2</v>
      </c>
      <c r="H18" s="100">
        <f>E18</f>
        <v>5.8002212586562581E-2</v>
      </c>
      <c r="I18" s="98">
        <f>E18</f>
        <v>5.8002212586562581E-2</v>
      </c>
      <c r="J18" s="100">
        <f>E18</f>
        <v>5.8002212586562581E-2</v>
      </c>
      <c r="K18" s="99">
        <f>E18</f>
        <v>5.8002212586562581E-2</v>
      </c>
      <c r="L18" s="101">
        <f>F18</f>
        <v>5.8002212586562581E-2</v>
      </c>
      <c r="M18" s="100">
        <f>G18</f>
        <v>5.8002212586562581E-2</v>
      </c>
      <c r="N18" s="100">
        <f>E18</f>
        <v>5.8002212586562581E-2</v>
      </c>
    </row>
    <row r="19" spans="2:19" ht="15.75" x14ac:dyDescent="0.25">
      <c r="B19" s="73"/>
      <c r="C19" s="84"/>
      <c r="D19" s="85"/>
      <c r="E19" s="73"/>
      <c r="F19" s="64"/>
      <c r="G19" s="64"/>
      <c r="H19" s="65"/>
      <c r="I19" s="73"/>
      <c r="J19" s="65"/>
      <c r="K19" s="64"/>
      <c r="L19" s="74"/>
      <c r="M19" s="65"/>
      <c r="N19" s="74"/>
    </row>
    <row r="20" spans="2:19" ht="15.75" x14ac:dyDescent="0.25">
      <c r="B20" s="83" t="s">
        <v>793</v>
      </c>
      <c r="C20" s="84" t="s">
        <v>911</v>
      </c>
      <c r="D20" s="85" t="s">
        <v>794</v>
      </c>
      <c r="E20" s="86">
        <f>E16*E18</f>
        <v>0</v>
      </c>
      <c r="F20" s="87">
        <f>F16*F18</f>
        <v>0</v>
      </c>
      <c r="G20" s="87">
        <f>G16*G18</f>
        <v>3802396.6878720974</v>
      </c>
      <c r="H20" s="88">
        <f>E20+F20+G20</f>
        <v>3802396.6878720974</v>
      </c>
      <c r="I20" s="86">
        <f>I16*I18</f>
        <v>2926935.6881755153</v>
      </c>
      <c r="J20" s="91">
        <f>J16*J18</f>
        <v>25047.066846088925</v>
      </c>
      <c r="K20" s="87">
        <f>K16*K18</f>
        <v>5437.3245095434022</v>
      </c>
      <c r="L20" s="90">
        <f>L16*L18</f>
        <v>3756159.1596638826</v>
      </c>
      <c r="M20" s="91">
        <f>M16*M18</f>
        <v>832729.19605040469</v>
      </c>
      <c r="N20" s="92">
        <f>E20+F20+G20+K20+L20+M20+I20+J20</f>
        <v>11348705.123117534</v>
      </c>
      <c r="P20" s="50">
        <f>H20+I20+J20+K20+L20+M20</f>
        <v>11348705.123117533</v>
      </c>
    </row>
    <row r="21" spans="2:19" ht="15.75" x14ac:dyDescent="0.25">
      <c r="B21" s="73"/>
      <c r="C21" s="84"/>
      <c r="D21" s="85"/>
      <c r="E21" s="73"/>
      <c r="F21" s="64"/>
      <c r="G21" s="64"/>
      <c r="H21" s="65"/>
      <c r="I21" s="73"/>
      <c r="J21" s="65"/>
      <c r="K21" s="64"/>
      <c r="L21" s="74"/>
      <c r="M21" s="65"/>
      <c r="N21" s="74"/>
    </row>
    <row r="22" spans="2:19" ht="15.75" x14ac:dyDescent="0.25">
      <c r="B22" s="83" t="s">
        <v>795</v>
      </c>
      <c r="C22" s="84" t="s">
        <v>367</v>
      </c>
      <c r="D22" s="85" t="s">
        <v>840</v>
      </c>
      <c r="E22" s="86">
        <f>Allocation!H443</f>
        <v>0</v>
      </c>
      <c r="F22" s="87">
        <f>Allocation!H445</f>
        <v>0</v>
      </c>
      <c r="G22" s="87">
        <f>Allocation!H449+Allocation!H452+Allocation!H455+Allocation!H458</f>
        <v>1252454.8007541047</v>
      </c>
      <c r="H22" s="88">
        <f>E22+F22+G22</f>
        <v>1252454.8007541047</v>
      </c>
      <c r="I22" s="86">
        <f>Allocation!H426+Allocation!H432</f>
        <v>715674.18880229583</v>
      </c>
      <c r="J22" s="91">
        <f>Allocation!H427</f>
        <v>0</v>
      </c>
      <c r="K22" s="87">
        <f>Allocation!H422+Allocation!H436</f>
        <v>0</v>
      </c>
      <c r="L22" s="90">
        <f>Allocation!H442</f>
        <v>1273034.3646145887</v>
      </c>
      <c r="M22" s="91">
        <f>Allocation!H421+Allocation!H431+Allocation!H439+Allocation!H444</f>
        <v>242693.94193641824</v>
      </c>
      <c r="N22" s="92">
        <f>E22+F22+G22+K22+L22+M22+I22+J22</f>
        <v>3483857.2961074077</v>
      </c>
    </row>
    <row r="23" spans="2:19" ht="15.75" x14ac:dyDescent="0.25">
      <c r="B23" s="73"/>
      <c r="C23" s="84"/>
      <c r="D23" s="85"/>
      <c r="E23" s="73"/>
      <c r="F23" s="64"/>
      <c r="G23" s="64"/>
      <c r="H23" s="65"/>
      <c r="I23" s="73"/>
      <c r="J23" s="65"/>
      <c r="K23" s="64"/>
      <c r="L23" s="74"/>
      <c r="M23" s="65"/>
      <c r="N23" s="74"/>
    </row>
    <row r="24" spans="2:19" ht="15.75" x14ac:dyDescent="0.25">
      <c r="B24" s="83" t="s">
        <v>796</v>
      </c>
      <c r="C24" s="84" t="s">
        <v>912</v>
      </c>
      <c r="D24" s="85" t="s">
        <v>797</v>
      </c>
      <c r="E24" s="89">
        <f t="shared" ref="E24:M24" si="1">E20-E22</f>
        <v>0</v>
      </c>
      <c r="F24" s="102">
        <f t="shared" si="1"/>
        <v>0</v>
      </c>
      <c r="G24" s="102">
        <f t="shared" si="1"/>
        <v>2549941.8871179926</v>
      </c>
      <c r="H24" s="88">
        <f t="shared" si="1"/>
        <v>2549941.8871179926</v>
      </c>
      <c r="I24" s="89">
        <f t="shared" si="1"/>
        <v>2211261.4993732194</v>
      </c>
      <c r="J24" s="88">
        <f t="shared" si="1"/>
        <v>25047.066846088925</v>
      </c>
      <c r="K24" s="102">
        <f t="shared" si="1"/>
        <v>5437.3245095434022</v>
      </c>
      <c r="L24" s="92">
        <f t="shared" si="1"/>
        <v>2483124.7950492939</v>
      </c>
      <c r="M24" s="88">
        <f t="shared" si="1"/>
        <v>590035.25411398639</v>
      </c>
      <c r="N24" s="92">
        <f>N20-N22</f>
        <v>7864847.8270101268</v>
      </c>
    </row>
    <row r="25" spans="2:19" ht="15.75" x14ac:dyDescent="0.25">
      <c r="B25" s="73"/>
      <c r="C25" s="84"/>
      <c r="D25" s="85"/>
      <c r="E25" s="73"/>
      <c r="F25" s="64"/>
      <c r="G25" s="64"/>
      <c r="H25" s="65"/>
      <c r="I25" s="73"/>
      <c r="J25" s="65"/>
      <c r="K25" s="64"/>
      <c r="L25" s="74"/>
      <c r="M25" s="65"/>
      <c r="N25" s="74"/>
    </row>
    <row r="26" spans="2:19" ht="15.75" x14ac:dyDescent="0.25">
      <c r="B26" s="83" t="s">
        <v>798</v>
      </c>
      <c r="C26" s="84" t="s">
        <v>297</v>
      </c>
      <c r="D26" s="103" t="s">
        <v>813</v>
      </c>
      <c r="E26" s="86">
        <f>$P$26*(E24/$N$24)</f>
        <v>0</v>
      </c>
      <c r="F26" s="87">
        <f>$P$26*(F24/$N$24)</f>
        <v>0</v>
      </c>
      <c r="G26" s="87">
        <f>$P$26*(G24/$N$24)</f>
        <v>1617664.6552764208</v>
      </c>
      <c r="H26" s="88">
        <f>E26+G26+F26</f>
        <v>1617664.6552764208</v>
      </c>
      <c r="I26" s="86">
        <f>$P$26*(I24/$N$24)</f>
        <v>1402808.2715063377</v>
      </c>
      <c r="J26" s="91">
        <f>$P$26*(J24/$N$24)</f>
        <v>15889.677705972379</v>
      </c>
      <c r="K26" s="87">
        <f>$P$26*(K24/$N$24)</f>
        <v>3449.3992677996885</v>
      </c>
      <c r="L26" s="90">
        <f>$P$26*(L24/$N$24)</f>
        <v>1575276.3762517376</v>
      </c>
      <c r="M26" s="87">
        <f>$P$26*(M24/$N$24)</f>
        <v>374314.08957559144</v>
      </c>
      <c r="N26" s="92">
        <f>E26+F26+G26+K26+L26+M26+I26+J26</f>
        <v>4989402.4695838597</v>
      </c>
      <c r="P26" s="51">
        <f>Allocation!H519+Allocation!H509+Allocation!H564</f>
        <v>4989402.4695838606</v>
      </c>
      <c r="S26" s="49">
        <f>1-(N26/N24)</f>
        <v>0.36560724640484066</v>
      </c>
    </row>
    <row r="27" spans="2:19" ht="15.75" x14ac:dyDescent="0.25">
      <c r="B27" s="73"/>
      <c r="C27" s="84"/>
      <c r="D27" s="85"/>
      <c r="E27" s="73"/>
      <c r="F27" s="64"/>
      <c r="G27" s="64"/>
      <c r="H27" s="65"/>
      <c r="I27" s="73"/>
      <c r="J27" s="65"/>
      <c r="K27" s="64"/>
      <c r="L27" s="74"/>
      <c r="M27" s="65"/>
      <c r="N27" s="74"/>
    </row>
    <row r="28" spans="2:19" ht="15.75" x14ac:dyDescent="0.25">
      <c r="B28" s="83" t="s">
        <v>799</v>
      </c>
      <c r="C28" s="84" t="s">
        <v>171</v>
      </c>
      <c r="D28" s="85" t="s">
        <v>841</v>
      </c>
      <c r="E28" s="86">
        <f>Allocation!H126</f>
        <v>0</v>
      </c>
      <c r="F28" s="87">
        <f>Allocation!H128</f>
        <v>0</v>
      </c>
      <c r="G28" s="87">
        <f>Allocation!H132+Allocation!H135+Allocation!H138+Allocation!H141</f>
        <v>4877346.309651291</v>
      </c>
      <c r="H28" s="88">
        <f>E28+F28+G28</f>
        <v>4877346.309651291</v>
      </c>
      <c r="I28" s="89">
        <f>Allocation!H109+Allocation!H115</f>
        <v>2816450.7965740841</v>
      </c>
      <c r="J28" s="88">
        <f>Allocation!H110</f>
        <v>3151698.52228643</v>
      </c>
      <c r="K28" s="87">
        <f>Allocation!H105+Allocation!H119</f>
        <v>684184.20916202513</v>
      </c>
      <c r="L28" s="90">
        <f>Allocation!H125</f>
        <v>5455699.8356224922</v>
      </c>
      <c r="M28" s="91">
        <f>Allocation!H104+Allocation!H114+Allocation!H122+Allocation!H127</f>
        <v>1638425.6653996622</v>
      </c>
      <c r="N28" s="92">
        <f>E28+F28+G28+K28+L28+M28+I28+J28</f>
        <v>18623805.338695988</v>
      </c>
    </row>
    <row r="29" spans="2:19" ht="15.75" x14ac:dyDescent="0.25">
      <c r="B29" s="83" t="s">
        <v>800</v>
      </c>
      <c r="C29" s="84" t="s">
        <v>173</v>
      </c>
      <c r="D29" s="85" t="s">
        <v>842</v>
      </c>
      <c r="E29" s="93">
        <f>Allocation!H219</f>
        <v>0</v>
      </c>
      <c r="F29" s="94">
        <f>Allocation!H221</f>
        <v>0</v>
      </c>
      <c r="G29" s="94">
        <f>Allocation!H225+Allocation!H228+Allocation!H231+Allocation!H234</f>
        <v>4736473.2277803821</v>
      </c>
      <c r="H29" s="95">
        <f>E29+F29+G29</f>
        <v>4736473.2277803821</v>
      </c>
      <c r="I29" s="93">
        <f>Allocation!H202+Allocation!H208</f>
        <v>1803419.5917248619</v>
      </c>
      <c r="J29" s="95">
        <f>Allocation!H203</f>
        <v>0</v>
      </c>
      <c r="K29" s="94">
        <f>Allocation!H198+Allocation!H212</f>
        <v>0</v>
      </c>
      <c r="L29" s="96">
        <f>Allocation!H218</f>
        <v>3176276.442265634</v>
      </c>
      <c r="M29" s="95">
        <f>Allocation!H197+Allocation!H207+Allocation!H215+Allocation!H220</f>
        <v>702526.8417952942</v>
      </c>
      <c r="N29" s="96">
        <f>E29+F29+G29+K29+L29+M29+I29+J29</f>
        <v>10418696.103566172</v>
      </c>
    </row>
    <row r="30" spans="2:19" ht="15.75" x14ac:dyDescent="0.25">
      <c r="B30" s="83" t="s">
        <v>801</v>
      </c>
      <c r="C30" s="84" t="s">
        <v>215</v>
      </c>
      <c r="D30" s="85" t="s">
        <v>843</v>
      </c>
      <c r="E30" s="93">
        <f>Allocation!H396</f>
        <v>0</v>
      </c>
      <c r="F30" s="94">
        <f>Allocation!H398</f>
        <v>0</v>
      </c>
      <c r="G30" s="94">
        <f>Allocation!H402+Allocation!H405+Allocation!H408+Allocation!H411</f>
        <v>1092836.3952559419</v>
      </c>
      <c r="H30" s="95">
        <f>E30+F30+G30</f>
        <v>1092836.3952559419</v>
      </c>
      <c r="I30" s="93">
        <f>Allocation!H379+Allocation!H385</f>
        <v>624465.48985041934</v>
      </c>
      <c r="J30" s="95">
        <f>Allocation!H380</f>
        <v>0</v>
      </c>
      <c r="K30" s="94">
        <f>Allocation!H375+Allocation!H389</f>
        <v>0</v>
      </c>
      <c r="L30" s="96">
        <f>Allocation!H395</f>
        <v>1110793.2080460638</v>
      </c>
      <c r="M30" s="95">
        <f>Allocation!H374+Allocation!H384+Allocation!H392+Allocation!H397</f>
        <v>211763.94748661428</v>
      </c>
      <c r="N30" s="96">
        <f>E30+F30+G30+K30+L30+M30+I30+J30</f>
        <v>3039859.0406390391</v>
      </c>
      <c r="P30" s="52"/>
    </row>
    <row r="31" spans="2:19" ht="15.75" x14ac:dyDescent="0.25">
      <c r="B31" s="83" t="s">
        <v>802</v>
      </c>
      <c r="C31" s="84" t="s">
        <v>105</v>
      </c>
      <c r="D31" s="85" t="s">
        <v>844</v>
      </c>
      <c r="E31" s="93">
        <f>Allocation!H264+Allocation!H308+Allocation!H352</f>
        <v>0</v>
      </c>
      <c r="F31" s="94">
        <f>Allocation!H266+Allocation!H310+Allocation!H354</f>
        <v>0</v>
      </c>
      <c r="G31" s="94">
        <f>Allocation!H270+Allocation!H273+Allocation!H276+Allocation!H279+Allocation!H314+Allocation!H317+Allocation!H320+Allocation!H323+Allocation!H358+Allocation!H361+Allocation!H364+Allocation!H367</f>
        <v>-3609.0113791834538</v>
      </c>
      <c r="H31" s="95">
        <f>E31+F31+G31</f>
        <v>-3609.0113791834538</v>
      </c>
      <c r="I31" s="93">
        <f>Allocation!H247+Allocation!H291+Allocation!H335+Allocation!H253+Allocation!H297+Allocation!H341</f>
        <v>-1872.3327347739437</v>
      </c>
      <c r="J31" s="95">
        <f>Allocation!H248+Allocation!H292+Allocation!H336</f>
        <v>0</v>
      </c>
      <c r="K31" s="94">
        <f>Allocation!H243+Allocation!H257+Allocation!H287+Allocation!H301+Allocation!H331+Allocation!H345+Allocation!H375+Allocation!H389</f>
        <v>0</v>
      </c>
      <c r="L31" s="96">
        <f>Allocation!H307+Allocation!H351+Allocation!H263</f>
        <v>-3624.4948357046524</v>
      </c>
      <c r="M31" s="94">
        <f>Allocation!H242+Allocation!H252+Allocation!H260+Allocation!H265+Allocation!H286+Allocation!H296+Allocation!H304+Allocation!H309+Allocation!H330+Allocation!H340+Allocation!H348+Allocation!H353</f>
        <v>-686.88208945319798</v>
      </c>
      <c r="N31" s="96">
        <f>E31+F31+G31+K31+L31+M31+I31+J31</f>
        <v>-9792.7210391152475</v>
      </c>
      <c r="P31" s="52"/>
    </row>
    <row r="32" spans="2:19" ht="15.75" x14ac:dyDescent="0.25">
      <c r="B32" s="83" t="s">
        <v>803</v>
      </c>
      <c r="C32" s="84" t="s">
        <v>856</v>
      </c>
      <c r="D32" s="85" t="s">
        <v>839</v>
      </c>
      <c r="E32" s="93">
        <f>(E28/$N$28)*$N$32</f>
        <v>0</v>
      </c>
      <c r="F32" s="94">
        <f t="shared" ref="F32:M32" si="2">(F28/$N$28)*$N$32</f>
        <v>0</v>
      </c>
      <c r="G32" s="94">
        <f t="shared" si="2"/>
        <v>3127.0439676599535</v>
      </c>
      <c r="H32" s="95">
        <f>E32+F32+G32</f>
        <v>3127.0439676599535</v>
      </c>
      <c r="I32" s="93">
        <f t="shared" si="2"/>
        <v>1805.7289588419103</v>
      </c>
      <c r="J32" s="95">
        <f t="shared" si="2"/>
        <v>2020.6684590955763</v>
      </c>
      <c r="K32" s="94">
        <f t="shared" si="2"/>
        <v>438.65536055840772</v>
      </c>
      <c r="L32" s="96">
        <f t="shared" si="2"/>
        <v>3497.8474312123312</v>
      </c>
      <c r="M32" s="94">
        <f t="shared" si="2"/>
        <v>1050.4542364172539</v>
      </c>
      <c r="N32" s="96">
        <f>Allocation!H499+Allocation!H501+Allocation!H565+Allocation!H566</f>
        <v>11940.398413785435</v>
      </c>
      <c r="P32" s="50">
        <f>H32+I32+J32+K32+L32+M32</f>
        <v>11940.398413785433</v>
      </c>
    </row>
    <row r="33" spans="2:16" ht="15.75" x14ac:dyDescent="0.25">
      <c r="B33" s="73"/>
      <c r="C33" s="84"/>
      <c r="D33" s="85"/>
      <c r="E33" s="73"/>
      <c r="F33" s="64"/>
      <c r="G33" s="64"/>
      <c r="H33" s="65"/>
      <c r="I33" s="73"/>
      <c r="J33" s="65"/>
      <c r="K33" s="64"/>
      <c r="L33" s="74"/>
      <c r="M33" s="65"/>
      <c r="N33" s="74"/>
    </row>
    <row r="34" spans="2:16" ht="15.75" x14ac:dyDescent="0.25">
      <c r="B34" s="83" t="s">
        <v>804</v>
      </c>
      <c r="C34" s="84" t="s">
        <v>913</v>
      </c>
      <c r="D34" s="85" t="s">
        <v>848</v>
      </c>
      <c r="E34" s="89">
        <f t="shared" ref="E34:M34" si="3">E20+E26+SUM(E28:E32)</f>
        <v>0</v>
      </c>
      <c r="F34" s="102">
        <f t="shared" si="3"/>
        <v>0</v>
      </c>
      <c r="G34" s="102">
        <f>G20+G26+SUM(G28:G32)</f>
        <v>16126235.308424609</v>
      </c>
      <c r="H34" s="88">
        <f t="shared" si="3"/>
        <v>16126235.308424609</v>
      </c>
      <c r="I34" s="89">
        <f t="shared" si="3"/>
        <v>9574013.2340552863</v>
      </c>
      <c r="J34" s="88">
        <f t="shared" si="3"/>
        <v>3194655.935297587</v>
      </c>
      <c r="K34" s="102">
        <f t="shared" si="3"/>
        <v>693509.5882999266</v>
      </c>
      <c r="L34" s="92">
        <f t="shared" si="3"/>
        <v>15074078.374445319</v>
      </c>
      <c r="M34" s="88">
        <f t="shared" si="3"/>
        <v>3760123.3124545305</v>
      </c>
      <c r="N34" s="92">
        <f>N20+N26+SUM(N28:N32)</f>
        <v>48422615.752977259</v>
      </c>
    </row>
    <row r="35" spans="2:16" ht="15.75" x14ac:dyDescent="0.25">
      <c r="B35" s="73"/>
      <c r="C35" s="84"/>
      <c r="D35" s="85"/>
      <c r="E35" s="73"/>
      <c r="F35" s="64"/>
      <c r="G35" s="64"/>
      <c r="H35" s="65"/>
      <c r="I35" s="73"/>
      <c r="J35" s="65"/>
      <c r="K35" s="64"/>
      <c r="L35" s="74"/>
      <c r="M35" s="65"/>
      <c r="N35" s="74"/>
    </row>
    <row r="36" spans="2:16" ht="15.75" x14ac:dyDescent="0.25">
      <c r="B36" s="83" t="s">
        <v>806</v>
      </c>
      <c r="C36" s="84" t="s">
        <v>805</v>
      </c>
      <c r="D36" s="85" t="s">
        <v>845</v>
      </c>
      <c r="E36" s="93">
        <f>(E34/$N$34)*$N$36</f>
        <v>0</v>
      </c>
      <c r="F36" s="94">
        <f>(F34/$N$34)*$N$36</f>
        <v>0</v>
      </c>
      <c r="G36" s="94">
        <f>(G34/$N$34)*$N$36</f>
        <v>383693.81713287724</v>
      </c>
      <c r="H36" s="95">
        <f>E36+F36+G36</f>
        <v>383693.81713287724</v>
      </c>
      <c r="I36" s="93">
        <f>(I34/$N$34)*$N$36</f>
        <v>227795.86262990124</v>
      </c>
      <c r="J36" s="95">
        <f>(J34/$N$34)*$N$36</f>
        <v>76010.904392556593</v>
      </c>
      <c r="K36" s="94">
        <f>(K34/$N$34)*$N$36</f>
        <v>16500.772564941828</v>
      </c>
      <c r="L36" s="96">
        <f>(L34/$N$34)*$N$36</f>
        <v>358659.69711042935</v>
      </c>
      <c r="M36" s="94">
        <f>(M34/$N$34)*$N$36</f>
        <v>89465.150362297412</v>
      </c>
      <c r="N36" s="92">
        <f>Allocation!H467+Allocation!H468+Allocation!H469+Allocation!H476+Allocation!H562</f>
        <v>1152126.2041930037</v>
      </c>
      <c r="P36" s="50">
        <f>H36+I36+J36+K36+L36+M36</f>
        <v>1152126.2041930037</v>
      </c>
    </row>
    <row r="37" spans="2:16" ht="15.75" x14ac:dyDescent="0.25">
      <c r="B37" s="73"/>
      <c r="C37" s="84"/>
      <c r="D37" s="85"/>
      <c r="E37" s="73"/>
      <c r="F37" s="64"/>
      <c r="G37" s="64"/>
      <c r="H37" s="65"/>
      <c r="I37" s="73"/>
      <c r="J37" s="65"/>
      <c r="K37" s="64"/>
      <c r="L37" s="74"/>
      <c r="M37" s="65"/>
      <c r="N37" s="74"/>
    </row>
    <row r="38" spans="2:16" ht="15.75" x14ac:dyDescent="0.25">
      <c r="B38" s="83" t="s">
        <v>808</v>
      </c>
      <c r="C38" s="84" t="s">
        <v>907</v>
      </c>
      <c r="D38" s="85" t="s">
        <v>807</v>
      </c>
      <c r="E38" s="89">
        <f t="shared" ref="E38:M38" si="4">E34-E36</f>
        <v>0</v>
      </c>
      <c r="F38" s="102">
        <f t="shared" si="4"/>
        <v>0</v>
      </c>
      <c r="G38" s="102">
        <f t="shared" si="4"/>
        <v>15742541.491291732</v>
      </c>
      <c r="H38" s="88">
        <f t="shared" si="4"/>
        <v>15742541.491291732</v>
      </c>
      <c r="I38" s="89">
        <f t="shared" si="4"/>
        <v>9346217.3714253847</v>
      </c>
      <c r="J38" s="88">
        <f t="shared" si="4"/>
        <v>3118645.0309050302</v>
      </c>
      <c r="K38" s="102">
        <f>K34-K36</f>
        <v>677008.81573498482</v>
      </c>
      <c r="L38" s="92">
        <f t="shared" si="4"/>
        <v>14715418.67733489</v>
      </c>
      <c r="M38" s="88">
        <f t="shared" si="4"/>
        <v>3670658.1620922331</v>
      </c>
      <c r="N38" s="92">
        <f>N34-N36</f>
        <v>47270489.548784256</v>
      </c>
      <c r="P38" s="50">
        <f>Allocation!G480-RGS!N39</f>
        <v>-8030008.466653809</v>
      </c>
    </row>
    <row r="39" spans="2:16" ht="15.75" x14ac:dyDescent="0.25">
      <c r="B39" s="73"/>
      <c r="C39" s="84"/>
      <c r="D39" s="85"/>
      <c r="E39" s="73"/>
      <c r="F39" s="64"/>
      <c r="G39" s="64"/>
      <c r="H39" s="65"/>
      <c r="I39" s="73"/>
      <c r="J39" s="65"/>
      <c r="K39" s="64"/>
      <c r="L39" s="74"/>
      <c r="M39" s="65"/>
      <c r="N39" s="74"/>
    </row>
    <row r="40" spans="2:16" ht="15.75" x14ac:dyDescent="0.25">
      <c r="B40" s="83" t="s">
        <v>809</v>
      </c>
      <c r="C40" s="84" t="s">
        <v>385</v>
      </c>
      <c r="D40" s="85" t="s">
        <v>846</v>
      </c>
      <c r="E40" s="93">
        <f>Allocation!H600*12</f>
        <v>299360</v>
      </c>
      <c r="F40" s="94">
        <f>+$E$40</f>
        <v>299360</v>
      </c>
      <c r="G40" s="94">
        <f>+$E$40</f>
        <v>299360</v>
      </c>
      <c r="H40" s="95">
        <f>G40</f>
        <v>299360</v>
      </c>
      <c r="I40" s="93">
        <f>Allocation!H589</f>
        <v>3548830.9071999998</v>
      </c>
      <c r="J40" s="95">
        <f>Allocation!H580</f>
        <v>10137905.826085169</v>
      </c>
      <c r="K40" s="94">
        <f>Allocation!H580</f>
        <v>10137905.826085169</v>
      </c>
      <c r="L40" s="96">
        <f>Allocation!H594</f>
        <v>140916.59292402765</v>
      </c>
      <c r="M40" s="94">
        <f>Allocation!H593</f>
        <v>140916.59292402765</v>
      </c>
      <c r="N40" s="74"/>
    </row>
    <row r="41" spans="2:16" ht="16.5" thickBot="1" x14ac:dyDescent="0.3">
      <c r="B41" s="73"/>
      <c r="C41" s="84"/>
      <c r="D41" s="85"/>
      <c r="E41" s="73"/>
      <c r="F41" s="64"/>
      <c r="G41" s="64"/>
      <c r="H41" s="65"/>
      <c r="I41" s="66"/>
      <c r="J41" s="67"/>
      <c r="K41" s="73"/>
      <c r="L41" s="74"/>
      <c r="M41" s="65"/>
      <c r="N41" s="74"/>
    </row>
    <row r="42" spans="2:16" ht="16.5" thickBot="1" x14ac:dyDescent="0.3">
      <c r="B42" s="104" t="s">
        <v>812</v>
      </c>
      <c r="C42" s="105" t="s">
        <v>908</v>
      </c>
      <c r="D42" s="106" t="s">
        <v>810</v>
      </c>
      <c r="E42" s="107" t="str">
        <f>CONCATENATE(TEXT(E38/E40,"$0.00"),"/Cust/Mo")</f>
        <v>$0.00/Cust/Mo</v>
      </c>
      <c r="F42" s="108" t="str">
        <f>CONCATENATE(TEXT(F38/F40,"$0.00"),"/Cust/Mo")</f>
        <v>$0.00/Cust/Mo</v>
      </c>
      <c r="G42" s="108" t="str">
        <f>CONCATENATE(TEXT(G38/G40,"$0.00"),"/Cust/Mo")</f>
        <v>$52.59/Cust/Mo</v>
      </c>
      <c r="H42" s="109" t="str">
        <f>CONCATENATE(TEXT(H38/H40,"$0.00"),"/Cust/Mo")</f>
        <v>$52.59/Cust/Mo</v>
      </c>
      <c r="I42" s="110">
        <f>I38/I40</f>
        <v>2.6336045914341626</v>
      </c>
      <c r="J42" s="110">
        <f t="shared" ref="J42:M42" si="5">J38/J40</f>
        <v>0.3076222135424313</v>
      </c>
      <c r="K42" s="110">
        <f t="shared" si="5"/>
        <v>6.6779947195111891E-2</v>
      </c>
      <c r="L42" s="110">
        <f t="shared" si="5"/>
        <v>104.42644384163057</v>
      </c>
      <c r="M42" s="110">
        <f t="shared" si="5"/>
        <v>26.048445296085145</v>
      </c>
      <c r="N42" s="111"/>
    </row>
    <row r="43" spans="2:16" ht="16.5" thickBot="1" x14ac:dyDescent="0.3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221" t="s">
        <v>1</v>
      </c>
      <c r="N43" s="222">
        <f>(I42+L42+M42)/12</f>
        <v>11.092374477429155</v>
      </c>
    </row>
    <row r="44" spans="2:16" ht="16.5" thickBot="1" x14ac:dyDescent="0.3">
      <c r="B44" s="60"/>
      <c r="C44" s="60"/>
      <c r="D44" s="60"/>
      <c r="E44" s="60"/>
      <c r="F44" s="60"/>
      <c r="G44" s="60"/>
      <c r="H44" s="178"/>
      <c r="I44" s="60"/>
      <c r="J44" s="60"/>
      <c r="K44" s="60"/>
      <c r="L44" s="112"/>
      <c r="M44" s="221" t="s">
        <v>2</v>
      </c>
      <c r="N44" s="223">
        <f>K42+J42</f>
        <v>0.37440216073754318</v>
      </c>
    </row>
    <row r="45" spans="2:16" x14ac:dyDescent="0.2">
      <c r="M45" s="53"/>
      <c r="N45" s="50"/>
    </row>
    <row r="46" spans="2:16" x14ac:dyDescent="0.2">
      <c r="H46" s="179"/>
      <c r="K46" s="50"/>
      <c r="M46" s="179" t="s">
        <v>857</v>
      </c>
      <c r="N46" s="180">
        <f>N38/H40</f>
        <v>157.90516284334666</v>
      </c>
    </row>
    <row r="47" spans="2:16" x14ac:dyDescent="0.2">
      <c r="M47" s="53"/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I63" s="54"/>
      <c r="J63" s="48"/>
      <c r="K63" s="48"/>
    </row>
    <row r="64" spans="9:13" x14ac:dyDescent="0.2">
      <c r="I64" s="48"/>
      <c r="J64" s="48"/>
      <c r="K64" s="55"/>
    </row>
    <row r="65" spans="9:11" x14ac:dyDescent="0.2">
      <c r="I65" s="48"/>
      <c r="J65" s="48"/>
      <c r="K65" s="56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7"/>
    </row>
    <row r="68" spans="9:11" x14ac:dyDescent="0.2">
      <c r="I68" s="48"/>
      <c r="J68" s="48"/>
      <c r="K68" s="58"/>
    </row>
    <row r="69" spans="9:11" x14ac:dyDescent="0.2">
      <c r="I69" s="48"/>
      <c r="J69" s="48"/>
      <c r="K69" s="59"/>
    </row>
    <row r="70" spans="9:11" x14ac:dyDescent="0.2">
      <c r="I70" s="48"/>
      <c r="J70" s="48"/>
      <c r="K70" s="48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56"/>
    </row>
  </sheetData>
  <mergeCells count="5">
    <mergeCell ref="B1:N1"/>
    <mergeCell ref="B3:N3"/>
    <mergeCell ref="B4:N4"/>
    <mergeCell ref="B6:N6"/>
    <mergeCell ref="E9:H9"/>
  </mergeCells>
  <pageMargins left="0.7" right="0.7" top="0.75" bottom="0.75" header="0.3" footer="0.3"/>
  <pageSetup scale="61" orientation="landscape" r:id="rId1"/>
  <headerFooter>
    <oddHeader>&amp;RExhibit WSS-10
Page 1 of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zoomScale="90" zoomScaleNormal="90"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8.140625" style="49" customWidth="1"/>
    <col min="4" max="4" width="34.28515625" style="49" hidden="1" customWidth="1"/>
    <col min="5" max="7" width="15.5703125" style="49" customWidth="1"/>
    <col min="8" max="8" width="18" style="49" customWidth="1"/>
    <col min="9" max="9" width="17.7109375" style="49" customWidth="1"/>
    <col min="10" max="10" width="15.140625" style="49" customWidth="1"/>
    <col min="11" max="11" width="13.7109375" style="49" customWidth="1"/>
    <col min="12" max="12" width="17.42578125" style="49" customWidth="1"/>
    <col min="13" max="13" width="18.28515625" style="49" customWidth="1"/>
    <col min="14" max="14" width="15.14062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37" t="s">
        <v>752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37" t="s">
        <v>778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6" ht="15.75" x14ac:dyDescent="0.25">
      <c r="B4" s="237" t="s">
        <v>876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37" t="s">
        <v>917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38" t="s">
        <v>779</v>
      </c>
      <c r="F10" s="239"/>
      <c r="G10" s="239"/>
      <c r="H10" s="240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4"/>
      <c r="E11" s="61" t="s">
        <v>909</v>
      </c>
      <c r="F11" s="219" t="s">
        <v>909</v>
      </c>
      <c r="G11" s="219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219" t="s">
        <v>782</v>
      </c>
      <c r="G12" s="219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Allocation!I80</f>
        <v>0</v>
      </c>
      <c r="F15" s="87">
        <f>Allocation!I82</f>
        <v>0</v>
      </c>
      <c r="G15" s="87">
        <f>Allocation!I86+Allocation!I89+Allocation!I92+Allocation!I95</f>
        <v>2626607.0290901158</v>
      </c>
      <c r="H15" s="88">
        <f>E15+F15+G15</f>
        <v>2626607.0290901158</v>
      </c>
      <c r="I15" s="89">
        <f>Allocation!I62+Allocation!I68</f>
        <v>4294156.8660120228</v>
      </c>
      <c r="J15" s="88">
        <f>Allocation!I63</f>
        <v>59569.192171477756</v>
      </c>
      <c r="K15" s="87">
        <f>Allocation!I58+Allocation!I72</f>
        <v>18019.655168645222</v>
      </c>
      <c r="L15" s="90">
        <f>Allocation!I79</f>
        <v>8850574.5610023942</v>
      </c>
      <c r="M15" s="91">
        <f>Allocation!I57+Allocation!I67+Allocation!I75+Allocation!I81</f>
        <v>1675445.5411698672</v>
      </c>
      <c r="N15" s="92">
        <f>E15+F15+G15+K15+L15+M15+I15+J15</f>
        <v>17524372.844614521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0</v>
      </c>
      <c r="F17" s="87">
        <f>F15+F16</f>
        <v>0</v>
      </c>
      <c r="G17" s="87">
        <f>G15+G16</f>
        <v>2626607.0290901158</v>
      </c>
      <c r="H17" s="88">
        <f>E17+F17+G17</f>
        <v>2626607.0290901158</v>
      </c>
      <c r="I17" s="89">
        <f>I15+I16</f>
        <v>4294156.8660120228</v>
      </c>
      <c r="J17" s="88">
        <f>J15+J16</f>
        <v>59569.192171477756</v>
      </c>
      <c r="K17" s="87">
        <f>K15+K16</f>
        <v>18019.655168645222</v>
      </c>
      <c r="L17" s="90">
        <f>L15+L16</f>
        <v>8850574.5610023942</v>
      </c>
      <c r="M17" s="91">
        <f>M15+M16</f>
        <v>1675445.5411698672</v>
      </c>
      <c r="N17" s="97">
        <f>E17+F17+G17+K17+L17+M17+I17+J17</f>
        <v>17524372.844614521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Allocation!I572</f>
        <v>9.481596911242475E-2</v>
      </c>
      <c r="F19" s="99">
        <f>E19</f>
        <v>9.481596911242475E-2</v>
      </c>
      <c r="G19" s="99">
        <f>E19</f>
        <v>9.481596911242475E-2</v>
      </c>
      <c r="H19" s="100">
        <f>E19</f>
        <v>9.481596911242475E-2</v>
      </c>
      <c r="I19" s="98">
        <f>E19</f>
        <v>9.481596911242475E-2</v>
      </c>
      <c r="J19" s="100">
        <f>E19</f>
        <v>9.481596911242475E-2</v>
      </c>
      <c r="K19" s="99">
        <f>E19</f>
        <v>9.481596911242475E-2</v>
      </c>
      <c r="L19" s="101">
        <f>F19</f>
        <v>9.481596911242475E-2</v>
      </c>
      <c r="M19" s="100">
        <f>G19</f>
        <v>9.481596911242475E-2</v>
      </c>
      <c r="N19" s="100">
        <f>E19</f>
        <v>9.481596911242475E-2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911</v>
      </c>
      <c r="D21" s="85" t="s">
        <v>794</v>
      </c>
      <c r="E21" s="86">
        <f>E17*E19</f>
        <v>0</v>
      </c>
      <c r="F21" s="87">
        <f>F17*F19</f>
        <v>0</v>
      </c>
      <c r="G21" s="87">
        <f>G17*G19</f>
        <v>249044.29094068616</v>
      </c>
      <c r="H21" s="88">
        <f>E21+F21+G21</f>
        <v>249044.29094068616</v>
      </c>
      <c r="I21" s="86">
        <f>I17*I19</f>
        <v>407154.64477170265</v>
      </c>
      <c r="J21" s="91">
        <f>J17*J19</f>
        <v>5648.1106849829293</v>
      </c>
      <c r="K21" s="87">
        <f>K17*K19</f>
        <v>1708.5510678868104</v>
      </c>
      <c r="L21" s="90">
        <f>L17*L19</f>
        <v>839175.80420321529</v>
      </c>
      <c r="M21" s="91">
        <f>M17*M19</f>
        <v>158858.99268111191</v>
      </c>
      <c r="N21" s="92">
        <f>E21+F21+G21+K21+L21+M21+I21+J21</f>
        <v>1661590.3943495858</v>
      </c>
      <c r="P21" s="50">
        <f>H21+I21+J21+K21+L21+M21</f>
        <v>1661590.3943495858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Allocation!I443</f>
        <v>0</v>
      </c>
      <c r="F23" s="87">
        <f>Allocation!I445</f>
        <v>0</v>
      </c>
      <c r="G23" s="87">
        <f>Allocation!I449+Allocation!I452+Allocation!I455+Allocation!I458</f>
        <v>49260.860460379961</v>
      </c>
      <c r="H23" s="88">
        <f>E23+F23+G23</f>
        <v>49260.860460379961</v>
      </c>
      <c r="I23" s="86">
        <f>Allocation!I426+Allocation!I432</f>
        <v>60901.030356186464</v>
      </c>
      <c r="J23" s="91">
        <f>Allocation!I427</f>
        <v>0</v>
      </c>
      <c r="K23" s="87">
        <f>Allocation!I422+Allocation!I436</f>
        <v>0</v>
      </c>
      <c r="L23" s="90">
        <f>Allocation!I442</f>
        <v>173985.1439360996</v>
      </c>
      <c r="M23" s="91">
        <f>Allocation!I421+Allocation!I431+Allocation!I439+Allocation!I444</f>
        <v>29024.654462960825</v>
      </c>
      <c r="N23" s="92">
        <f>E23+F23+G23+K23+L23+M23+I23+J23</f>
        <v>313171.68921562686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912</v>
      </c>
      <c r="D25" s="85" t="s">
        <v>797</v>
      </c>
      <c r="E25" s="89">
        <f t="shared" ref="E25:M25" si="1">E21-E23</f>
        <v>0</v>
      </c>
      <c r="F25" s="102">
        <f t="shared" si="1"/>
        <v>0</v>
      </c>
      <c r="G25" s="102">
        <f t="shared" si="1"/>
        <v>199783.43048030621</v>
      </c>
      <c r="H25" s="88">
        <f t="shared" si="1"/>
        <v>199783.43048030621</v>
      </c>
      <c r="I25" s="89">
        <f t="shared" si="1"/>
        <v>346253.6144155162</v>
      </c>
      <c r="J25" s="88">
        <f t="shared" si="1"/>
        <v>5648.1106849829293</v>
      </c>
      <c r="K25" s="102">
        <f t="shared" si="1"/>
        <v>1708.5510678868104</v>
      </c>
      <c r="L25" s="92">
        <f t="shared" si="1"/>
        <v>665190.66026711569</v>
      </c>
      <c r="M25" s="88">
        <f t="shared" si="1"/>
        <v>129834.33821815108</v>
      </c>
      <c r="N25" s="92">
        <f>N21-N23</f>
        <v>1348418.705133959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0</v>
      </c>
      <c r="F27" s="87">
        <f>$P$27*(F25/$N$25)</f>
        <v>0</v>
      </c>
      <c r="G27" s="87">
        <f>$P$27*(G25/$N$25)</f>
        <v>126888.70881144689</v>
      </c>
      <c r="H27" s="88">
        <f>E27+G27+F27</f>
        <v>126888.70881144689</v>
      </c>
      <c r="I27" s="86">
        <f>$P$27*(I25/$N$25)</f>
        <v>219916.50633315378</v>
      </c>
      <c r="J27" s="91">
        <f>$P$27*(J25/$N$25)</f>
        <v>3587.2918505735051</v>
      </c>
      <c r="K27" s="87">
        <f>$P$27*(K25/$N$25)</f>
        <v>1085.1542513879645</v>
      </c>
      <c r="L27" s="90">
        <f>$P$27*(L25/$N$25)</f>
        <v>422483.40511426167</v>
      </c>
      <c r="M27" s="87">
        <f>$P$27*(M25/$N$25)</f>
        <v>82461.85129709178</v>
      </c>
      <c r="N27" s="92">
        <f>E27+F27+G27+K27+L27+M27+I27+J27</f>
        <v>856422.91765791562</v>
      </c>
      <c r="P27" s="51">
        <f>Allocation!I519+Allocation!I509+Allocation!I564</f>
        <v>856422.91765791562</v>
      </c>
      <c r="S27" s="49">
        <f>1-(N27/N25)</f>
        <v>0.36486870554585338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Allocation!I126</f>
        <v>0</v>
      </c>
      <c r="F29" s="87">
        <f>Allocation!I128</f>
        <v>0</v>
      </c>
      <c r="G29" s="87">
        <f>Allocation!I132+Allocation!I135+Allocation!I138+Allocation!I141</f>
        <v>167875.62030332652</v>
      </c>
      <c r="H29" s="88">
        <f>E29+F29+G29</f>
        <v>167875.62030332652</v>
      </c>
      <c r="I29" s="89">
        <f>Allocation!I109+Allocation!I115</f>
        <v>239668.77406311961</v>
      </c>
      <c r="J29" s="88">
        <f>Allocation!I110</f>
        <v>434764.48933611775</v>
      </c>
      <c r="K29" s="87">
        <f>Allocation!I105+Allocation!I119</f>
        <v>131516.07218135335</v>
      </c>
      <c r="L29" s="90">
        <f>Allocation!I125</f>
        <v>745628.51369712094</v>
      </c>
      <c r="M29" s="91">
        <f>Allocation!I104+Allocation!I114+Allocation!I122+Allocation!I127</f>
        <v>183585.42513074091</v>
      </c>
      <c r="N29" s="92">
        <f>E29+F29+G29+K29+L29+M29+I29+J29</f>
        <v>1903038.894711779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Allocation!I219</f>
        <v>0</v>
      </c>
      <c r="F30" s="94">
        <f>Allocation!I221</f>
        <v>0</v>
      </c>
      <c r="G30" s="94">
        <f>Allocation!I225+Allocation!I228+Allocation!I231+Allocation!I234</f>
        <v>190987.04764677916</v>
      </c>
      <c r="H30" s="95">
        <f>E30+F30+G30</f>
        <v>190987.04764677916</v>
      </c>
      <c r="I30" s="93">
        <f>Allocation!I202+Allocation!I208</f>
        <v>153463.84293162997</v>
      </c>
      <c r="J30" s="95">
        <f>Allocation!I203</f>
        <v>0</v>
      </c>
      <c r="K30" s="94">
        <f>Allocation!I198+Allocation!I212</f>
        <v>0</v>
      </c>
      <c r="L30" s="96">
        <f>Allocation!I218</f>
        <v>434100.54696813785</v>
      </c>
      <c r="M30" s="95">
        <f>Allocation!I197+Allocation!I207+Allocation!I215+Allocation!I220</f>
        <v>82014.130443755421</v>
      </c>
      <c r="N30" s="96">
        <f>E30+F30+G30+K30+L30+M30+I30+J30</f>
        <v>860565.56799030234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Allocation!I396</f>
        <v>0</v>
      </c>
      <c r="F31" s="94">
        <f>Allocation!I398</f>
        <v>0</v>
      </c>
      <c r="G31" s="94">
        <f>Allocation!I402+Allocation!I405+Allocation!I408+Allocation!I411</f>
        <v>42982.837496661785</v>
      </c>
      <c r="H31" s="95">
        <f>E31+F31+G31</f>
        <v>42982.837496661785</v>
      </c>
      <c r="I31" s="93">
        <f>Allocation!I379+Allocation!I385</f>
        <v>53139.53241406774</v>
      </c>
      <c r="J31" s="95">
        <f>Allocation!I380</f>
        <v>0</v>
      </c>
      <c r="K31" s="94">
        <f>Allocation!I375+Allocation!I389</f>
        <v>0</v>
      </c>
      <c r="L31" s="96">
        <f>Allocation!I395</f>
        <v>151811.70403333628</v>
      </c>
      <c r="M31" s="95">
        <f>Allocation!I374+Allocation!I384+Allocation!I392+Allocation!I397</f>
        <v>25325.623517713553</v>
      </c>
      <c r="N31" s="96">
        <f>E31+F31+G31+K31+L31+M31+I31+J31</f>
        <v>273259.69746177935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Allocation!I264+Allocation!I308+Allocation!I352</f>
        <v>0</v>
      </c>
      <c r="F32" s="94">
        <f>Allocation!I266+Allocation!I310+Allocation!I354</f>
        <v>0</v>
      </c>
      <c r="G32" s="94">
        <f>Allocation!I270+Allocation!I273+Allocation!I276+Allocation!I279+Allocation!I314+Allocation!I317+Allocation!I320+Allocation!I323+Allocation!I358+Allocation!I361+Allocation!I364+Allocation!I367</f>
        <v>-141.94764221657834</v>
      </c>
      <c r="H32" s="95">
        <f>E32+F32+G32</f>
        <v>-141.94764221657834</v>
      </c>
      <c r="I32" s="93">
        <f>Allocation!I247+Allocation!I291+Allocation!I335+Allocation!I253+Allocation!I297+Allocation!I341</f>
        <v>-159.32807763848163</v>
      </c>
      <c r="J32" s="95">
        <f>Allocation!I248+Allocation!I292+Allocation!I336</f>
        <v>0</v>
      </c>
      <c r="K32" s="94">
        <f>Allocation!I243+Allocation!I257+Allocation!I287+Allocation!I301+Allocation!I331+Allocation!I345+Allocation!I375+Allocation!I389</f>
        <v>0</v>
      </c>
      <c r="L32" s="96">
        <f>Allocation!I307+Allocation!I351+Allocation!I263</f>
        <v>-495.35839189748856</v>
      </c>
      <c r="M32" s="94">
        <f>Allocation!I242+Allocation!I252+Allocation!I260+Allocation!I265+Allocation!I286+Allocation!I296+Allocation!I304+Allocation!I309+Allocation!I330+Allocation!I340+Allocation!I348+Allocation!I353</f>
        <v>-82.231413758904324</v>
      </c>
      <c r="N32" s="96">
        <f>E32+F32+G32+K32+L32+M32+I32+J32</f>
        <v>-878.86552551145292</v>
      </c>
      <c r="P32" s="52"/>
    </row>
    <row r="33" spans="2:16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0</v>
      </c>
      <c r="F33" s="94">
        <f t="shared" ref="F33:M33" si="2">(F29/$N$29)*$N$33</f>
        <v>0</v>
      </c>
      <c r="G33" s="94">
        <f t="shared" si="2"/>
        <v>89.635669630202244</v>
      </c>
      <c r="H33" s="95">
        <f>E33+F33+G33</f>
        <v>89.635669630202244</v>
      </c>
      <c r="I33" s="93">
        <f t="shared" si="2"/>
        <v>127.96897496956967</v>
      </c>
      <c r="J33" s="95">
        <f t="shared" si="2"/>
        <v>232.1385682010411</v>
      </c>
      <c r="K33" s="94">
        <f t="shared" si="2"/>
        <v>70.221817651720258</v>
      </c>
      <c r="L33" s="96">
        <f t="shared" si="2"/>
        <v>398.12160336237645</v>
      </c>
      <c r="M33" s="94">
        <f t="shared" si="2"/>
        <v>98.023777879159056</v>
      </c>
      <c r="N33" s="96">
        <f>Allocation!I499+Allocation!I501+Allocation!I565+Allocation!I566</f>
        <v>1016.1104116940687</v>
      </c>
      <c r="P33" s="50">
        <f>H33+I33+J33+K33+L33+M33</f>
        <v>1016.1104116940687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804</v>
      </c>
      <c r="C35" s="84" t="s">
        <v>913</v>
      </c>
      <c r="D35" s="85" t="s">
        <v>848</v>
      </c>
      <c r="E35" s="89">
        <f t="shared" ref="E35:M35" si="3">E21+E27+SUM(E29:E33)</f>
        <v>0</v>
      </c>
      <c r="F35" s="102">
        <f t="shared" si="3"/>
        <v>0</v>
      </c>
      <c r="G35" s="102">
        <f>G21+G27+SUM(G29:G33)</f>
        <v>777726.19322631415</v>
      </c>
      <c r="H35" s="88">
        <f t="shared" si="3"/>
        <v>777726.19322631415</v>
      </c>
      <c r="I35" s="89">
        <f t="shared" si="3"/>
        <v>1073311.9414110049</v>
      </c>
      <c r="J35" s="88">
        <f t="shared" si="3"/>
        <v>444232.03043987521</v>
      </c>
      <c r="K35" s="102">
        <f t="shared" si="3"/>
        <v>134379.99931827985</v>
      </c>
      <c r="L35" s="92">
        <f t="shared" si="3"/>
        <v>2593102.7372275367</v>
      </c>
      <c r="M35" s="88">
        <f t="shared" si="3"/>
        <v>532261.81543453387</v>
      </c>
      <c r="N35" s="92">
        <f>N21+N27+SUM(N29:N33)</f>
        <v>5555014.7170575447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0</v>
      </c>
      <c r="F37" s="94">
        <f>(F35/$N$35)*$N$37</f>
        <v>0</v>
      </c>
      <c r="G37" s="94">
        <f>(G35/$N$35)*$N$37</f>
        <v>14050.149233259226</v>
      </c>
      <c r="H37" s="95">
        <f>E37+F37+G37</f>
        <v>14050.149233259226</v>
      </c>
      <c r="I37" s="93">
        <f>(I35/$N$35)*$N$37</f>
        <v>19390.105517862568</v>
      </c>
      <c r="J37" s="95">
        <f>(J35/$N$35)*$N$37</f>
        <v>8025.351822061818</v>
      </c>
      <c r="K37" s="94">
        <f>(K35/$N$35)*$N$37</f>
        <v>2427.6654956864618</v>
      </c>
      <c r="L37" s="96">
        <f>(L35/$N$35)*$N$37</f>
        <v>46846.153251029733</v>
      </c>
      <c r="M37" s="94">
        <f>(M35/$N$35)*$N$37</f>
        <v>9615.6693745873599</v>
      </c>
      <c r="N37" s="92">
        <f>Allocation!I467+Allocation!I468+Allocation!I469+Allocation!I476+Allocation!I562</f>
        <v>100355.09469448717</v>
      </c>
      <c r="P37" s="50">
        <f>H37+I37+J37+K37+L37+M37</f>
        <v>100355.09469448717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0</v>
      </c>
      <c r="F39" s="102">
        <f t="shared" si="4"/>
        <v>0</v>
      </c>
      <c r="G39" s="102">
        <f t="shared" si="4"/>
        <v>763676.04399305489</v>
      </c>
      <c r="H39" s="88">
        <f t="shared" si="4"/>
        <v>763676.04399305489</v>
      </c>
      <c r="I39" s="89">
        <f t="shared" si="4"/>
        <v>1053921.8358931423</v>
      </c>
      <c r="J39" s="88">
        <f t="shared" si="4"/>
        <v>436206.67861781339</v>
      </c>
      <c r="K39" s="102">
        <f>K35-K37</f>
        <v>131952.33382259338</v>
      </c>
      <c r="L39" s="92">
        <f t="shared" si="4"/>
        <v>2546256.5839765072</v>
      </c>
      <c r="M39" s="88">
        <f t="shared" si="4"/>
        <v>522646.14605994651</v>
      </c>
      <c r="N39" s="92">
        <f>N35-N37</f>
        <v>5454659.6223630579</v>
      </c>
      <c r="P39" s="50">
        <f>Allocation!G480-RGS!N39</f>
        <v>-8030008.466653809</v>
      </c>
    </row>
    <row r="40" spans="2:16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6" ht="15.75" x14ac:dyDescent="0.25">
      <c r="B41" s="83" t="s">
        <v>809</v>
      </c>
      <c r="C41" s="84" t="s">
        <v>385</v>
      </c>
      <c r="D41" s="85" t="s">
        <v>846</v>
      </c>
      <c r="E41" s="93">
        <f>Allocation!I600*12</f>
        <v>3210</v>
      </c>
      <c r="F41" s="94">
        <f>+$E$41</f>
        <v>3210</v>
      </c>
      <c r="G41" s="94">
        <f>+$E$41</f>
        <v>3210</v>
      </c>
      <c r="H41" s="95">
        <f>G41</f>
        <v>3210</v>
      </c>
      <c r="I41" s="93">
        <f>Allocation!I589</f>
        <v>301991.41200000001</v>
      </c>
      <c r="J41" s="95">
        <f>Allocation!I580</f>
        <v>1948740.6118655899</v>
      </c>
      <c r="K41" s="94">
        <f>Allocation!I580</f>
        <v>1948740.6118655899</v>
      </c>
      <c r="L41" s="96">
        <f>Allocation!I594</f>
        <v>13033.182868315442</v>
      </c>
      <c r="M41" s="94">
        <f>Allocation!I593</f>
        <v>13941.820402562018</v>
      </c>
      <c r="N41" s="74"/>
    </row>
    <row r="42" spans="2:16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6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$0.00/Cust/Mo</v>
      </c>
      <c r="F43" s="108" t="str">
        <f>CONCATENATE(TEXT(F39/F41,"$0.00"),"/Cust/Mo")</f>
        <v>$0.00/Cust/Mo</v>
      </c>
      <c r="G43" s="108" t="str">
        <f>CONCATENATE(TEXT(G39/G41,"$0.00"),"/Cust/Mo")</f>
        <v>$237.91/Cust/Mo</v>
      </c>
      <c r="H43" s="109" t="str">
        <f>CONCATENATE(TEXT(H39/H41,"$0.00"),"/Cust/Mo")</f>
        <v>$237.91/Cust/Mo</v>
      </c>
      <c r="I43" s="110">
        <f>I39/I41</f>
        <v>3.4899066463954354</v>
      </c>
      <c r="J43" s="110">
        <f t="shared" ref="J43:K43" si="5">J39/J41</f>
        <v>0.22384029765778793</v>
      </c>
      <c r="K43" s="110">
        <f t="shared" si="5"/>
        <v>6.771159435953425E-2</v>
      </c>
      <c r="L43" s="110">
        <f>L39/L41</f>
        <v>195.36721073458048</v>
      </c>
      <c r="M43" s="110">
        <f>M39/M41</f>
        <v>37.487654479030766</v>
      </c>
      <c r="N43" s="111"/>
    </row>
    <row r="44" spans="2:16" ht="16.5" thickBot="1" x14ac:dyDescent="0.3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221" t="s">
        <v>1</v>
      </c>
      <c r="N44" s="222">
        <f>(I43+L43+M43)/12</f>
        <v>19.695397655000559</v>
      </c>
    </row>
    <row r="45" spans="2:16" ht="16.5" thickBot="1" x14ac:dyDescent="0.3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221" t="s">
        <v>2</v>
      </c>
      <c r="N45" s="223">
        <f>J43+K43</f>
        <v>0.29155189201732218</v>
      </c>
    </row>
    <row r="46" spans="2:16" x14ac:dyDescent="0.2">
      <c r="H46" s="49" t="s">
        <v>877</v>
      </c>
      <c r="I46" s="50">
        <f>I39+L39+M39</f>
        <v>4122824.5659295958</v>
      </c>
      <c r="M46" s="53"/>
      <c r="N46" s="50"/>
    </row>
    <row r="47" spans="2:16" x14ac:dyDescent="0.2">
      <c r="H47" s="209" t="s">
        <v>1</v>
      </c>
      <c r="I47" s="181">
        <f>Allocation!I588*12</f>
        <v>167301.8448307442</v>
      </c>
      <c r="M47" s="179" t="s">
        <v>857</v>
      </c>
      <c r="N47" s="180">
        <f>N39/H41</f>
        <v>1699.270910393476</v>
      </c>
    </row>
    <row r="48" spans="2:16" x14ac:dyDescent="0.2">
      <c r="H48" s="49" t="s">
        <v>878</v>
      </c>
      <c r="I48" s="210">
        <f>I46/I47</f>
        <v>24.643031104053705</v>
      </c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  <pageSetup scale="61" orientation="landscape" r:id="rId1"/>
  <headerFooter>
    <oddHeader>&amp;RExhibit WSS-10
Page 2 of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zoomScale="90" zoomScaleNormal="90" workbookViewId="0"/>
  </sheetViews>
  <sheetFormatPr defaultColWidth="9.140625" defaultRowHeight="12.75" x14ac:dyDescent="0.2"/>
  <cols>
    <col min="1" max="1" width="1" style="49" customWidth="1"/>
    <col min="2" max="2" width="4.28515625" style="49" customWidth="1"/>
    <col min="3" max="3" width="38.28515625" style="49" customWidth="1"/>
    <col min="4" max="4" width="34.28515625" style="49" hidden="1" customWidth="1"/>
    <col min="5" max="8" width="17.42578125" style="49" customWidth="1"/>
    <col min="9" max="9" width="18.28515625" style="49" customWidth="1"/>
    <col min="10" max="10" width="14" style="49" customWidth="1"/>
    <col min="11" max="11" width="14.7109375" style="49" customWidth="1"/>
    <col min="12" max="12" width="17.42578125" style="49" customWidth="1"/>
    <col min="13" max="13" width="18.28515625" style="49" customWidth="1"/>
    <col min="14" max="14" width="14.710937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37" t="s">
        <v>752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37" t="s">
        <v>778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6" ht="15.75" x14ac:dyDescent="0.25">
      <c r="B4" s="237" t="s">
        <v>876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37" t="s">
        <v>861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2:16" ht="13.5" thickBo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2:16" ht="16.5" thickBot="1" x14ac:dyDescent="0.3">
      <c r="B8" s="68"/>
      <c r="C8" s="69"/>
      <c r="D8" s="70"/>
      <c r="E8" s="238" t="s">
        <v>779</v>
      </c>
      <c r="F8" s="239"/>
      <c r="G8" s="239"/>
      <c r="H8" s="240"/>
      <c r="I8" s="71"/>
      <c r="J8" s="71"/>
      <c r="K8" s="72"/>
      <c r="L8" s="72"/>
      <c r="M8" s="204" t="s">
        <v>875</v>
      </c>
      <c r="N8" s="70"/>
    </row>
    <row r="9" spans="2:16" ht="15.75" x14ac:dyDescent="0.25">
      <c r="B9" s="73"/>
      <c r="C9" s="65"/>
      <c r="D9" s="74"/>
      <c r="E9" s="61" t="s">
        <v>909</v>
      </c>
      <c r="F9" s="205" t="s">
        <v>909</v>
      </c>
      <c r="G9" s="205"/>
      <c r="H9" s="63" t="s">
        <v>14</v>
      </c>
      <c r="I9" s="75" t="s">
        <v>914</v>
      </c>
      <c r="J9" s="75" t="s">
        <v>3</v>
      </c>
      <c r="K9" s="75" t="s">
        <v>244</v>
      </c>
      <c r="L9" s="75" t="s">
        <v>780</v>
      </c>
      <c r="M9" s="75" t="s">
        <v>780</v>
      </c>
      <c r="N9" s="74"/>
    </row>
    <row r="10" spans="2:16" ht="15.75" x14ac:dyDescent="0.25">
      <c r="B10" s="73"/>
      <c r="C10" s="65"/>
      <c r="D10" s="74"/>
      <c r="E10" s="61" t="s">
        <v>781</v>
      </c>
      <c r="F10" s="205" t="s">
        <v>782</v>
      </c>
      <c r="G10" s="205" t="s">
        <v>909</v>
      </c>
      <c r="H10" s="63" t="s">
        <v>909</v>
      </c>
      <c r="I10" s="75" t="s">
        <v>783</v>
      </c>
      <c r="J10" s="75" t="s">
        <v>814</v>
      </c>
      <c r="K10" s="75" t="s">
        <v>635</v>
      </c>
      <c r="L10" s="61" t="s">
        <v>781</v>
      </c>
      <c r="M10" s="61" t="s">
        <v>782</v>
      </c>
      <c r="N10" s="74"/>
    </row>
    <row r="11" spans="2:16" ht="16.5" thickBot="1" x14ac:dyDescent="0.3">
      <c r="B11" s="66"/>
      <c r="C11" s="76" t="s">
        <v>19</v>
      </c>
      <c r="D11" s="77" t="s">
        <v>717</v>
      </c>
      <c r="E11" s="78" t="s">
        <v>784</v>
      </c>
      <c r="F11" s="79" t="s">
        <v>785</v>
      </c>
      <c r="G11" s="79" t="s">
        <v>786</v>
      </c>
      <c r="H11" s="80" t="s">
        <v>787</v>
      </c>
      <c r="I11" s="77" t="s">
        <v>787</v>
      </c>
      <c r="J11" s="77" t="s">
        <v>787</v>
      </c>
      <c r="K11" s="77" t="s">
        <v>787</v>
      </c>
      <c r="L11" s="78" t="s">
        <v>784</v>
      </c>
      <c r="M11" s="78" t="s">
        <v>784</v>
      </c>
      <c r="N11" s="77" t="s">
        <v>788</v>
      </c>
    </row>
    <row r="12" spans="2:16" ht="15.75" x14ac:dyDescent="0.25">
      <c r="B12" s="68"/>
      <c r="C12" s="69"/>
      <c r="D12" s="81"/>
      <c r="E12" s="68"/>
      <c r="F12" s="82"/>
      <c r="G12" s="82"/>
      <c r="H12" s="69"/>
      <c r="I12" s="68"/>
      <c r="J12" s="69"/>
      <c r="K12" s="68"/>
      <c r="L12" s="70"/>
      <c r="M12" s="69"/>
      <c r="N12" s="70"/>
    </row>
    <row r="13" spans="2:16" ht="15.75" x14ac:dyDescent="0.25">
      <c r="B13" s="83" t="s">
        <v>718</v>
      </c>
      <c r="C13" s="84" t="s">
        <v>245</v>
      </c>
      <c r="D13" s="85" t="s">
        <v>838</v>
      </c>
      <c r="E13" s="86">
        <f>Allocation!J80</f>
        <v>0</v>
      </c>
      <c r="F13" s="87">
        <f>Allocation!J82</f>
        <v>0</v>
      </c>
      <c r="G13" s="87">
        <f>Allocation!J86+Allocation!J89+Allocation!J92+Allocation!J95</f>
        <v>65946.866327539552</v>
      </c>
      <c r="H13" s="88">
        <f>E13+F13+G13</f>
        <v>65946.866327539552</v>
      </c>
      <c r="I13" s="89">
        <f>Allocation!J62+Allocation!J68</f>
        <v>0</v>
      </c>
      <c r="J13" s="88">
        <f>Allocation!J63</f>
        <v>0</v>
      </c>
      <c r="K13" s="87">
        <f>Allocation!J58+Allocation!J72</f>
        <v>3551.8545914746983</v>
      </c>
      <c r="L13" s="90">
        <f>Allocation!J79</f>
        <v>1654639.8928043556</v>
      </c>
      <c r="M13" s="91">
        <f>Allocation!J57+Allocation!J67+Allocation!J75+Allocation!J81</f>
        <v>360617.05591149849</v>
      </c>
      <c r="N13" s="92">
        <f>E13+F13+G13+K13+L13+M13+I13+J13</f>
        <v>2084755.6696348684</v>
      </c>
      <c r="O13" s="50"/>
    </row>
    <row r="14" spans="2:16" ht="15.75" x14ac:dyDescent="0.25">
      <c r="B14" s="83" t="s">
        <v>789</v>
      </c>
      <c r="C14" s="84" t="s">
        <v>672</v>
      </c>
      <c r="D14" s="85" t="s">
        <v>839</v>
      </c>
      <c r="E14" s="93">
        <f>(E13/$N$13)*$N$14</f>
        <v>0</v>
      </c>
      <c r="F14" s="94">
        <f t="shared" ref="F14:M14" si="0">(F13/$N$13)*$N$14</f>
        <v>0</v>
      </c>
      <c r="G14" s="94">
        <f t="shared" si="0"/>
        <v>0</v>
      </c>
      <c r="H14" s="95">
        <f>E14+F14+G14</f>
        <v>0</v>
      </c>
      <c r="I14" s="93">
        <f t="shared" si="0"/>
        <v>0</v>
      </c>
      <c r="J14" s="95">
        <f t="shared" si="0"/>
        <v>0</v>
      </c>
      <c r="K14" s="94">
        <f t="shared" si="0"/>
        <v>0</v>
      </c>
      <c r="L14" s="96">
        <f t="shared" si="0"/>
        <v>0</v>
      </c>
      <c r="M14" s="95">
        <f t="shared" si="0"/>
        <v>0</v>
      </c>
      <c r="N14" s="96">
        <f>Allocation!G524+Allocation!G525</f>
        <v>0</v>
      </c>
      <c r="O14" s="50"/>
      <c r="P14" s="50">
        <f>H14+I14+J14+K14+L14+M14</f>
        <v>0</v>
      </c>
    </row>
    <row r="15" spans="2:16" ht="15.75" x14ac:dyDescent="0.25">
      <c r="B15" s="83" t="s">
        <v>790</v>
      </c>
      <c r="C15" s="84" t="s">
        <v>906</v>
      </c>
      <c r="D15" s="85" t="s">
        <v>791</v>
      </c>
      <c r="E15" s="86">
        <f>E13+E14</f>
        <v>0</v>
      </c>
      <c r="F15" s="87">
        <f>F13+F14</f>
        <v>0</v>
      </c>
      <c r="G15" s="87">
        <f>G13+G14</f>
        <v>65946.866327539552</v>
      </c>
      <c r="H15" s="88">
        <f>E15+F15+G15</f>
        <v>65946.866327539552</v>
      </c>
      <c r="I15" s="89">
        <f>I13+I14</f>
        <v>0</v>
      </c>
      <c r="J15" s="88">
        <f>J13+J14</f>
        <v>0</v>
      </c>
      <c r="K15" s="87">
        <f>K13+K14</f>
        <v>3551.8545914746983</v>
      </c>
      <c r="L15" s="90">
        <f>L13+L14</f>
        <v>1654639.8928043556</v>
      </c>
      <c r="M15" s="91">
        <f>M13+M14</f>
        <v>360617.05591149849</v>
      </c>
      <c r="N15" s="97">
        <f>E15+F15+G15+K15+L15+M15+I15+J15</f>
        <v>2084755.6696348684</v>
      </c>
    </row>
    <row r="16" spans="2:16" ht="15.75" x14ac:dyDescent="0.25">
      <c r="B16" s="83"/>
      <c r="C16" s="84"/>
      <c r="D16" s="85"/>
      <c r="E16" s="86"/>
      <c r="F16" s="87"/>
      <c r="G16" s="87"/>
      <c r="H16" s="88"/>
      <c r="I16" s="89"/>
      <c r="J16" s="88"/>
      <c r="K16" s="87"/>
      <c r="L16" s="90"/>
      <c r="M16" s="91"/>
      <c r="N16" s="92"/>
    </row>
    <row r="17" spans="2:19" ht="15.75" x14ac:dyDescent="0.25">
      <c r="B17" s="83" t="s">
        <v>792</v>
      </c>
      <c r="C17" s="84" t="s">
        <v>365</v>
      </c>
      <c r="D17" s="85" t="s">
        <v>847</v>
      </c>
      <c r="E17" s="98">
        <f>Allocation!J572</f>
        <v>4.1841656586537539E-2</v>
      </c>
      <c r="F17" s="99">
        <f>E17</f>
        <v>4.1841656586537539E-2</v>
      </c>
      <c r="G17" s="99">
        <f>E17</f>
        <v>4.1841656586537539E-2</v>
      </c>
      <c r="H17" s="100">
        <f>E17</f>
        <v>4.1841656586537539E-2</v>
      </c>
      <c r="I17" s="98">
        <f>E17</f>
        <v>4.1841656586537539E-2</v>
      </c>
      <c r="J17" s="100">
        <f>E17</f>
        <v>4.1841656586537539E-2</v>
      </c>
      <c r="K17" s="99">
        <f>E17</f>
        <v>4.1841656586537539E-2</v>
      </c>
      <c r="L17" s="101">
        <f>F17</f>
        <v>4.1841656586537539E-2</v>
      </c>
      <c r="M17" s="100">
        <f>G17</f>
        <v>4.1841656586537539E-2</v>
      </c>
      <c r="N17" s="100">
        <f>E17</f>
        <v>4.1841656586537539E-2</v>
      </c>
    </row>
    <row r="18" spans="2:19" ht="15.75" x14ac:dyDescent="0.25">
      <c r="B18" s="73"/>
      <c r="C18" s="84"/>
      <c r="D18" s="85"/>
      <c r="E18" s="73"/>
      <c r="F18" s="64"/>
      <c r="G18" s="64"/>
      <c r="H18" s="65"/>
      <c r="I18" s="73"/>
      <c r="J18" s="65"/>
      <c r="K18" s="64"/>
      <c r="L18" s="74"/>
      <c r="M18" s="65"/>
      <c r="N18" s="74"/>
    </row>
    <row r="19" spans="2:19" ht="15.75" x14ac:dyDescent="0.25">
      <c r="B19" s="83" t="s">
        <v>793</v>
      </c>
      <c r="C19" s="84" t="s">
        <v>911</v>
      </c>
      <c r="D19" s="85" t="s">
        <v>794</v>
      </c>
      <c r="E19" s="86">
        <f>E15*E17</f>
        <v>0</v>
      </c>
      <c r="F19" s="87">
        <f>F15*F17</f>
        <v>0</v>
      </c>
      <c r="G19" s="87">
        <f>G15*G17</f>
        <v>2759.3261338352058</v>
      </c>
      <c r="H19" s="88">
        <f>E19+F19+G19</f>
        <v>2759.3261338352058</v>
      </c>
      <c r="I19" s="86">
        <f>I15*I17</f>
        <v>0</v>
      </c>
      <c r="J19" s="91">
        <f>J15*J17</f>
        <v>0</v>
      </c>
      <c r="K19" s="87">
        <f>K15*K17</f>
        <v>148.61548006180089</v>
      </c>
      <c r="L19" s="90">
        <f>L15*L17</f>
        <v>69232.874169105125</v>
      </c>
      <c r="M19" s="91">
        <f>M15*M17</f>
        <v>15088.815012697127</v>
      </c>
      <c r="N19" s="92">
        <f>E19+F19+G19+K19+L19+M19+I19+J19</f>
        <v>87229.630795699268</v>
      </c>
      <c r="P19" s="50">
        <f>H19+I19+J19+K19+L19+M19</f>
        <v>87229.630795699268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795</v>
      </c>
      <c r="C21" s="84" t="s">
        <v>367</v>
      </c>
      <c r="D21" s="85" t="s">
        <v>840</v>
      </c>
      <c r="E21" s="86">
        <f>Allocation!J443</f>
        <v>0</v>
      </c>
      <c r="F21" s="87">
        <f>Allocation!J445</f>
        <v>0</v>
      </c>
      <c r="G21" s="87">
        <f>Allocation!J449+Allocation!J452+Allocation!J455+Allocation!J458</f>
        <v>1230.4021828201894</v>
      </c>
      <c r="H21" s="88">
        <f>E21+F21+G21</f>
        <v>1230.4021828201894</v>
      </c>
      <c r="I21" s="86">
        <f>Allocation!J426+Allocation!J432</f>
        <v>0</v>
      </c>
      <c r="J21" s="91">
        <f>Allocation!J427</f>
        <v>0</v>
      </c>
      <c r="K21" s="87">
        <f>Allocation!J422+Allocation!J436</f>
        <v>0</v>
      </c>
      <c r="L21" s="90">
        <f>Allocation!J442</f>
        <v>32527.013690213276</v>
      </c>
      <c r="M21" s="91">
        <f>Allocation!J421+Allocation!J431+Allocation!J439+Allocation!J444</f>
        <v>6214.7661364824926</v>
      </c>
      <c r="N21" s="92">
        <f>E21+F21+G21+K21+L21+M21+I21+J21</f>
        <v>39972.182009515964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796</v>
      </c>
      <c r="C23" s="84" t="s">
        <v>912</v>
      </c>
      <c r="D23" s="85" t="s">
        <v>797</v>
      </c>
      <c r="E23" s="89">
        <f t="shared" ref="E23:M23" si="1">E19-E21</f>
        <v>0</v>
      </c>
      <c r="F23" s="102">
        <f t="shared" si="1"/>
        <v>0</v>
      </c>
      <c r="G23" s="102">
        <f t="shared" si="1"/>
        <v>1528.9239510150164</v>
      </c>
      <c r="H23" s="88">
        <f t="shared" si="1"/>
        <v>1528.9239510150164</v>
      </c>
      <c r="I23" s="89">
        <f t="shared" si="1"/>
        <v>0</v>
      </c>
      <c r="J23" s="88">
        <f t="shared" si="1"/>
        <v>0</v>
      </c>
      <c r="K23" s="102">
        <f t="shared" si="1"/>
        <v>148.61548006180089</v>
      </c>
      <c r="L23" s="92">
        <f t="shared" si="1"/>
        <v>36705.860478891846</v>
      </c>
      <c r="M23" s="88">
        <f t="shared" si="1"/>
        <v>8874.0488762146342</v>
      </c>
      <c r="N23" s="92">
        <f>N19-N21</f>
        <v>47257.448786183304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798</v>
      </c>
      <c r="C25" s="84" t="s">
        <v>297</v>
      </c>
      <c r="D25" s="103" t="s">
        <v>813</v>
      </c>
      <c r="E25" s="86">
        <f>$P$25*(E23/$N$23)</f>
        <v>0</v>
      </c>
      <c r="F25" s="87">
        <f>$P$25*(F23/$N$23)</f>
        <v>0</v>
      </c>
      <c r="G25" s="87">
        <f>$P$25*(G23/$N$23)</f>
        <v>979.23956504518731</v>
      </c>
      <c r="H25" s="88">
        <f>E25+G25+F25</f>
        <v>979.23956504518731</v>
      </c>
      <c r="I25" s="86">
        <f>$P$25*(I23/$N$23)</f>
        <v>0</v>
      </c>
      <c r="J25" s="91">
        <f>$P$25*(J23/$N$23)</f>
        <v>0</v>
      </c>
      <c r="K25" s="87">
        <f>$P$25*(K23/$N$23)</f>
        <v>95.184693756733679</v>
      </c>
      <c r="L25" s="90">
        <f>$P$25*(L23/$N$23)</f>
        <v>23509.233945937682</v>
      </c>
      <c r="M25" s="87">
        <f>$P$25*(M23/$N$23)</f>
        <v>5683.618047820617</v>
      </c>
      <c r="N25" s="92">
        <f>E25+F25+G25+K25+L25+M25+I25+J25</f>
        <v>30267.276252560223</v>
      </c>
      <c r="P25" s="51">
        <f>Allocation!J519+Allocation!J509+Allocation!J564</f>
        <v>30267.276252560223</v>
      </c>
      <c r="S25" s="49">
        <f>1-(N25/N23)</f>
        <v>0.35952369351327551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799</v>
      </c>
      <c r="C27" s="84" t="s">
        <v>171</v>
      </c>
      <c r="D27" s="85" t="s">
        <v>841</v>
      </c>
      <c r="E27" s="86">
        <f>Allocation!J126</f>
        <v>0</v>
      </c>
      <c r="F27" s="87">
        <f>Allocation!J128</f>
        <v>0</v>
      </c>
      <c r="G27" s="87">
        <f>Allocation!J132+Allocation!J135+Allocation!J138+Allocation!J141</f>
        <v>4345.9816632456159</v>
      </c>
      <c r="H27" s="88">
        <f>E27+F27+G27</f>
        <v>4345.9816632456159</v>
      </c>
      <c r="I27" s="89">
        <f>Allocation!J109+Allocation!J115</f>
        <v>0</v>
      </c>
      <c r="J27" s="88">
        <f>Allocation!J110</f>
        <v>0</v>
      </c>
      <c r="K27" s="87">
        <f>Allocation!J105+Allocation!J119</f>
        <v>25923.135623753322</v>
      </c>
      <c r="L27" s="90">
        <f>Allocation!J125</f>
        <v>139397.35499340779</v>
      </c>
      <c r="M27" s="91">
        <f>Allocation!J104+Allocation!J114+Allocation!J122+Allocation!J127</f>
        <v>39865.794369244235</v>
      </c>
      <c r="N27" s="92">
        <f>E27+F27+G27+K27+L27+M27+I27+J27</f>
        <v>209532.26664965099</v>
      </c>
    </row>
    <row r="28" spans="2:19" ht="15.75" x14ac:dyDescent="0.25">
      <c r="B28" s="83" t="s">
        <v>800</v>
      </c>
      <c r="C28" s="84" t="s">
        <v>173</v>
      </c>
      <c r="D28" s="85" t="s">
        <v>842</v>
      </c>
      <c r="E28" s="93">
        <f>Allocation!J219</f>
        <v>0</v>
      </c>
      <c r="F28" s="94">
        <f>Allocation!J221</f>
        <v>0</v>
      </c>
      <c r="G28" s="94">
        <f>Allocation!J225+Allocation!J228+Allocation!J231+Allocation!J234</f>
        <v>4799.5603731770989</v>
      </c>
      <c r="H28" s="95">
        <f>E28+F28+G28</f>
        <v>4799.5603731770989</v>
      </c>
      <c r="I28" s="93">
        <f>Allocation!J202+Allocation!J208</f>
        <v>0</v>
      </c>
      <c r="J28" s="95">
        <f>Allocation!J203</f>
        <v>0</v>
      </c>
      <c r="K28" s="94">
        <f>Allocation!J198+Allocation!J212</f>
        <v>0</v>
      </c>
      <c r="L28" s="96">
        <f>Allocation!J218</f>
        <v>81156.322400420642</v>
      </c>
      <c r="M28" s="95">
        <f>Allocation!J197+Allocation!J207+Allocation!J215+Allocation!J220</f>
        <v>17651.088059863258</v>
      </c>
      <c r="N28" s="96">
        <f>E28+F28+G28+K28+L28+M28+I28+J28</f>
        <v>103606.970833461</v>
      </c>
    </row>
    <row r="29" spans="2:19" ht="15.75" x14ac:dyDescent="0.25">
      <c r="B29" s="83" t="s">
        <v>801</v>
      </c>
      <c r="C29" s="84" t="s">
        <v>215</v>
      </c>
      <c r="D29" s="85" t="s">
        <v>843</v>
      </c>
      <c r="E29" s="93">
        <f>Allocation!J396</f>
        <v>0</v>
      </c>
      <c r="F29" s="94">
        <f>Allocation!J398</f>
        <v>0</v>
      </c>
      <c r="G29" s="94">
        <f>Allocation!J402+Allocation!J405+Allocation!J408+Allocation!J411</f>
        <v>1073.5942609495014</v>
      </c>
      <c r="H29" s="95">
        <f>E29+F29+G29</f>
        <v>1073.5942609495014</v>
      </c>
      <c r="I29" s="93">
        <f>Allocation!J379+Allocation!J385</f>
        <v>0</v>
      </c>
      <c r="J29" s="95">
        <f>Allocation!J380</f>
        <v>0</v>
      </c>
      <c r="K29" s="94">
        <f>Allocation!J375+Allocation!J389</f>
        <v>0</v>
      </c>
      <c r="L29" s="96">
        <f>Allocation!J395</f>
        <v>28381.626521173166</v>
      </c>
      <c r="M29" s="95">
        <f>Allocation!J374+Allocation!J384+Allocation!J392+Allocation!J397</f>
        <v>5422.7287227155175</v>
      </c>
      <c r="N29" s="96">
        <f>E29+F29+G29+K29+L29+M29+I29+J29</f>
        <v>34877.949504838187</v>
      </c>
      <c r="P29" s="52"/>
    </row>
    <row r="30" spans="2:19" ht="15.75" x14ac:dyDescent="0.25">
      <c r="B30" s="83" t="s">
        <v>802</v>
      </c>
      <c r="C30" s="84" t="s">
        <v>105</v>
      </c>
      <c r="D30" s="85" t="s">
        <v>844</v>
      </c>
      <c r="E30" s="93">
        <f>Allocation!J264+Allocation!J308+Allocation!J352</f>
        <v>0</v>
      </c>
      <c r="F30" s="94">
        <f>Allocation!J266+Allocation!J310+Allocation!J354</f>
        <v>0</v>
      </c>
      <c r="G30" s="94">
        <f>Allocation!J270+Allocation!J273+Allocation!J276+Allocation!J279+Allocation!J314+Allocation!J317+Allocation!J320+Allocation!J323+Allocation!J358+Allocation!J361+Allocation!J364+Allocation!J367</f>
        <v>-3.5454656536080749</v>
      </c>
      <c r="H30" s="95">
        <f>E30+F30+G30</f>
        <v>-3.5454656536080749</v>
      </c>
      <c r="I30" s="93">
        <f>Allocation!J247+Allocation!J291+Allocation!J335+Allocation!J253+Allocation!J297+Allocation!J341</f>
        <v>0</v>
      </c>
      <c r="J30" s="95">
        <f>Allocation!J248+Allocation!J292+Allocation!J336</f>
        <v>0</v>
      </c>
      <c r="K30" s="94">
        <f>Allocation!J243+Allocation!J257+Allocation!J287+Allocation!J301+Allocation!J331+Allocation!J345+Allocation!J375+Allocation!J389</f>
        <v>0</v>
      </c>
      <c r="L30" s="96">
        <f>Allocation!J307+Allocation!J351+Allocation!J263</f>
        <v>-92.608649395544774</v>
      </c>
      <c r="M30" s="94">
        <f>Allocation!J242+Allocation!J252+Allocation!J260+Allocation!J265+Allocation!J286+Allocation!J296+Allocation!J304+Allocation!J309+Allocation!J330+Allocation!J340+Allocation!J348+Allocation!J353</f>
        <v>-17.603598350764926</v>
      </c>
      <c r="N30" s="96">
        <f>E30+F30+G30+K30+L30+M30+I30+J30</f>
        <v>-113.75771339991778</v>
      </c>
      <c r="P30" s="52"/>
    </row>
    <row r="31" spans="2:19" ht="15.75" x14ac:dyDescent="0.25">
      <c r="B31" s="83" t="s">
        <v>803</v>
      </c>
      <c r="C31" s="84" t="s">
        <v>856</v>
      </c>
      <c r="D31" s="85" t="s">
        <v>839</v>
      </c>
      <c r="E31" s="93">
        <f>(E27/$N$27)*$N$31</f>
        <v>0</v>
      </c>
      <c r="F31" s="94">
        <f t="shared" ref="F31:M31" si="2">(F27/$N$27)*$N$31</f>
        <v>0</v>
      </c>
      <c r="G31" s="94">
        <f t="shared" si="2"/>
        <v>1.8672691116736677</v>
      </c>
      <c r="H31" s="95">
        <f>E31+F31+G31</f>
        <v>1.8672691116736677</v>
      </c>
      <c r="I31" s="93">
        <f t="shared" si="2"/>
        <v>0</v>
      </c>
      <c r="J31" s="95">
        <f t="shared" si="2"/>
        <v>0</v>
      </c>
      <c r="K31" s="94">
        <f t="shared" si="2"/>
        <v>11.137983125269853</v>
      </c>
      <c r="L31" s="96">
        <f t="shared" si="2"/>
        <v>59.89265381156968</v>
      </c>
      <c r="M31" s="94">
        <f t="shared" si="2"/>
        <v>17.128504491303179</v>
      </c>
      <c r="N31" s="96">
        <f>Allocation!J499+Allocation!J501+Allocation!J565+Allocation!J566</f>
        <v>90.026410539816396</v>
      </c>
      <c r="P31" s="50">
        <f>H31+I31+J31+K31+L31+M31</f>
        <v>90.026410539816382</v>
      </c>
    </row>
    <row r="32" spans="2:19" ht="15.75" x14ac:dyDescent="0.25">
      <c r="B32" s="73"/>
      <c r="C32" s="84"/>
      <c r="D32" s="85"/>
      <c r="E32" s="73"/>
      <c r="F32" s="64"/>
      <c r="G32" s="64"/>
      <c r="H32" s="65"/>
      <c r="I32" s="73"/>
      <c r="J32" s="65"/>
      <c r="K32" s="64"/>
      <c r="L32" s="74"/>
      <c r="M32" s="65"/>
      <c r="N32" s="74"/>
    </row>
    <row r="33" spans="2:16" ht="15.75" x14ac:dyDescent="0.25">
      <c r="B33" s="83" t="s">
        <v>804</v>
      </c>
      <c r="C33" s="84" t="s">
        <v>913</v>
      </c>
      <c r="D33" s="85" t="s">
        <v>848</v>
      </c>
      <c r="E33" s="89">
        <f t="shared" ref="E33:M33" si="3">E19+E25+SUM(E27:E31)</f>
        <v>0</v>
      </c>
      <c r="F33" s="102">
        <f t="shared" si="3"/>
        <v>0</v>
      </c>
      <c r="G33" s="102">
        <f>G19+G25+SUM(G27:G31)</f>
        <v>13956.023799710674</v>
      </c>
      <c r="H33" s="88">
        <f t="shared" si="3"/>
        <v>13956.023799710674</v>
      </c>
      <c r="I33" s="89">
        <f t="shared" si="3"/>
        <v>0</v>
      </c>
      <c r="J33" s="88">
        <f t="shared" si="3"/>
        <v>0</v>
      </c>
      <c r="K33" s="102">
        <f t="shared" si="3"/>
        <v>26178.073780697126</v>
      </c>
      <c r="L33" s="92">
        <f t="shared" si="3"/>
        <v>341644.69603446044</v>
      </c>
      <c r="M33" s="88">
        <f t="shared" si="3"/>
        <v>83711.569118481289</v>
      </c>
      <c r="N33" s="92">
        <f>N19+N25+SUM(N27:N31)</f>
        <v>465490.36273334955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806</v>
      </c>
      <c r="C35" s="84" t="s">
        <v>805</v>
      </c>
      <c r="D35" s="85" t="s">
        <v>845</v>
      </c>
      <c r="E35" s="93">
        <f>(E33/$N$33)*$N$35</f>
        <v>0</v>
      </c>
      <c r="F35" s="94">
        <f>(F33/$N$33)*$N$35</f>
        <v>0</v>
      </c>
      <c r="G35" s="94">
        <f>(G33/$N$33)*$N$35</f>
        <v>223.39135628232398</v>
      </c>
      <c r="H35" s="95">
        <f>E35+F35+G35</f>
        <v>223.39135628232398</v>
      </c>
      <c r="I35" s="93">
        <f>(I33/$N$33)*$N$35</f>
        <v>0</v>
      </c>
      <c r="J35" s="95">
        <f>(J33/$N$33)*$N$35</f>
        <v>0</v>
      </c>
      <c r="K35" s="94">
        <f>(K33/$N$33)*$N$35</f>
        <v>419.02733118367939</v>
      </c>
      <c r="L35" s="96">
        <f>(L33/$N$33)*$N$35</f>
        <v>5468.640144865808</v>
      </c>
      <c r="M35" s="94">
        <f>(M33/$N$33)*$N$35</f>
        <v>1339.954791585174</v>
      </c>
      <c r="N35" s="92">
        <f>Allocation!J467+Allocation!J468+Allocation!J469+Allocation!J476+Allocation!J562</f>
        <v>7451.0136239169851</v>
      </c>
      <c r="P35" s="50">
        <f>H35+I35+J35+K35+L35+M35</f>
        <v>7451.013623916986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808</v>
      </c>
      <c r="C37" s="84" t="s">
        <v>907</v>
      </c>
      <c r="D37" s="85" t="s">
        <v>807</v>
      </c>
      <c r="E37" s="89">
        <f t="shared" ref="E37:M37" si="4">E33-E35</f>
        <v>0</v>
      </c>
      <c r="F37" s="102">
        <f t="shared" si="4"/>
        <v>0</v>
      </c>
      <c r="G37" s="102">
        <f t="shared" si="4"/>
        <v>13732.632443428351</v>
      </c>
      <c r="H37" s="88">
        <f t="shared" si="4"/>
        <v>13732.632443428351</v>
      </c>
      <c r="I37" s="89">
        <f t="shared" si="4"/>
        <v>0</v>
      </c>
      <c r="J37" s="88">
        <f t="shared" si="4"/>
        <v>0</v>
      </c>
      <c r="K37" s="102">
        <f>K33-K35</f>
        <v>25759.046449513447</v>
      </c>
      <c r="L37" s="92">
        <f t="shared" si="4"/>
        <v>336176.05588959466</v>
      </c>
      <c r="M37" s="88">
        <f t="shared" si="4"/>
        <v>82371.614326896117</v>
      </c>
      <c r="N37" s="92">
        <f>N33-N35</f>
        <v>458039.34910943254</v>
      </c>
      <c r="P37" s="50">
        <f>Allocation!G480-RGS!N39</f>
        <v>-8030008.466653809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809</v>
      </c>
      <c r="C39" s="84" t="s">
        <v>385</v>
      </c>
      <c r="D39" s="85" t="s">
        <v>846</v>
      </c>
      <c r="E39" s="93">
        <f>Allocation!J600*12</f>
        <v>72</v>
      </c>
      <c r="F39" s="94">
        <f>+$E$39</f>
        <v>72</v>
      </c>
      <c r="G39" s="94">
        <f>+$E$39</f>
        <v>72</v>
      </c>
      <c r="H39" s="95">
        <f>G39</f>
        <v>72</v>
      </c>
      <c r="I39" s="93">
        <f>Allocation!J589</f>
        <v>0</v>
      </c>
      <c r="J39" s="95">
        <f>Allocation!J580</f>
        <v>384116.30106506636</v>
      </c>
      <c r="K39" s="94">
        <f>Allocation!J580</f>
        <v>384116.30106506636</v>
      </c>
      <c r="L39" s="96">
        <f>Allocation!J594</f>
        <v>2644.744121485779</v>
      </c>
      <c r="M39" s="94">
        <f>Allocation!J593</f>
        <v>3116.2742584720804</v>
      </c>
      <c r="N39" s="74"/>
    </row>
    <row r="40" spans="2:16" ht="16.5" thickBot="1" x14ac:dyDescent="0.3">
      <c r="B40" s="73"/>
      <c r="C40" s="84"/>
      <c r="D40" s="85"/>
      <c r="E40" s="73"/>
      <c r="F40" s="64"/>
      <c r="G40" s="64"/>
      <c r="H40" s="65"/>
      <c r="I40" s="66"/>
      <c r="J40" s="67"/>
      <c r="K40" s="73"/>
      <c r="L40" s="74"/>
      <c r="M40" s="65"/>
      <c r="N40" s="74"/>
    </row>
    <row r="41" spans="2:16" ht="16.5" thickBot="1" x14ac:dyDescent="0.3">
      <c r="B41" s="104" t="s">
        <v>812</v>
      </c>
      <c r="C41" s="105" t="s">
        <v>908</v>
      </c>
      <c r="D41" s="106" t="s">
        <v>810</v>
      </c>
      <c r="E41" s="107" t="str">
        <f>CONCATENATE(TEXT(E37/E39,"$0.00"),"/Cust/Mo")</f>
        <v>$0.00/Cust/Mo</v>
      </c>
      <c r="F41" s="108" t="str">
        <f>CONCATENATE(TEXT(F37/F39,"$0.00"),"/Cust/Mo")</f>
        <v>$0.00/Cust/Mo</v>
      </c>
      <c r="G41" s="108" t="str">
        <f>CONCATENATE(TEXT(G37/G39,"$0.00"),"/Cust/Mo")</f>
        <v>$190.73/Cust/Mo</v>
      </c>
      <c r="H41" s="109" t="str">
        <f>CONCATENATE(TEXT(H37/H39,"$0.00"),"/Cust/Mo")</f>
        <v>$190.73/Cust/Mo</v>
      </c>
      <c r="I41" s="110"/>
      <c r="J41" s="110" t="str">
        <f>CONCATENATE(TEXT(J37/J39,"$0.0000"),"/Mcf")</f>
        <v>$0.0000/Mcf</v>
      </c>
      <c r="K41" s="110" t="str">
        <f>CONCATENATE(TEXT(K37/K39,"$0.0000"),"/Mcf")</f>
        <v>$0.0671/Mcf</v>
      </c>
      <c r="L41" s="110" t="str">
        <f>CONCATENATE(TEXT(L37/L39,"$0.0000"),"/Mcf")</f>
        <v>$127.1110/Mcf</v>
      </c>
      <c r="M41" s="110" t="str">
        <f>CONCATENATE(TEXT(M37/M39,"$0.0000"),"/Mcf")</f>
        <v>$26.4327/Mcf</v>
      </c>
      <c r="N41" s="111"/>
    </row>
    <row r="42" spans="2:16" ht="15.75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6" ht="15.75" x14ac:dyDescent="0.25">
      <c r="B43" s="60"/>
      <c r="C43" s="60"/>
      <c r="D43" s="60"/>
      <c r="E43" s="60"/>
      <c r="F43" s="60"/>
      <c r="G43" s="60"/>
      <c r="H43" s="60"/>
      <c r="I43" s="178"/>
      <c r="J43" s="60"/>
      <c r="K43" s="60"/>
      <c r="L43" s="60"/>
      <c r="M43" s="112"/>
      <c r="N43" s="60"/>
    </row>
    <row r="44" spans="2:16" x14ac:dyDescent="0.2">
      <c r="M44" s="53"/>
      <c r="N44" s="50"/>
    </row>
    <row r="45" spans="2:16" x14ac:dyDescent="0.2">
      <c r="H45" s="179"/>
      <c r="I45" s="181"/>
      <c r="K45" s="50"/>
      <c r="M45" s="179" t="s">
        <v>857</v>
      </c>
      <c r="N45" s="180">
        <f>N37/H39</f>
        <v>6361.6576265198964</v>
      </c>
    </row>
    <row r="46" spans="2:16" x14ac:dyDescent="0.2">
      <c r="M46" s="53"/>
    </row>
    <row r="47" spans="2:16" x14ac:dyDescent="0.2">
      <c r="M47" s="53"/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I62" s="54"/>
      <c r="J62" s="48"/>
      <c r="K62" s="48"/>
    </row>
    <row r="63" spans="9:13" x14ac:dyDescent="0.2">
      <c r="I63" s="48"/>
      <c r="J63" s="48"/>
      <c r="K63" s="55"/>
    </row>
    <row r="64" spans="9:13" x14ac:dyDescent="0.2">
      <c r="I64" s="48"/>
      <c r="J64" s="48"/>
      <c r="K64" s="56"/>
    </row>
    <row r="65" spans="9:11" x14ac:dyDescent="0.2">
      <c r="I65" s="48"/>
      <c r="J65" s="48"/>
      <c r="K65" s="56"/>
    </row>
    <row r="66" spans="9:11" x14ac:dyDescent="0.2">
      <c r="I66" s="48"/>
      <c r="J66" s="48"/>
      <c r="K66" s="57"/>
    </row>
    <row r="67" spans="9:11" x14ac:dyDescent="0.2">
      <c r="I67" s="48"/>
      <c r="J67" s="48"/>
      <c r="K67" s="58"/>
    </row>
    <row r="68" spans="9:11" x14ac:dyDescent="0.2">
      <c r="I68" s="48"/>
      <c r="J68" s="48"/>
      <c r="K68" s="59"/>
    </row>
    <row r="69" spans="9:11" x14ac:dyDescent="0.2">
      <c r="I69" s="48"/>
      <c r="J69" s="48"/>
      <c r="K69" s="48"/>
    </row>
    <row r="70" spans="9:11" x14ac:dyDescent="0.2">
      <c r="I70" s="48"/>
      <c r="J70" s="48"/>
      <c r="K70" s="48"/>
    </row>
    <row r="71" spans="9:11" x14ac:dyDescent="0.2">
      <c r="I71" s="48"/>
      <c r="J71" s="48"/>
      <c r="K71" s="56"/>
    </row>
  </sheetData>
  <mergeCells count="5">
    <mergeCell ref="B1:N1"/>
    <mergeCell ref="B3:N3"/>
    <mergeCell ref="B4:N4"/>
    <mergeCell ref="B6:N6"/>
    <mergeCell ref="E8:H8"/>
  </mergeCells>
  <pageMargins left="0.7" right="0.7" top="0.75" bottom="0.75" header="0.3" footer="0.3"/>
  <pageSetup scale="59" orientation="landscape" r:id="rId1"/>
  <headerFooter>
    <oddHeader>&amp;R&amp;"Arial,Bold"&amp;12Exhibit WSS-8
Page 1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7.7109375" style="49" customWidth="1"/>
    <col min="4" max="4" width="34.28515625" style="49" hidden="1" customWidth="1"/>
    <col min="5" max="6" width="15.140625" style="49" customWidth="1"/>
    <col min="7" max="8" width="17.85546875" style="49" customWidth="1"/>
    <col min="9" max="9" width="16.7109375" style="49" customWidth="1"/>
    <col min="10" max="10" width="13" style="49" customWidth="1"/>
    <col min="11" max="11" width="13.42578125" style="49" customWidth="1"/>
    <col min="12" max="12" width="17.42578125" style="49" customWidth="1"/>
    <col min="13" max="13" width="18.28515625" style="49" customWidth="1"/>
    <col min="14" max="14" width="15.14062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37" t="s">
        <v>752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37" t="s">
        <v>778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6" ht="15.75" x14ac:dyDescent="0.25">
      <c r="B4" s="237" t="s">
        <v>876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37" t="s">
        <v>918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38" t="s">
        <v>779</v>
      </c>
      <c r="F10" s="239"/>
      <c r="G10" s="239"/>
      <c r="H10" s="240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4"/>
      <c r="E11" s="61" t="s">
        <v>909</v>
      </c>
      <c r="F11" s="219" t="s">
        <v>909</v>
      </c>
      <c r="G11" s="219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219" t="s">
        <v>782</v>
      </c>
      <c r="G12" s="219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Allocation!K80</f>
        <v>0</v>
      </c>
      <c r="F15" s="87">
        <f>Allocation!K82</f>
        <v>0</v>
      </c>
      <c r="G15" s="87">
        <f>Allocation!K86+Allocation!K89+Allocation!K92+Allocation!K95</f>
        <v>3459974.0380985849</v>
      </c>
      <c r="H15" s="88">
        <f>E15+F15+G15</f>
        <v>3459974.0380985849</v>
      </c>
      <c r="I15" s="89">
        <f>Allocation!K62+Allocation!K68</f>
        <v>1469038.9635557639</v>
      </c>
      <c r="J15" s="88">
        <f>Allocation!K63</f>
        <v>0</v>
      </c>
      <c r="K15" s="87">
        <f>Allocation!K58+Allocation!K72</f>
        <v>64396.636560989595</v>
      </c>
      <c r="L15" s="90">
        <f>Allocation!K79</f>
        <v>9344728.0835003275</v>
      </c>
      <c r="M15" s="91">
        <f>Allocation!K57+Allocation!K67+Allocation!K75+Allocation!K81</f>
        <v>11698946.951367244</v>
      </c>
      <c r="N15" s="92">
        <f>E15+F15+G15+K15+L15+M15+I15+J15</f>
        <v>26037084.67308291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0</v>
      </c>
      <c r="F17" s="87">
        <f>F15+F16</f>
        <v>0</v>
      </c>
      <c r="G17" s="87">
        <f>G15+G16</f>
        <v>3459974.0380985849</v>
      </c>
      <c r="H17" s="88">
        <f>E17+F17+G17</f>
        <v>3459974.0380985849</v>
      </c>
      <c r="I17" s="89">
        <f>I15+I16</f>
        <v>1469038.9635557639</v>
      </c>
      <c r="J17" s="88">
        <f>J15+J16</f>
        <v>0</v>
      </c>
      <c r="K17" s="87">
        <f>K15+K16</f>
        <v>64396.636560989595</v>
      </c>
      <c r="L17" s="90">
        <f>L15+L16</f>
        <v>9344728.0835003275</v>
      </c>
      <c r="M17" s="91">
        <f>M15+M16</f>
        <v>11698946.951367244</v>
      </c>
      <c r="N17" s="97">
        <f>E17+F17+G17+K17+L17+M17+I17+J17</f>
        <v>26037084.67308291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Allocation!K572</f>
        <v>4.1749265926074662E-2</v>
      </c>
      <c r="F19" s="99">
        <f>E19</f>
        <v>4.1749265926074662E-2</v>
      </c>
      <c r="G19" s="99">
        <f>E19</f>
        <v>4.1749265926074662E-2</v>
      </c>
      <c r="H19" s="100">
        <f>E19</f>
        <v>4.1749265926074662E-2</v>
      </c>
      <c r="I19" s="98">
        <f>E19</f>
        <v>4.1749265926074662E-2</v>
      </c>
      <c r="J19" s="100">
        <f>E19</f>
        <v>4.1749265926074662E-2</v>
      </c>
      <c r="K19" s="99">
        <f>E19</f>
        <v>4.1749265926074662E-2</v>
      </c>
      <c r="L19" s="101">
        <f>F19</f>
        <v>4.1749265926074662E-2</v>
      </c>
      <c r="M19" s="100">
        <f>G19</f>
        <v>4.1749265926074662E-2</v>
      </c>
      <c r="N19" s="100">
        <f>E19</f>
        <v>4.1749265926074662E-2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911</v>
      </c>
      <c r="D21" s="85" t="s">
        <v>794</v>
      </c>
      <c r="E21" s="86">
        <f>E17*E19</f>
        <v>0</v>
      </c>
      <c r="F21" s="87">
        <f>F17*F19</f>
        <v>0</v>
      </c>
      <c r="G21" s="87">
        <f>G17*G19</f>
        <v>144451.37621389222</v>
      </c>
      <c r="H21" s="88">
        <f>E21+F21+G21</f>
        <v>144451.37621389222</v>
      </c>
      <c r="I21" s="86">
        <f>I17*I19</f>
        <v>61331.298345254691</v>
      </c>
      <c r="J21" s="91">
        <f>J17*J19</f>
        <v>0</v>
      </c>
      <c r="K21" s="87">
        <f>K17*K19</f>
        <v>2688.5123045295368</v>
      </c>
      <c r="L21" s="90">
        <f>L17*L19</f>
        <v>390135.53776491323</v>
      </c>
      <c r="M21" s="91">
        <f>M17*M19</f>
        <v>488422.44732767151</v>
      </c>
      <c r="N21" s="92">
        <f>E21+F21+G21+K21+L21+M21+I21+J21</f>
        <v>1087029.1719562612</v>
      </c>
      <c r="P21" s="50">
        <f>H21+I21+J21+K21+L21+M21</f>
        <v>1087029.1719562612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Allocation!K443</f>
        <v>0</v>
      </c>
      <c r="F23" s="87">
        <f>Allocation!K445</f>
        <v>0</v>
      </c>
      <c r="G23" s="87">
        <f>Allocation!K449+Allocation!K452+Allocation!K455+Allocation!K458</f>
        <v>65003.178600459534</v>
      </c>
      <c r="H23" s="88">
        <f>E23+F23+G23</f>
        <v>65003.178600459534</v>
      </c>
      <c r="I23" s="86">
        <f>Allocation!K426+Allocation!K432</f>
        <v>20834.354520685505</v>
      </c>
      <c r="J23" s="91">
        <f>Allocation!K427</f>
        <v>0</v>
      </c>
      <c r="K23" s="87">
        <f>Allocation!K422+Allocation!K436</f>
        <v>0</v>
      </c>
      <c r="L23" s="90">
        <f>Allocation!K442</f>
        <v>183699.24454569846</v>
      </c>
      <c r="M23" s="91">
        <f>Allocation!K421+Allocation!K431+Allocation!K439+Allocation!K444</f>
        <v>201541.49322264601</v>
      </c>
      <c r="N23" s="92">
        <f>E23+F23+G23+K23+L23+M23+I23+J23</f>
        <v>471078.2708894895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912</v>
      </c>
      <c r="D25" s="85" t="s">
        <v>797</v>
      </c>
      <c r="E25" s="89">
        <f t="shared" ref="E25:M25" si="1">E21-E23</f>
        <v>0</v>
      </c>
      <c r="F25" s="102">
        <f t="shared" si="1"/>
        <v>0</v>
      </c>
      <c r="G25" s="102">
        <f t="shared" si="1"/>
        <v>79448.197613432683</v>
      </c>
      <c r="H25" s="88">
        <f t="shared" si="1"/>
        <v>79448.197613432683</v>
      </c>
      <c r="I25" s="89">
        <f t="shared" si="1"/>
        <v>40496.943824569185</v>
      </c>
      <c r="J25" s="88">
        <f t="shared" si="1"/>
        <v>0</v>
      </c>
      <c r="K25" s="102">
        <f t="shared" si="1"/>
        <v>2688.5123045295368</v>
      </c>
      <c r="L25" s="92">
        <f t="shared" si="1"/>
        <v>206436.29321921477</v>
      </c>
      <c r="M25" s="88">
        <f t="shared" si="1"/>
        <v>286880.95410502551</v>
      </c>
      <c r="N25" s="92">
        <f>N21-N23</f>
        <v>615950.90106677171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0</v>
      </c>
      <c r="F27" s="87">
        <f>$P$27*(F25/$N$25)</f>
        <v>0</v>
      </c>
      <c r="G27" s="87">
        <f>$P$27*(G25/$N$25)</f>
        <v>50419.675016047469</v>
      </c>
      <c r="H27" s="88">
        <f>E27+G27+F27</f>
        <v>50419.675016047469</v>
      </c>
      <c r="I27" s="86">
        <f>$P$27*(I25/$N$25)</f>
        <v>25700.302940952868</v>
      </c>
      <c r="J27" s="91">
        <f>$P$27*(J25/$N$25)</f>
        <v>0</v>
      </c>
      <c r="K27" s="87">
        <f>$P$27*(K25/$N$25)</f>
        <v>1706.1924718617574</v>
      </c>
      <c r="L27" s="90">
        <f>$P$27*(L25/$N$25)</f>
        <v>131009.2755819861</v>
      </c>
      <c r="M27" s="87">
        <f>$P$27*(M25/$N$25)</f>
        <v>182061.32937902474</v>
      </c>
      <c r="N27" s="92">
        <f>E27+F27+G27+K27+L27+M27+I27+J27</f>
        <v>390896.77538987296</v>
      </c>
      <c r="P27" s="51">
        <f>Allocation!K519+Allocation!K509+Allocation!K564</f>
        <v>390896.77538987296</v>
      </c>
      <c r="S27" s="49">
        <f>1-(N27/N25)</f>
        <v>0.36537672935801413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Allocation!K126</f>
        <v>0</v>
      </c>
      <c r="F29" s="87">
        <f>Allocation!K128</f>
        <v>0</v>
      </c>
      <c r="G29" s="87">
        <f>Allocation!K132+Allocation!K135+Allocation!K138+Allocation!K141</f>
        <v>218827.67018835034</v>
      </c>
      <c r="H29" s="88">
        <f>E29+F29+G29</f>
        <v>218827.67018835034</v>
      </c>
      <c r="I29" s="89">
        <f>Allocation!K109+Allocation!K115</f>
        <v>81991.128510716124</v>
      </c>
      <c r="J29" s="88">
        <f>Allocation!K110</f>
        <v>0</v>
      </c>
      <c r="K29" s="87">
        <f>Allocation!K105+Allocation!K119</f>
        <v>469997.49012556858</v>
      </c>
      <c r="L29" s="90">
        <f>Allocation!K125</f>
        <v>787259.13936766493</v>
      </c>
      <c r="M29" s="91">
        <f>Allocation!K104+Allocation!K114+Allocation!K122+Allocation!K127</f>
        <v>1268036.385774896</v>
      </c>
      <c r="N29" s="92">
        <f>E29+F29+G29+K29+L29+M29+I29+J29</f>
        <v>2826111.8139671958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Allocation!K219</f>
        <v>0</v>
      </c>
      <c r="F30" s="94">
        <f>Allocation!K221</f>
        <v>0</v>
      </c>
      <c r="G30" s="94">
        <f>Allocation!K225+Allocation!K228+Allocation!K231+Allocation!K234</f>
        <v>251505.59715261869</v>
      </c>
      <c r="H30" s="95">
        <f>E30+F30+G30</f>
        <v>251505.59715261869</v>
      </c>
      <c r="I30" s="93">
        <f>Allocation!K202+Allocation!K208</f>
        <v>52500.26298478846</v>
      </c>
      <c r="J30" s="95">
        <f>Allocation!K203</f>
        <v>0</v>
      </c>
      <c r="K30" s="94">
        <f>Allocation!K198+Allocation!K212</f>
        <v>0</v>
      </c>
      <c r="L30" s="96">
        <f>Allocation!K218</f>
        <v>458337.65303668322</v>
      </c>
      <c r="M30" s="95">
        <f>Allocation!K197+Allocation!K207+Allocation!K215+Allocation!K220</f>
        <v>572803.77382248035</v>
      </c>
      <c r="N30" s="96">
        <f>E30+F30+G30+K30+L30+M30+I30+J30</f>
        <v>1335147.2869965709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Allocation!K396</f>
        <v>0</v>
      </c>
      <c r="F31" s="94">
        <f>Allocation!K398</f>
        <v>0</v>
      </c>
      <c r="G31" s="94">
        <f>Allocation!K402+Allocation!K405+Allocation!K408+Allocation!K411</f>
        <v>56718.884656861381</v>
      </c>
      <c r="H31" s="95">
        <f>E31+F31+G31</f>
        <v>56718.884656861381</v>
      </c>
      <c r="I31" s="93">
        <f>Allocation!K379+Allocation!K385</f>
        <v>18179.131796342124</v>
      </c>
      <c r="J31" s="95">
        <f>Allocation!K380</f>
        <v>0</v>
      </c>
      <c r="K31" s="94">
        <f>Allocation!K375+Allocation!K389</f>
        <v>0</v>
      </c>
      <c r="L31" s="96">
        <f>Allocation!K395</f>
        <v>160287.79649348391</v>
      </c>
      <c r="M31" s="95">
        <f>Allocation!K374+Allocation!K384+Allocation!K392+Allocation!K397</f>
        <v>175856.14971120903</v>
      </c>
      <c r="N31" s="96">
        <f>E31+F31+G31+K31+L31+M31+I31+J31</f>
        <v>411041.96265789651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Allocation!K264+Allocation!K308+Allocation!K352</f>
        <v>0</v>
      </c>
      <c r="F32" s="94">
        <f>Allocation!K266+Allocation!K310+Allocation!K354</f>
        <v>0</v>
      </c>
      <c r="G32" s="94">
        <f>Allocation!K270+Allocation!K273+Allocation!K276+Allocation!K279+Allocation!K314+Allocation!K317+Allocation!K320+Allocation!K323+Allocation!K358+Allocation!K361+Allocation!K364+Allocation!K367</f>
        <v>-187.3099221711646</v>
      </c>
      <c r="H32" s="95">
        <f>E32+F32+G32</f>
        <v>-187.3099221711646</v>
      </c>
      <c r="I32" s="93">
        <f>Allocation!K247+Allocation!K291+Allocation!K335+Allocation!K253+Allocation!K297+Allocation!K341</f>
        <v>-54.50642846606992</v>
      </c>
      <c r="J32" s="95">
        <f>Allocation!K248+Allocation!K292+Allocation!K336</f>
        <v>0</v>
      </c>
      <c r="K32" s="94">
        <f>Allocation!K243+Allocation!K257+Allocation!K287+Allocation!K301+Allocation!K331+Allocation!K345+Allocation!K375+Allocation!K389</f>
        <v>0</v>
      </c>
      <c r="L32" s="96">
        <f>Allocation!K307+Allocation!K351+Allocation!K263</f>
        <v>-523.01570302095206</v>
      </c>
      <c r="M32" s="94">
        <f>Allocation!K242+Allocation!K252+Allocation!K260+Allocation!K265+Allocation!K286+Allocation!K296+Allocation!K304+Allocation!K309+Allocation!K330+Allocation!K340+Allocation!K348+Allocation!K353</f>
        <v>-570.85871985819904</v>
      </c>
      <c r="N32" s="96">
        <f>E32+F32+G32+K32+L32+M32+I32+J32</f>
        <v>-1335.6907735163857</v>
      </c>
      <c r="P32" s="52"/>
    </row>
    <row r="33" spans="2:16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0</v>
      </c>
      <c r="F33" s="94">
        <f t="shared" ref="F33:M33" si="2">(F29/$N$29)*$N$33</f>
        <v>0</v>
      </c>
      <c r="G33" s="94">
        <f t="shared" si="2"/>
        <v>54.783467456080544</v>
      </c>
      <c r="H33" s="95">
        <f>E33+F33+G33</f>
        <v>54.783467456080544</v>
      </c>
      <c r="I33" s="93">
        <f t="shared" si="2"/>
        <v>20.526464119404864</v>
      </c>
      <c r="J33" s="95">
        <f t="shared" si="2"/>
        <v>0</v>
      </c>
      <c r="K33" s="94">
        <f t="shared" si="2"/>
        <v>117.66378622306588</v>
      </c>
      <c r="L33" s="96">
        <f t="shared" si="2"/>
        <v>197.09018244323696</v>
      </c>
      <c r="M33" s="94">
        <f t="shared" si="2"/>
        <v>317.45267869201683</v>
      </c>
      <c r="N33" s="96">
        <f>Allocation!K499+Allocation!K501+Allocation!K565+Allocation!K566</f>
        <v>707.51657893380502</v>
      </c>
      <c r="P33" s="50">
        <f>H33+I33+J33+K33+L33+M33</f>
        <v>707.51657893380502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804</v>
      </c>
      <c r="C35" s="84" t="s">
        <v>913</v>
      </c>
      <c r="D35" s="85" t="s">
        <v>848</v>
      </c>
      <c r="E35" s="89">
        <f t="shared" ref="E35:M35" si="3">E21+E27+SUM(E29:E33)</f>
        <v>0</v>
      </c>
      <c r="F35" s="102">
        <f t="shared" si="3"/>
        <v>0</v>
      </c>
      <c r="G35" s="102">
        <f>G21+G27+SUM(G29:G33)</f>
        <v>721790.67677305511</v>
      </c>
      <c r="H35" s="88">
        <f t="shared" si="3"/>
        <v>721790.67677305511</v>
      </c>
      <c r="I35" s="89">
        <f t="shared" si="3"/>
        <v>239668.14461370761</v>
      </c>
      <c r="J35" s="88">
        <f t="shared" si="3"/>
        <v>0</v>
      </c>
      <c r="K35" s="102">
        <f t="shared" si="3"/>
        <v>474509.8586881829</v>
      </c>
      <c r="L35" s="92">
        <f t="shared" si="3"/>
        <v>1926703.4767241536</v>
      </c>
      <c r="M35" s="88">
        <f t="shared" si="3"/>
        <v>2686926.6799741155</v>
      </c>
      <c r="N35" s="92">
        <f>N21+N27+SUM(N29:N33)</f>
        <v>6049598.8367732158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0</v>
      </c>
      <c r="F37" s="94">
        <f>(F35/$N$35)*$N$37</f>
        <v>0</v>
      </c>
      <c r="G37" s="94">
        <f>(G35/$N$35)*$N$37</f>
        <v>6336.5498852168894</v>
      </c>
      <c r="H37" s="95">
        <f>E37+F37+G37</f>
        <v>6336.5498852168894</v>
      </c>
      <c r="I37" s="93">
        <f>(I35/$N$35)*$N$37</f>
        <v>2104.0298844420136</v>
      </c>
      <c r="J37" s="95">
        <f>(J35/$N$35)*$N$37</f>
        <v>0</v>
      </c>
      <c r="K37" s="94">
        <f>(K35/$N$35)*$N$37</f>
        <v>4165.6888726345651</v>
      </c>
      <c r="L37" s="96">
        <f>(L35/$N$35)*$N$37</f>
        <v>16914.395110872363</v>
      </c>
      <c r="M37" s="94">
        <f>(M35/$N$35)*$N$37</f>
        <v>23588.341458903928</v>
      </c>
      <c r="N37" s="92">
        <f>Allocation!K467+Allocation!K468+Allocation!K469+Allocation!K476+Allocation!K562</f>
        <v>53109.005212069766</v>
      </c>
      <c r="P37" s="50">
        <f>H37+I37+J37+K37+L37+M37</f>
        <v>53109.005212069758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0</v>
      </c>
      <c r="F39" s="102">
        <f t="shared" si="4"/>
        <v>0</v>
      </c>
      <c r="G39" s="102">
        <f t="shared" si="4"/>
        <v>715454.12688783824</v>
      </c>
      <c r="H39" s="88">
        <f t="shared" si="4"/>
        <v>715454.12688783824</v>
      </c>
      <c r="I39" s="89">
        <f t="shared" si="4"/>
        <v>237564.1147292656</v>
      </c>
      <c r="J39" s="88">
        <f t="shared" si="4"/>
        <v>0</v>
      </c>
      <c r="K39" s="102">
        <f>K35-K37</f>
        <v>470344.16981554835</v>
      </c>
      <c r="L39" s="92">
        <f t="shared" si="4"/>
        <v>1909789.0816132813</v>
      </c>
      <c r="M39" s="88">
        <f t="shared" si="4"/>
        <v>2663338.3385152114</v>
      </c>
      <c r="N39" s="92">
        <f>N35-N37</f>
        <v>5996489.8315611463</v>
      </c>
      <c r="P39" s="50">
        <f>Allocation!G480-RGS!N39</f>
        <v>-8030008.466653809</v>
      </c>
    </row>
    <row r="40" spans="2:16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6" ht="15.75" x14ac:dyDescent="0.25">
      <c r="B41" s="83" t="s">
        <v>809</v>
      </c>
      <c r="C41" s="84" t="s">
        <v>385</v>
      </c>
      <c r="D41" s="85" t="s">
        <v>846</v>
      </c>
      <c r="E41" s="93">
        <f>Allocation!K600*12</f>
        <v>876</v>
      </c>
      <c r="F41" s="94">
        <f>+$E$41</f>
        <v>876</v>
      </c>
      <c r="G41" s="94">
        <f>+$E$41</f>
        <v>876</v>
      </c>
      <c r="H41" s="95">
        <f>G41</f>
        <v>876</v>
      </c>
      <c r="I41" s="93">
        <f>Allocation!K589</f>
        <v>103311.81759999999</v>
      </c>
      <c r="J41" s="95">
        <f>Allocation!K580</f>
        <v>0</v>
      </c>
      <c r="K41" s="94">
        <f>Allocation!K584</f>
        <v>12313888.497179303</v>
      </c>
      <c r="L41" s="96">
        <f>Allocation!K594</f>
        <v>15099.660914808032</v>
      </c>
      <c r="M41" s="94">
        <f>Allocation!K593</f>
        <v>101623.60292523264</v>
      </c>
      <c r="N41" s="74"/>
    </row>
    <row r="42" spans="2:16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6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$0.00/Cust/Mo</v>
      </c>
      <c r="F43" s="108" t="str">
        <f>CONCATENATE(TEXT(F39/F41,"$0.00"),"/Cust/Mo")</f>
        <v>$0.00/Cust/Mo</v>
      </c>
      <c r="G43" s="108" t="str">
        <f>CONCATENATE(TEXT(G39/G41,"$0.00"),"/Cust/Mo")</f>
        <v>$816.73/Cust/Mo</v>
      </c>
      <c r="H43" s="109" t="str">
        <f>CONCATENATE(TEXT(H39/H41,"$0.00"),"/Cust/Mo")</f>
        <v>$816.73/Cust/Mo</v>
      </c>
      <c r="I43" s="110">
        <f>I39/I41</f>
        <v>2.2994863535269521</v>
      </c>
      <c r="J43" s="110"/>
      <c r="K43" s="110">
        <f t="shared" ref="K43:M43" si="5">K39/K41</f>
        <v>3.8196234270213535E-2</v>
      </c>
      <c r="L43" s="110">
        <f t="shared" si="5"/>
        <v>126.47893832770623</v>
      </c>
      <c r="M43" s="110">
        <f t="shared" si="5"/>
        <v>26.207871614970241</v>
      </c>
      <c r="N43" s="111"/>
    </row>
    <row r="44" spans="2:16" ht="16.5" thickBot="1" x14ac:dyDescent="0.3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221" t="s">
        <v>1</v>
      </c>
      <c r="N44" s="222">
        <f>M43/12</f>
        <v>2.1839893012475202</v>
      </c>
    </row>
    <row r="45" spans="2:16" ht="16.5" thickBot="1" x14ac:dyDescent="0.3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221" t="s">
        <v>2</v>
      </c>
      <c r="N45" s="223">
        <f>K43</f>
        <v>3.8196234270213535E-2</v>
      </c>
    </row>
    <row r="46" spans="2:16" x14ac:dyDescent="0.2">
      <c r="I46" s="210">
        <f>(L43+M43)/12</f>
        <v>12.723900828556372</v>
      </c>
      <c r="M46" s="53"/>
      <c r="N46" s="50"/>
    </row>
    <row r="47" spans="2:16" x14ac:dyDescent="0.2">
      <c r="H47" s="179"/>
      <c r="K47" s="50"/>
      <c r="M47" s="179" t="s">
        <v>857</v>
      </c>
      <c r="N47" s="180">
        <f>N39/H41</f>
        <v>6845.3080268962858</v>
      </c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  <pageSetup scale="61" orientation="landscape" r:id="rId1"/>
  <headerFooter>
    <oddHeader>&amp;RExhibit WSS-11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Functional Assignment</vt:lpstr>
      <vt:lpstr>Allocation</vt:lpstr>
      <vt:lpstr>Summary of Returns</vt:lpstr>
      <vt:lpstr>Meters</vt:lpstr>
      <vt:lpstr>RGS</vt:lpstr>
      <vt:lpstr>CGS</vt:lpstr>
      <vt:lpstr>IGS</vt:lpstr>
      <vt:lpstr>AAGS</vt:lpstr>
      <vt:lpstr>FT</vt:lpstr>
      <vt:lpstr>Daily Utilization Charge</vt:lpstr>
      <vt:lpstr>AAGS!Print_Area</vt:lpstr>
      <vt:lpstr>Allocation!Print_Area</vt:lpstr>
      <vt:lpstr>CGS!Print_Area</vt:lpstr>
      <vt:lpstr>'Daily Utilization Charge'!Print_Area</vt:lpstr>
      <vt:lpstr>FT!Print_Area</vt:lpstr>
      <vt:lpstr>'Functional Assignment'!Print_Area</vt:lpstr>
      <vt:lpstr>IGS!Print_Area</vt:lpstr>
      <vt:lpstr>RGS!Print_Area</vt:lpstr>
      <vt:lpstr>'Summary of Returns'!Print_Area</vt:lpstr>
      <vt:lpstr>Allocation!Print_Titles</vt:lpstr>
      <vt:lpstr>'Functional Assignment'!Print_Titles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2016-11-29T13:21:12Z</dcterms:created>
  <dcterms:modified xsi:type="dcterms:W3CDTF">2017-03-02T19:48:34Z</dcterms:modified>
</cp:coreProperties>
</file>