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30" windowWidth="11355" windowHeight="7680" tabRatio="819" activeTab="1"/>
  </bookViews>
  <sheets>
    <sheet name="Contents" sheetId="41" r:id="rId1"/>
    <sheet name="A" sheetId="40" r:id="rId2"/>
    <sheet name="Ap2" sheetId="126" r:id="rId3"/>
    <sheet name="A-1" sheetId="92" r:id="rId4"/>
    <sheet name="B" sheetId="190" r:id="rId5"/>
    <sheet name="B.1" sheetId="46" r:id="rId6"/>
    <sheet name="C" sheetId="14" r:id="rId7"/>
    <sheet name="C.1" sheetId="49" r:id="rId8"/>
    <sheet name="D P1" sheetId="209" r:id="rId9"/>
    <sheet name="D P2" sheetId="208" r:id="rId10"/>
    <sheet name="D P3" sheetId="192" r:id="rId11"/>
    <sheet name="B-1" sheetId="45" r:id="rId12"/>
    <sheet name="B-2" sheetId="223" r:id="rId13"/>
    <sheet name="B-3" sheetId="44" r:id="rId14"/>
    <sheet name="B-3, P2" sheetId="199" r:id="rId15"/>
    <sheet name="B-4" sheetId="217" r:id="rId16"/>
    <sheet name="B-5" sheetId="211" r:id="rId17"/>
    <sheet name="C-1 Int.Sync" sheetId="202" r:id="rId18"/>
    <sheet name="C-2 P1" sheetId="198" r:id="rId19"/>
    <sheet name="C-2 P2" sheetId="213" r:id="rId20"/>
    <sheet name="C-2 P3" sheetId="210" r:id="rId21"/>
    <sheet name="C-3" sheetId="216" r:id="rId22"/>
    <sheet name="C-4" sheetId="27" r:id="rId23"/>
    <sheet name="C-5" sheetId="220" r:id="rId24"/>
    <sheet name="C-6" sheetId="29" r:id="rId25"/>
    <sheet name="C-7" sheetId="222" r:id="rId26"/>
    <sheet name="C-8 P1" sheetId="25" r:id="rId27"/>
    <sheet name="C-8 P2" sheetId="219" r:id="rId28"/>
    <sheet name="C-8 P3" sheetId="218" r:id="rId29"/>
    <sheet name="C-9" sheetId="200" r:id="rId30"/>
    <sheet name="C-10" sheetId="55" r:id="rId31"/>
    <sheet name="C-11 " sheetId="184" r:id="rId32"/>
  </sheets>
  <externalReferences>
    <externalReference r:id="rId33"/>
    <externalReference r:id="rId34"/>
    <externalReference r:id="rId35"/>
  </externalReferences>
  <definedNames>
    <definedName name="_xlnm.Print_Area" localSheetId="1">A!$A$1:$K$28</definedName>
    <definedName name="_xlnm.Print_Area" localSheetId="3">'A-1'!$A$1:$P$41</definedName>
    <definedName name="_xlnm.Print_Area" localSheetId="2">'Ap2'!$A$1:$N$58</definedName>
    <definedName name="_xlnm.Print_Area" localSheetId="5">B.1!$A$1:$K$42</definedName>
    <definedName name="_xlnm.Print_Area" localSheetId="11">'B-1'!$A$1:$O$30</definedName>
    <definedName name="_xlnm.Print_Area" localSheetId="14">'B-3, P2'!$A$1:$J$30</definedName>
    <definedName name="_xlnm.Print_Area" localSheetId="6">'C'!$A$1:$N$40</definedName>
    <definedName name="_xlnm.Print_Area" localSheetId="7">C.1!$F$1:$S$28</definedName>
    <definedName name="_xlnm.Print_Area" localSheetId="17">'C-1 Int.Sync'!$A$1:$I$23</definedName>
    <definedName name="_xlnm.Print_Area" localSheetId="27">'C-8 P2'!$A$1:$I$52</definedName>
    <definedName name="_xlnm.Print_Area" localSheetId="28">'C-8 P3'!$A$1:$I$57</definedName>
    <definedName name="_xlnm.Print_Area" localSheetId="0">Contents!$A$1:$D$57</definedName>
    <definedName name="_xlnm.Print_Area" localSheetId="8">'D P1'!$A$1:$O$32</definedName>
    <definedName name="_xlnm.Print_Area" localSheetId="9">'D P2'!$A$1:$U$29</definedName>
    <definedName name="_xlnm.Print_Area" localSheetId="10">'D P3'!$A$1:$U$33</definedName>
    <definedName name="_xlnm.Print_Titles" localSheetId="7">C.1!$A:$D</definedName>
  </definedNames>
  <calcPr calcId="124519" iterate="1"/>
</workbook>
</file>

<file path=xl/calcChain.xml><?xml version="1.0" encoding="utf-8"?>
<calcChain xmlns="http://schemas.openxmlformats.org/spreadsheetml/2006/main">
  <c r="I13" i="209"/>
  <c r="A16" i="44" l="1"/>
  <c r="A17"/>
  <c r="A18" s="1"/>
  <c r="A19" s="1"/>
  <c r="A20" s="1"/>
  <c r="A15"/>
  <c r="B36" i="41"/>
  <c r="A36"/>
  <c r="R7" i="49" s="1"/>
  <c r="R12"/>
  <c r="R15"/>
  <c r="R18" s="1"/>
  <c r="R21" s="1"/>
  <c r="R23" s="1"/>
  <c r="A41" i="126"/>
  <c r="A41" i="190" l="1"/>
  <c r="A14"/>
  <c r="G36" i="126" l="1"/>
  <c r="G33"/>
  <c r="A27" i="199" l="1"/>
  <c r="A28" s="1"/>
  <c r="K3" i="46"/>
  <c r="K1"/>
  <c r="Q17" i="49"/>
  <c r="Q16"/>
  <c r="Q15"/>
  <c r="I37" i="55"/>
  <c r="I36"/>
  <c r="I35"/>
  <c r="G39" i="126" l="1"/>
  <c r="U3" i="192"/>
  <c r="U1"/>
  <c r="A1"/>
  <c r="K30"/>
  <c r="E29"/>
  <c r="E31" s="1"/>
  <c r="K28"/>
  <c r="K27"/>
  <c r="A27"/>
  <c r="A28" s="1"/>
  <c r="A29" s="1"/>
  <c r="A30" s="1"/>
  <c r="A31" s="1"/>
  <c r="Q25"/>
  <c r="Q24"/>
  <c r="Q23"/>
  <c r="E3" i="222"/>
  <c r="E1"/>
  <c r="B30" i="41"/>
  <c r="C34" i="126" s="1"/>
  <c r="C30"/>
  <c r="B18" i="41"/>
  <c r="A1" i="223"/>
  <c r="G3"/>
  <c r="G1"/>
  <c r="B22" i="41"/>
  <c r="C22" i="126" s="1"/>
  <c r="B32" i="41"/>
  <c r="C36" i="126" s="1"/>
  <c r="A1" i="222"/>
  <c r="A1" i="184"/>
  <c r="G3"/>
  <c r="G1"/>
  <c r="E19"/>
  <c r="E21" s="1"/>
  <c r="E10" s="1"/>
  <c r="I22" i="199" l="1"/>
  <c r="G40" i="126"/>
  <c r="K31" i="192"/>
  <c r="B35" i="41" l="1"/>
  <c r="C39" i="126" s="1"/>
  <c r="B34" i="41"/>
  <c r="C38" i="126" s="1"/>
  <c r="G38" i="200" l="1"/>
  <c r="G40" s="1"/>
  <c r="E10" s="1"/>
  <c r="P15" i="49" s="1"/>
  <c r="G38" i="126" s="1"/>
  <c r="A22" i="200"/>
  <c r="A23" s="1"/>
  <c r="A24" s="1"/>
  <c r="A25" s="1"/>
  <c r="A26" s="1"/>
  <c r="A27" s="1"/>
  <c r="A28" s="1"/>
  <c r="A29" s="1"/>
  <c r="A30" s="1"/>
  <c r="A31" s="1"/>
  <c r="A32" s="1"/>
  <c r="A33" s="1"/>
  <c r="A34" s="1"/>
  <c r="A36" s="1"/>
  <c r="A38" s="1"/>
  <c r="A21"/>
  <c r="G34"/>
  <c r="B31" i="41"/>
  <c r="C35" i="126" s="1"/>
  <c r="B29" i="41"/>
  <c r="C33" i="126" s="1"/>
  <c r="B28" i="41"/>
  <c r="C32" i="126" s="1"/>
  <c r="E46" i="220"/>
  <c r="G43"/>
  <c r="E43"/>
  <c r="E28"/>
  <c r="G23"/>
  <c r="G22"/>
  <c r="G21"/>
  <c r="A20"/>
  <c r="A21" s="1"/>
  <c r="A22" s="1"/>
  <c r="A23" s="1"/>
  <c r="A24" s="1"/>
  <c r="A25" s="1"/>
  <c r="A28" s="1"/>
  <c r="A40" s="1"/>
  <c r="A41" s="1"/>
  <c r="A43" s="1"/>
  <c r="A46" s="1"/>
  <c r="A47" s="1"/>
  <c r="A48" s="1"/>
  <c r="E10"/>
  <c r="G28" l="1"/>
  <c r="I20" i="199"/>
  <c r="P18" i="49"/>
  <c r="E47" i="220" l="1"/>
  <c r="E48" s="1"/>
  <c r="G10" s="1"/>
  <c r="I10" s="1"/>
  <c r="L15" i="49" s="1"/>
  <c r="G34" i="126" s="1"/>
  <c r="M12" i="92"/>
  <c r="O12" s="1"/>
  <c r="D38" i="55"/>
  <c r="D40" s="1"/>
  <c r="D42" s="1"/>
  <c r="G20" s="1"/>
  <c r="I16" i="199" l="1"/>
  <c r="L18" i="49"/>
  <c r="G3" i="29"/>
  <c r="G1"/>
  <c r="A1"/>
  <c r="E21"/>
  <c r="E24" s="1"/>
  <c r="K32" i="46"/>
  <c r="J15" l="1"/>
  <c r="I15"/>
  <c r="I19" i="209" l="1"/>
  <c r="E55" i="218" l="1"/>
  <c r="E41"/>
  <c r="E43" s="1"/>
  <c r="E33"/>
  <c r="E35" s="1"/>
  <c r="E37" s="1"/>
  <c r="I28"/>
  <c r="I26"/>
  <c r="L16"/>
  <c r="M15"/>
  <c r="G32" s="1"/>
  <c r="E15"/>
  <c r="I15" s="1"/>
  <c r="A15"/>
  <c r="A16" s="1"/>
  <c r="A17" s="1"/>
  <c r="A18" s="1"/>
  <c r="A19" s="1"/>
  <c r="A20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9" s="1"/>
  <c r="A40" s="1"/>
  <c r="A41" s="1"/>
  <c r="A42" s="1"/>
  <c r="A43" s="1"/>
  <c r="A45" s="1"/>
  <c r="M14"/>
  <c r="I39" s="1"/>
  <c r="I41" s="1"/>
  <c r="I43" s="1"/>
  <c r="I14"/>
  <c r="I3"/>
  <c r="I1"/>
  <c r="A1"/>
  <c r="E50" i="219"/>
  <c r="E16" s="1"/>
  <c r="E38"/>
  <c r="E32"/>
  <c r="E34" s="1"/>
  <c r="L18"/>
  <c r="M16" s="1"/>
  <c r="A16"/>
  <c r="A17" s="1"/>
  <c r="A18" s="1"/>
  <c r="A19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6" s="1"/>
  <c r="A37" s="1"/>
  <c r="A38" s="1"/>
  <c r="A40" s="1"/>
  <c r="I3"/>
  <c r="I1"/>
  <c r="A1"/>
  <c r="I16" l="1"/>
  <c r="M17"/>
  <c r="G36" s="1"/>
  <c r="G38" s="1"/>
  <c r="I30" i="218"/>
  <c r="I24"/>
  <c r="I32"/>
  <c r="I16"/>
  <c r="I18" s="1"/>
  <c r="I20" s="1"/>
  <c r="G15"/>
  <c r="E16"/>
  <c r="E18" s="1"/>
  <c r="E20" s="1"/>
  <c r="E45" s="1"/>
  <c r="M16"/>
  <c r="G23"/>
  <c r="G25"/>
  <c r="G27"/>
  <c r="G29"/>
  <c r="G31"/>
  <c r="G39"/>
  <c r="G41" s="1"/>
  <c r="G43" s="1"/>
  <c r="G14"/>
  <c r="G16" s="1"/>
  <c r="G18" s="1"/>
  <c r="G20" s="1"/>
  <c r="I23"/>
  <c r="G24"/>
  <c r="I25"/>
  <c r="G26"/>
  <c r="I27"/>
  <c r="G28"/>
  <c r="I29"/>
  <c r="G30"/>
  <c r="I31"/>
  <c r="I30" i="219"/>
  <c r="I28"/>
  <c r="I26"/>
  <c r="I24"/>
  <c r="I22"/>
  <c r="I15"/>
  <c r="I17" s="1"/>
  <c r="I19" s="1"/>
  <c r="I36"/>
  <c r="I38" s="1"/>
  <c r="I31"/>
  <c r="I29"/>
  <c r="I27"/>
  <c r="I25"/>
  <c r="I23"/>
  <c r="M18"/>
  <c r="E17"/>
  <c r="E19" s="1"/>
  <c r="E40" s="1"/>
  <c r="G22"/>
  <c r="G30"/>
  <c r="G29"/>
  <c r="G31" l="1"/>
  <c r="G27"/>
  <c r="G28"/>
  <c r="I33" i="218"/>
  <c r="I35" s="1"/>
  <c r="I37" s="1"/>
  <c r="G23" i="219"/>
  <c r="G24"/>
  <c r="G32" s="1"/>
  <c r="G34" s="1"/>
  <c r="G15"/>
  <c r="G25"/>
  <c r="G26"/>
  <c r="G16"/>
  <c r="I45" i="218"/>
  <c r="G33"/>
  <c r="G35" s="1"/>
  <c r="G37" s="1"/>
  <c r="G45" s="1"/>
  <c r="I32" i="219"/>
  <c r="I34" s="1"/>
  <c r="I40" s="1"/>
  <c r="G17" l="1"/>
  <c r="G19" s="1"/>
  <c r="G40" s="1"/>
  <c r="B20" i="41"/>
  <c r="C21" i="126" s="1"/>
  <c r="B33" i="41"/>
  <c r="C37" i="126" s="1"/>
  <c r="G17" i="25"/>
  <c r="G14"/>
  <c r="G13"/>
  <c r="E17"/>
  <c r="E14"/>
  <c r="E13"/>
  <c r="I3"/>
  <c r="I1"/>
  <c r="A1"/>
  <c r="G15" l="1"/>
  <c r="E15"/>
  <c r="I13"/>
  <c r="I17"/>
  <c r="O17" i="49" s="1"/>
  <c r="I14" i="25"/>
  <c r="I15" l="1"/>
  <c r="O15" i="49" s="1"/>
  <c r="G37" i="126" s="1"/>
  <c r="I19" i="199" l="1"/>
  <c r="O18" i="49"/>
  <c r="I38" i="55"/>
  <c r="I40" s="1"/>
  <c r="K3"/>
  <c r="A1"/>
  <c r="I22"/>
  <c r="I21"/>
  <c r="G14"/>
  <c r="A13"/>
  <c r="A14" s="1"/>
  <c r="A17" s="1"/>
  <c r="A18" s="1"/>
  <c r="A19" s="1"/>
  <c r="A20" s="1"/>
  <c r="A21" s="1"/>
  <c r="A22" s="1"/>
  <c r="A23" s="1"/>
  <c r="A25" s="1"/>
  <c r="K1"/>
  <c r="I28" i="217"/>
  <c r="I29" s="1"/>
  <c r="E36" i="46"/>
  <c r="E31"/>
  <c r="E29"/>
  <c r="E28"/>
  <c r="E27"/>
  <c r="E20"/>
  <c r="G31" i="217"/>
  <c r="E14" s="1"/>
  <c r="J21" i="46" s="1"/>
  <c r="G27" i="217"/>
  <c r="G28" s="1"/>
  <c r="E31"/>
  <c r="E27"/>
  <c r="I3"/>
  <c r="I1"/>
  <c r="A1"/>
  <c r="E11" i="190"/>
  <c r="I21" i="199" l="1"/>
  <c r="I42" i="55"/>
  <c r="I20" s="1"/>
  <c r="Q18" i="49" s="1"/>
  <c r="G23" i="55"/>
  <c r="G25" s="1"/>
  <c r="E29" i="217"/>
  <c r="E28"/>
  <c r="G29"/>
  <c r="E12" s="1"/>
  <c r="J17" i="46" l="1"/>
  <c r="E17" s="1"/>
  <c r="G18" i="190" s="1"/>
  <c r="I18" s="1"/>
  <c r="E16" i="217"/>
  <c r="I23" i="55"/>
  <c r="I25" s="1"/>
  <c r="J32" i="46"/>
  <c r="J22"/>
  <c r="J24" s="1"/>
  <c r="J34" l="1"/>
  <c r="J38" s="1"/>
  <c r="I21" i="126" l="1"/>
  <c r="E53" i="192"/>
  <c r="K3" i="216"/>
  <c r="I37"/>
  <c r="E13" s="1"/>
  <c r="J16" i="49" s="1"/>
  <c r="G37" i="216"/>
  <c r="K1"/>
  <c r="I30"/>
  <c r="E11" s="1"/>
  <c r="J15" i="49" s="1"/>
  <c r="G30" i="216"/>
  <c r="K29"/>
  <c r="K28"/>
  <c r="K27"/>
  <c r="K26"/>
  <c r="K25"/>
  <c r="K24"/>
  <c r="A1"/>
  <c r="G32" i="126" l="1"/>
  <c r="J18" i="49"/>
  <c r="I14" i="199"/>
  <c r="K30" i="216"/>
  <c r="K15" i="192"/>
  <c r="K13"/>
  <c r="K14"/>
  <c r="E18" i="211"/>
  <c r="E14"/>
  <c r="K16" i="192" l="1"/>
  <c r="E54" s="1"/>
  <c r="G14" i="211"/>
  <c r="G18" s="1"/>
  <c r="I16"/>
  <c r="I12"/>
  <c r="I10"/>
  <c r="K21" i="46" l="1"/>
  <c r="K22" s="1"/>
  <c r="K13"/>
  <c r="E13" s="1"/>
  <c r="K10"/>
  <c r="I14" i="211"/>
  <c r="I18" s="1"/>
  <c r="H15" i="46"/>
  <c r="I3" i="213"/>
  <c r="I1"/>
  <c r="G86"/>
  <c r="E33" i="198" s="1"/>
  <c r="E86" i="213"/>
  <c r="E32" i="198" s="1"/>
  <c r="I85" i="213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I9"/>
  <c r="B27" i="41"/>
  <c r="K15" i="46" l="1"/>
  <c r="E34" i="198"/>
  <c r="K24" i="46"/>
  <c r="K34" s="1"/>
  <c r="K38" s="1"/>
  <c r="E21"/>
  <c r="I86" i="213"/>
  <c r="C13" i="199"/>
  <c r="C31" i="126"/>
  <c r="A10" i="211"/>
  <c r="A14"/>
  <c r="I22" i="126" l="1"/>
  <c r="E57" i="192"/>
  <c r="A1" i="211"/>
  <c r="M14" i="192" l="1"/>
  <c r="M13"/>
  <c r="M15"/>
  <c r="M16" l="1"/>
  <c r="G33" i="198"/>
  <c r="E58" i="192" l="1"/>
  <c r="E59" s="1"/>
  <c r="E55"/>
  <c r="G32" i="198"/>
  <c r="G34" s="1"/>
  <c r="L3" i="210"/>
  <c r="L1"/>
  <c r="K19"/>
  <c r="L17" s="1"/>
  <c r="H19"/>
  <c r="I16" s="1"/>
  <c r="E19"/>
  <c r="I18"/>
  <c r="F18"/>
  <c r="I17"/>
  <c r="F17"/>
  <c r="F16"/>
  <c r="L15"/>
  <c r="I15"/>
  <c r="F15"/>
  <c r="I14"/>
  <c r="F14"/>
  <c r="I13"/>
  <c r="F13"/>
  <c r="F19" s="1"/>
  <c r="G3" i="198"/>
  <c r="G1"/>
  <c r="E22"/>
  <c r="E24" s="1"/>
  <c r="I19" i="210" l="1"/>
  <c r="L14"/>
  <c r="L18"/>
  <c r="L16"/>
  <c r="L13"/>
  <c r="L19" s="1"/>
  <c r="E28" i="198"/>
  <c r="E11" s="1"/>
  <c r="I15" i="49" s="1"/>
  <c r="G31" i="126" s="1"/>
  <c r="I18" i="49" l="1"/>
  <c r="I13" i="199"/>
  <c r="E27" i="198"/>
  <c r="E29" s="1"/>
  <c r="H18" i="44"/>
  <c r="G17"/>
  <c r="I17" s="1"/>
  <c r="I16"/>
  <c r="E15"/>
  <c r="E18" s="1"/>
  <c r="E20" s="1"/>
  <c r="I14"/>
  <c r="A14"/>
  <c r="I13"/>
  <c r="A1"/>
  <c r="I15" l="1"/>
  <c r="I14" i="45" l="1"/>
  <c r="M14" s="1"/>
  <c r="O14" s="1"/>
  <c r="I13"/>
  <c r="I15" s="1"/>
  <c r="I24" s="1"/>
  <c r="G13"/>
  <c r="G15" s="1"/>
  <c r="G24" s="1"/>
  <c r="G34" s="1"/>
  <c r="E13"/>
  <c r="E15" s="1"/>
  <c r="E24" s="1"/>
  <c r="E34" s="1"/>
  <c r="I10"/>
  <c r="M10" s="1"/>
  <c r="M13" s="1"/>
  <c r="M15" s="1"/>
  <c r="M24" s="1"/>
  <c r="O10" l="1"/>
  <c r="O13" l="1"/>
  <c r="O15" s="1"/>
  <c r="O24" s="1"/>
  <c r="G10" i="46" s="1"/>
  <c r="E23" i="29"/>
  <c r="E25" s="1"/>
  <c r="E10" s="1"/>
  <c r="M16" i="49" s="1"/>
  <c r="I1" i="202"/>
  <c r="M1" i="14"/>
  <c r="I1" i="190"/>
  <c r="K1" i="40"/>
  <c r="M18" i="49" l="1"/>
  <c r="G35" i="126"/>
  <c r="G15" i="46"/>
  <c r="E10"/>
  <c r="G15" i="202"/>
  <c r="G11" i="190" l="1"/>
  <c r="E15" i="46"/>
  <c r="E35" i="92"/>
  <c r="O11"/>
  <c r="I16"/>
  <c r="K16" s="1"/>
  <c r="K18" s="1"/>
  <c r="M14"/>
  <c r="M13"/>
  <c r="M11"/>
  <c r="M15" s="1"/>
  <c r="M16" s="1"/>
  <c r="O16" s="1"/>
  <c r="K13"/>
  <c r="O13" s="1"/>
  <c r="E36" s="1"/>
  <c r="K12"/>
  <c r="K15" s="1"/>
  <c r="I15"/>
  <c r="O15" l="1"/>
  <c r="O18" s="1"/>
  <c r="E37"/>
  <c r="K19"/>
  <c r="K20"/>
  <c r="K22" s="1"/>
  <c r="K3" i="40"/>
  <c r="K47" i="126" l="1"/>
  <c r="G15" i="40"/>
  <c r="O19" i="92"/>
  <c r="E38" s="1"/>
  <c r="I3" i="202"/>
  <c r="M1" i="126"/>
  <c r="O1" i="92"/>
  <c r="M3" i="14"/>
  <c r="I3" i="190"/>
  <c r="M3" i="126"/>
  <c r="O20" i="92" l="1"/>
  <c r="G3" i="200"/>
  <c r="G1"/>
  <c r="A1"/>
  <c r="G3" i="27"/>
  <c r="G1"/>
  <c r="A1"/>
  <c r="A13" i="199"/>
  <c r="A14" s="1"/>
  <c r="A15" s="1"/>
  <c r="A16" s="1"/>
  <c r="A17" s="1"/>
  <c r="A18" s="1"/>
  <c r="I3"/>
  <c r="I1"/>
  <c r="A1"/>
  <c r="K22" i="208"/>
  <c r="E22"/>
  <c r="I21"/>
  <c r="M21" s="1"/>
  <c r="I20"/>
  <c r="M20" s="1"/>
  <c r="I19"/>
  <c r="K15"/>
  <c r="E15"/>
  <c r="I14"/>
  <c r="M14" s="1"/>
  <c r="I13"/>
  <c r="M13" s="1"/>
  <c r="I12"/>
  <c r="I15" s="1"/>
  <c r="U3"/>
  <c r="U1"/>
  <c r="A1"/>
  <c r="I18" i="209"/>
  <c r="I17"/>
  <c r="I12"/>
  <c r="A12"/>
  <c r="A13" s="1"/>
  <c r="A14" s="1"/>
  <c r="A17" s="1"/>
  <c r="A18" s="1"/>
  <c r="A19" s="1"/>
  <c r="A20" s="1"/>
  <c r="A22" s="1"/>
  <c r="A24" s="1"/>
  <c r="I11"/>
  <c r="O3"/>
  <c r="O1"/>
  <c r="A1"/>
  <c r="Q21" i="49"/>
  <c r="G21" i="199" s="1"/>
  <c r="P21" i="49"/>
  <c r="O21"/>
  <c r="G19" i="199" s="1"/>
  <c r="N21" i="49"/>
  <c r="M21"/>
  <c r="G17" i="199" s="1"/>
  <c r="L21" i="49"/>
  <c r="G16" i="199" s="1"/>
  <c r="K21" i="49"/>
  <c r="G15" i="199" s="1"/>
  <c r="I15" s="1"/>
  <c r="J21" i="49"/>
  <c r="I21"/>
  <c r="F20"/>
  <c r="F19"/>
  <c r="F17"/>
  <c r="G19" i="14" s="1"/>
  <c r="I19" s="1"/>
  <c r="M19" s="1"/>
  <c r="F16" i="49"/>
  <c r="G18" i="14" s="1"/>
  <c r="I18" s="1"/>
  <c r="M18" s="1"/>
  <c r="F15" i="49"/>
  <c r="Q12"/>
  <c r="P12"/>
  <c r="O12"/>
  <c r="N12"/>
  <c r="M12"/>
  <c r="L12"/>
  <c r="K12"/>
  <c r="J12"/>
  <c r="I12"/>
  <c r="H12"/>
  <c r="F11"/>
  <c r="G13" i="14" s="1"/>
  <c r="I13" s="1"/>
  <c r="M13" s="1"/>
  <c r="A11" i="49"/>
  <c r="A12" s="1"/>
  <c r="A15" s="1"/>
  <c r="A16" s="1"/>
  <c r="A17" s="1"/>
  <c r="A18" s="1"/>
  <c r="A19" s="1"/>
  <c r="A20" s="1"/>
  <c r="A21" s="1"/>
  <c r="A23" s="1"/>
  <c r="F10"/>
  <c r="F12" s="1"/>
  <c r="A1"/>
  <c r="E23" i="14"/>
  <c r="G22"/>
  <c r="I22" s="1"/>
  <c r="M22" s="1"/>
  <c r="G21"/>
  <c r="I21" s="1"/>
  <c r="M21" s="1"/>
  <c r="G17"/>
  <c r="I27" i="199" s="1"/>
  <c r="I16" i="14"/>
  <c r="E14"/>
  <c r="G19" i="40" s="1"/>
  <c r="A13" i="14"/>
  <c r="A14" s="1"/>
  <c r="A17" s="1"/>
  <c r="A18" s="1"/>
  <c r="A19" s="1"/>
  <c r="A20" s="1"/>
  <c r="A21" s="1"/>
  <c r="A22" s="1"/>
  <c r="A23" s="1"/>
  <c r="A25" s="1"/>
  <c r="A27" s="1"/>
  <c r="A29" s="1"/>
  <c r="A31" s="1"/>
  <c r="A33" s="1"/>
  <c r="A1"/>
  <c r="H32" i="46"/>
  <c r="G32"/>
  <c r="G32" i="190"/>
  <c r="I32" s="1"/>
  <c r="G30"/>
  <c r="I30" s="1"/>
  <c r="G28"/>
  <c r="I28" s="1"/>
  <c r="I22" i="46"/>
  <c r="I24" s="1"/>
  <c r="H22"/>
  <c r="H24" s="1"/>
  <c r="G22"/>
  <c r="G24" s="1"/>
  <c r="G34" s="1"/>
  <c r="G38" s="1"/>
  <c r="G22" i="190"/>
  <c r="G23" s="1"/>
  <c r="G14"/>
  <c r="A12" i="46"/>
  <c r="A13" s="1"/>
  <c r="A15" s="1"/>
  <c r="A1"/>
  <c r="G37" i="190"/>
  <c r="I37" s="1"/>
  <c r="H35"/>
  <c r="F35"/>
  <c r="E33"/>
  <c r="G29"/>
  <c r="I29" s="1"/>
  <c r="E23"/>
  <c r="I21"/>
  <c r="E16"/>
  <c r="A16"/>
  <c r="C35" i="92"/>
  <c r="A12"/>
  <c r="A13" s="1"/>
  <c r="A14" s="1"/>
  <c r="A15" s="1"/>
  <c r="A16" s="1"/>
  <c r="A17" s="1"/>
  <c r="A18" s="1"/>
  <c r="A19" s="1"/>
  <c r="A20" s="1"/>
  <c r="A22" s="1"/>
  <c r="A28" s="1"/>
  <c r="A33" s="1"/>
  <c r="A35" s="1"/>
  <c r="A36" s="1"/>
  <c r="A37" s="1"/>
  <c r="A38" s="1"/>
  <c r="A39" s="1"/>
  <c r="A40" s="1"/>
  <c r="A1"/>
  <c r="O41" i="126"/>
  <c r="G30"/>
  <c r="A12"/>
  <c r="A13" s="1"/>
  <c r="A15" s="1"/>
  <c r="A16" s="1"/>
  <c r="A18" s="1"/>
  <c r="A19" s="1"/>
  <c r="A20" s="1"/>
  <c r="A11" i="40"/>
  <c r="A12" s="1"/>
  <c r="A13" s="1"/>
  <c r="A14" s="1"/>
  <c r="A15" s="1"/>
  <c r="A16" s="1"/>
  <c r="A17" s="1"/>
  <c r="A19" s="1"/>
  <c r="A20" s="1"/>
  <c r="A22" s="1"/>
  <c r="A1"/>
  <c r="A1" i="190" s="1"/>
  <c r="AB58" i="41"/>
  <c r="AA59" s="1"/>
  <c r="AA58"/>
  <c r="AD58" s="1"/>
  <c r="AB57"/>
  <c r="AA57"/>
  <c r="C57"/>
  <c r="U46"/>
  <c r="U47" s="1"/>
  <c r="P47" s="1"/>
  <c r="Q47" s="1"/>
  <c r="A47" s="1"/>
  <c r="F47" s="1"/>
  <c r="U45"/>
  <c r="P45" s="1"/>
  <c r="Q45" s="1"/>
  <c r="A45" s="1"/>
  <c r="F45" s="1"/>
  <c r="Q44"/>
  <c r="A44" s="1"/>
  <c r="F44" s="1"/>
  <c r="P44"/>
  <c r="I43"/>
  <c r="L43" s="1"/>
  <c r="D43" s="1"/>
  <c r="I41"/>
  <c r="L41" s="1"/>
  <c r="D41" s="1"/>
  <c r="P39"/>
  <c r="P40" s="1"/>
  <c r="P41" s="1"/>
  <c r="P42" s="1"/>
  <c r="P43" s="1"/>
  <c r="P52" s="1"/>
  <c r="J39"/>
  <c r="J40" s="1"/>
  <c r="J41" s="1"/>
  <c r="J42" s="1"/>
  <c r="J43" s="1"/>
  <c r="J44" s="1"/>
  <c r="J45" s="1"/>
  <c r="I46" s="1"/>
  <c r="I39"/>
  <c r="C22" i="199"/>
  <c r="C20"/>
  <c r="C18"/>
  <c r="C17"/>
  <c r="C16"/>
  <c r="U29" i="41"/>
  <c r="U30" s="1"/>
  <c r="U31" s="1"/>
  <c r="U32" s="1"/>
  <c r="U33" s="1"/>
  <c r="U34" s="1"/>
  <c r="U35" s="1"/>
  <c r="U36" s="1"/>
  <c r="U37" s="1"/>
  <c r="U38" s="1"/>
  <c r="U28"/>
  <c r="P27"/>
  <c r="P28" s="1"/>
  <c r="P29" s="1"/>
  <c r="Q26"/>
  <c r="A26" s="1"/>
  <c r="F23"/>
  <c r="S22"/>
  <c r="F21"/>
  <c r="S19"/>
  <c r="S20" s="1"/>
  <c r="B19"/>
  <c r="C20" i="126" s="1"/>
  <c r="P18" i="41"/>
  <c r="P19" s="1"/>
  <c r="C19" i="126"/>
  <c r="Q17" i="41"/>
  <c r="B17"/>
  <c r="C18" i="126" s="1"/>
  <c r="A17" i="41"/>
  <c r="G7" i="46" s="1"/>
  <c r="A14" i="41"/>
  <c r="A13"/>
  <c r="Q12"/>
  <c r="A12"/>
  <c r="A11"/>
  <c r="A10"/>
  <c r="AA9"/>
  <c r="X9"/>
  <c r="A9"/>
  <c r="W9" s="1"/>
  <c r="AD8"/>
  <c r="AB8"/>
  <c r="AB9" s="1"/>
  <c r="Q8"/>
  <c r="J8"/>
  <c r="J9" s="1"/>
  <c r="A8"/>
  <c r="Q40" l="1"/>
  <c r="A40" s="1"/>
  <c r="F40" s="1"/>
  <c r="Q42"/>
  <c r="A42" s="1"/>
  <c r="F42" s="1"/>
  <c r="H7" i="49"/>
  <c r="E12" i="199"/>
  <c r="E15" i="192"/>
  <c r="G30"/>
  <c r="E13" i="209"/>
  <c r="F26" i="41"/>
  <c r="Q27"/>
  <c r="A27" s="1"/>
  <c r="E13" i="199" s="1"/>
  <c r="L39" i="41"/>
  <c r="D39" s="1"/>
  <c r="I40"/>
  <c r="L40" s="1"/>
  <c r="D40" s="1"/>
  <c r="I42"/>
  <c r="L42" s="1"/>
  <c r="D42" s="1"/>
  <c r="I44"/>
  <c r="L44" s="1"/>
  <c r="D44" s="1"/>
  <c r="AB59"/>
  <c r="AB60" s="1"/>
  <c r="AA61" s="1"/>
  <c r="K23" i="49"/>
  <c r="I33" i="126" s="1"/>
  <c r="G28" i="192"/>
  <c r="E14"/>
  <c r="E12" i="209"/>
  <c r="Q39" i="41"/>
  <c r="A39" s="1"/>
  <c r="F39" s="1"/>
  <c r="Q41"/>
  <c r="A41" s="1"/>
  <c r="F41" s="1"/>
  <c r="Q43"/>
  <c r="A43" s="1"/>
  <c r="F43" s="1"/>
  <c r="AD59"/>
  <c r="E25" i="190"/>
  <c r="I22" i="208"/>
  <c r="I18" i="126"/>
  <c r="E44" i="192"/>
  <c r="A21" i="126"/>
  <c r="A22" s="1"/>
  <c r="A23" s="1"/>
  <c r="A25" s="1"/>
  <c r="A27" s="1"/>
  <c r="A30" s="1"/>
  <c r="A31" s="1"/>
  <c r="A32" s="1"/>
  <c r="A33" s="1"/>
  <c r="A34" s="1"/>
  <c r="A35" s="1"/>
  <c r="A36" s="1"/>
  <c r="A37" s="1"/>
  <c r="A38" s="1"/>
  <c r="A39" s="1"/>
  <c r="A40" s="1"/>
  <c r="A42" s="1"/>
  <c r="A43" s="1"/>
  <c r="A46" s="1"/>
  <c r="A47" s="1"/>
  <c r="A48" s="1"/>
  <c r="A49" s="1"/>
  <c r="A50" s="1"/>
  <c r="A51" s="1"/>
  <c r="A52" s="1"/>
  <c r="A53" s="1"/>
  <c r="A54" s="1"/>
  <c r="A55" s="1"/>
  <c r="E39" i="92"/>
  <c r="O22"/>
  <c r="K46" i="126" s="1"/>
  <c r="P23" i="49"/>
  <c r="Q23"/>
  <c r="M23"/>
  <c r="J23"/>
  <c r="G12" i="14"/>
  <c r="I12" s="1"/>
  <c r="H34" i="46"/>
  <c r="H38" s="1"/>
  <c r="I19" i="126" s="1"/>
  <c r="O23" i="49"/>
  <c r="N23"/>
  <c r="A17" i="46"/>
  <c r="A20" s="1"/>
  <c r="A21" s="1"/>
  <c r="A22" s="1"/>
  <c r="A24" s="1"/>
  <c r="A18" i="190"/>
  <c r="A21" s="1"/>
  <c r="A22" s="1"/>
  <c r="A23" s="1"/>
  <c r="A25" s="1"/>
  <c r="L23" i="49"/>
  <c r="G13" i="199"/>
  <c r="I23" i="49"/>
  <c r="I11" i="190"/>
  <c r="I14"/>
  <c r="C40" i="126"/>
  <c r="I22" i="190"/>
  <c r="I23" s="1"/>
  <c r="G41" i="126"/>
  <c r="J10" i="41"/>
  <c r="I10"/>
  <c r="AA10"/>
  <c r="AB10"/>
  <c r="P20"/>
  <c r="P22" s="1"/>
  <c r="Q19"/>
  <c r="A19" s="1"/>
  <c r="AD9"/>
  <c r="I7" i="49"/>
  <c r="F27" i="41"/>
  <c r="C15" i="199"/>
  <c r="L8" i="41"/>
  <c r="D8" s="1"/>
  <c r="I9"/>
  <c r="L9" s="1"/>
  <c r="D9" s="1"/>
  <c r="F17"/>
  <c r="X17"/>
  <c r="Q18"/>
  <c r="A18" s="1"/>
  <c r="E18" i="126"/>
  <c r="C12" i="199"/>
  <c r="P30" i="41"/>
  <c r="Q29"/>
  <c r="A29" s="1"/>
  <c r="E15" i="199" s="1"/>
  <c r="Q52" i="41"/>
  <c r="A52" s="1"/>
  <c r="F52" s="1"/>
  <c r="P53"/>
  <c r="E35" i="190"/>
  <c r="E39" s="1"/>
  <c r="W17" i="41"/>
  <c r="Q28"/>
  <c r="A28" s="1"/>
  <c r="E14" i="199" s="1"/>
  <c r="C14"/>
  <c r="C19"/>
  <c r="C21"/>
  <c r="I17" i="14"/>
  <c r="G14" i="199"/>
  <c r="G18"/>
  <c r="G20"/>
  <c r="G22"/>
  <c r="I45" i="41"/>
  <c r="L45" s="1"/>
  <c r="D45" s="1"/>
  <c r="P46"/>
  <c r="Q46" s="1"/>
  <c r="A46" s="1"/>
  <c r="F46" s="1"/>
  <c r="U48"/>
  <c r="AD57"/>
  <c r="AA60"/>
  <c r="AD60" s="1"/>
  <c r="AB61"/>
  <c r="E22" i="46"/>
  <c r="E24" s="1"/>
  <c r="E25" i="14"/>
  <c r="A1" i="126"/>
  <c r="O3" i="92"/>
  <c r="J46" i="41"/>
  <c r="L46" s="1"/>
  <c r="D46" s="1"/>
  <c r="AD61"/>
  <c r="X30"/>
  <c r="Q12" i="208"/>
  <c r="Q13"/>
  <c r="Q14"/>
  <c r="M12"/>
  <c r="M19"/>
  <c r="M22" s="1"/>
  <c r="E30" i="126" l="1"/>
  <c r="L10" i="41"/>
  <c r="D10" s="1"/>
  <c r="M15" i="208"/>
  <c r="E41" i="190" s="1"/>
  <c r="G10" i="40" s="1"/>
  <c r="G27" i="192"/>
  <c r="E13"/>
  <c r="E16" s="1"/>
  <c r="E11" i="202" s="1"/>
  <c r="E11" i="209"/>
  <c r="E14" s="1"/>
  <c r="G39" i="192"/>
  <c r="G15"/>
  <c r="G13"/>
  <c r="G14"/>
  <c r="G14" i="14"/>
  <c r="I32" i="126"/>
  <c r="I40"/>
  <c r="I37"/>
  <c r="M19" i="209"/>
  <c r="M13"/>
  <c r="K12" i="126"/>
  <c r="I15" i="40"/>
  <c r="I38" i="126"/>
  <c r="I34"/>
  <c r="I39"/>
  <c r="I35"/>
  <c r="I36"/>
  <c r="A27" i="46"/>
  <c r="A28" s="1"/>
  <c r="A29" s="1"/>
  <c r="A30" s="1"/>
  <c r="A31" s="1"/>
  <c r="A32" s="1"/>
  <c r="A34" s="1"/>
  <c r="A36" s="1"/>
  <c r="A38" s="1"/>
  <c r="A28" i="190"/>
  <c r="A29" s="1"/>
  <c r="A30" s="1"/>
  <c r="A31" s="1"/>
  <c r="A32" s="1"/>
  <c r="A33" s="1"/>
  <c r="A35" s="1"/>
  <c r="A37" s="1"/>
  <c r="A39" s="1"/>
  <c r="G16"/>
  <c r="G25" s="1"/>
  <c r="I31" i="126"/>
  <c r="I16" i="190"/>
  <c r="I23" i="199"/>
  <c r="U13" i="208"/>
  <c r="G12" i="209"/>
  <c r="K12" s="1"/>
  <c r="I14" i="14"/>
  <c r="AB62" i="41"/>
  <c r="AA62"/>
  <c r="J7" i="49"/>
  <c r="F28" i="41"/>
  <c r="Q53"/>
  <c r="A53" s="1"/>
  <c r="F53" s="1"/>
  <c r="P54"/>
  <c r="K7" i="49"/>
  <c r="F29" i="41"/>
  <c r="P21"/>
  <c r="Q20"/>
  <c r="A20" s="1"/>
  <c r="F20" s="1"/>
  <c r="J11"/>
  <c r="I11"/>
  <c r="AD10"/>
  <c r="U14" i="208"/>
  <c r="G13" i="209"/>
  <c r="K13" s="1"/>
  <c r="U12" i="208"/>
  <c r="Q15"/>
  <c r="G11" i="209"/>
  <c r="K11" s="1"/>
  <c r="E12" i="202" s="1"/>
  <c r="N11" s="1"/>
  <c r="J47" i="41"/>
  <c r="I47"/>
  <c r="E33" i="14"/>
  <c r="E29"/>
  <c r="G13" i="40"/>
  <c r="I42" i="126" s="1"/>
  <c r="U49" i="41"/>
  <c r="P48"/>
  <c r="Q48" s="1"/>
  <c r="A48" s="1"/>
  <c r="F48" s="1"/>
  <c r="P31"/>
  <c r="Q30"/>
  <c r="A30" s="1"/>
  <c r="E16" i="199" s="1"/>
  <c r="H7" i="46"/>
  <c r="F18" i="41"/>
  <c r="E31" i="126"/>
  <c r="I7" i="46"/>
  <c r="F19" i="41"/>
  <c r="AA11"/>
  <c r="AB11"/>
  <c r="N10" i="202" l="1"/>
  <c r="N12" s="1"/>
  <c r="G12" i="44"/>
  <c r="G18" s="1"/>
  <c r="G20" s="1"/>
  <c r="I28" i="199"/>
  <c r="G16" i="192"/>
  <c r="E45" s="1"/>
  <c r="E46" s="1"/>
  <c r="G31"/>
  <c r="I27" s="1"/>
  <c r="G38"/>
  <c r="I12" i="44"/>
  <c r="I18" s="1"/>
  <c r="I20" s="1"/>
  <c r="I25" i="190"/>
  <c r="AB12" i="41"/>
  <c r="AA12"/>
  <c r="K16" i="126"/>
  <c r="L7" i="49"/>
  <c r="F30" i="41"/>
  <c r="W30"/>
  <c r="I48"/>
  <c r="J48"/>
  <c r="J12"/>
  <c r="I12"/>
  <c r="Q21"/>
  <c r="E33" i="126"/>
  <c r="E32"/>
  <c r="AA63" i="41"/>
  <c r="AB63"/>
  <c r="O12" i="209"/>
  <c r="E20" i="126"/>
  <c r="E19"/>
  <c r="P32" i="41"/>
  <c r="Q31"/>
  <c r="A31" s="1"/>
  <c r="E17" i="199" s="1"/>
  <c r="P49" i="41"/>
  <c r="Q49" s="1"/>
  <c r="A49" s="1"/>
  <c r="F49" s="1"/>
  <c r="U50"/>
  <c r="G14" i="209"/>
  <c r="U15" i="208"/>
  <c r="E13" i="202"/>
  <c r="E16" s="1"/>
  <c r="Q54" i="41"/>
  <c r="A54" s="1"/>
  <c r="F54" s="1"/>
  <c r="P55"/>
  <c r="I19" i="40"/>
  <c r="K19" s="1"/>
  <c r="I13" i="126"/>
  <c r="AD11" i="41"/>
  <c r="L47"/>
  <c r="D47" s="1"/>
  <c r="L11"/>
  <c r="D11" s="1"/>
  <c r="E40" i="92"/>
  <c r="AD62" i="41"/>
  <c r="G40" i="192" l="1"/>
  <c r="I39" s="1"/>
  <c r="AD12" i="41"/>
  <c r="AD63"/>
  <c r="L12"/>
  <c r="D12" s="1"/>
  <c r="M30" i="192"/>
  <c r="O30" s="1"/>
  <c r="M28"/>
  <c r="O28" s="1"/>
  <c r="M27"/>
  <c r="I28"/>
  <c r="I30"/>
  <c r="K37" s="1"/>
  <c r="I30" i="46"/>
  <c r="K48" i="126"/>
  <c r="O13" i="209"/>
  <c r="P57" i="41"/>
  <c r="Q57" s="1"/>
  <c r="Q55"/>
  <c r="A55" s="1"/>
  <c r="F55" s="1"/>
  <c r="U51"/>
  <c r="P51" s="1"/>
  <c r="Q51" s="1"/>
  <c r="A51" s="1"/>
  <c r="F51" s="1"/>
  <c r="P50"/>
  <c r="Q50" s="1"/>
  <c r="A50" s="1"/>
  <c r="F50" s="1"/>
  <c r="P33"/>
  <c r="Q32"/>
  <c r="A32" s="1"/>
  <c r="E18" i="199" s="1"/>
  <c r="AB64" i="41"/>
  <c r="AA64"/>
  <c r="P23"/>
  <c r="Q23" s="1"/>
  <c r="Q22"/>
  <c r="A22" s="1"/>
  <c r="F22" s="1"/>
  <c r="I13"/>
  <c r="J13"/>
  <c r="E34" i="126"/>
  <c r="AB13" i="41"/>
  <c r="AA13"/>
  <c r="L48"/>
  <c r="D48" s="1"/>
  <c r="O11" i="209"/>
  <c r="F31" i="41"/>
  <c r="M7" i="49"/>
  <c r="J49" i="41"/>
  <c r="I49"/>
  <c r="K39" i="126"/>
  <c r="M39" s="1"/>
  <c r="K37"/>
  <c r="M37" s="1"/>
  <c r="K35"/>
  <c r="M35" s="1"/>
  <c r="K33"/>
  <c r="M33" s="1"/>
  <c r="K32"/>
  <c r="M32" s="1"/>
  <c r="K31"/>
  <c r="M31" s="1"/>
  <c r="K30"/>
  <c r="K40"/>
  <c r="M40" s="1"/>
  <c r="K36"/>
  <c r="M36" s="1"/>
  <c r="K38"/>
  <c r="M38" s="1"/>
  <c r="K34"/>
  <c r="M34" s="1"/>
  <c r="I38" i="192" l="1"/>
  <c r="I40" s="1"/>
  <c r="I31"/>
  <c r="M31"/>
  <c r="O27"/>
  <c r="O31" s="1"/>
  <c r="L49" i="41"/>
  <c r="D49" s="1"/>
  <c r="L13"/>
  <c r="D13" s="1"/>
  <c r="K39" i="192"/>
  <c r="E30" i="46"/>
  <c r="I32"/>
  <c r="I34" s="1"/>
  <c r="I38" s="1"/>
  <c r="E48" i="192" s="1"/>
  <c r="O14" i="209"/>
  <c r="AB14" i="41"/>
  <c r="AA14"/>
  <c r="AA65"/>
  <c r="AB65"/>
  <c r="N7" i="49"/>
  <c r="F32" i="41"/>
  <c r="I50"/>
  <c r="J50"/>
  <c r="E35" i="126"/>
  <c r="I14" i="41"/>
  <c r="J14"/>
  <c r="P34"/>
  <c r="Q33"/>
  <c r="A33" s="1"/>
  <c r="E19" i="199" s="1"/>
  <c r="AD13" i="41"/>
  <c r="AD64"/>
  <c r="K38" i="192" l="1"/>
  <c r="K40" s="1"/>
  <c r="L14" i="41"/>
  <c r="D14" s="1"/>
  <c r="L50"/>
  <c r="D50" s="1"/>
  <c r="AD14"/>
  <c r="I15" i="192"/>
  <c r="O15" s="1"/>
  <c r="Q15" s="1"/>
  <c r="Q30" s="1"/>
  <c r="I13"/>
  <c r="I14"/>
  <c r="O14" s="1"/>
  <c r="Q14" s="1"/>
  <c r="Q28" s="1"/>
  <c r="I20" i="126"/>
  <c r="G31" i="190"/>
  <c r="E32" i="46"/>
  <c r="E34" s="1"/>
  <c r="E38" s="1"/>
  <c r="G12" i="40"/>
  <c r="G14" s="1"/>
  <c r="O7" i="49"/>
  <c r="F33" i="41"/>
  <c r="I17"/>
  <c r="J17"/>
  <c r="J51"/>
  <c r="I51"/>
  <c r="L51" s="1"/>
  <c r="D51" s="1"/>
  <c r="E36" i="126"/>
  <c r="AA17" i="41"/>
  <c r="AB17"/>
  <c r="AD65"/>
  <c r="P35"/>
  <c r="Q34"/>
  <c r="A34" s="1"/>
  <c r="E20" i="199" s="1"/>
  <c r="AB66" i="41"/>
  <c r="AA66"/>
  <c r="AD66" l="1"/>
  <c r="AD17"/>
  <c r="O13" i="192"/>
  <c r="I16"/>
  <c r="E49" s="1"/>
  <c r="E50" s="1"/>
  <c r="I23" i="126"/>
  <c r="I25" s="1"/>
  <c r="I31" i="190"/>
  <c r="I33" s="1"/>
  <c r="I35" s="1"/>
  <c r="I39" s="1"/>
  <c r="G33"/>
  <c r="G35" s="1"/>
  <c r="G39" s="1"/>
  <c r="G31" i="14" s="1"/>
  <c r="K49" i="126"/>
  <c r="M50" s="1"/>
  <c r="G16" i="40"/>
  <c r="G17" s="1"/>
  <c r="AA67" i="41"/>
  <c r="AD67" s="1"/>
  <c r="AB67"/>
  <c r="P36"/>
  <c r="Q35"/>
  <c r="A35" s="1"/>
  <c r="E21" i="199" s="1"/>
  <c r="AA18" i="41"/>
  <c r="AD18" s="1"/>
  <c r="AB18"/>
  <c r="I52"/>
  <c r="L52" s="1"/>
  <c r="D52" s="1"/>
  <c r="J52"/>
  <c r="E37" i="126"/>
  <c r="L17" i="41"/>
  <c r="D17" s="1"/>
  <c r="P7" i="49"/>
  <c r="F34" i="41"/>
  <c r="J18"/>
  <c r="I18"/>
  <c r="Q13" i="192" l="1"/>
  <c r="O16"/>
  <c r="G41" i="190" s="1"/>
  <c r="M52" i="126"/>
  <c r="J19" i="41"/>
  <c r="I19"/>
  <c r="E38" i="126"/>
  <c r="I53" i="41"/>
  <c r="L53" s="1"/>
  <c r="D53" s="1"/>
  <c r="J53"/>
  <c r="AB19"/>
  <c r="AA19"/>
  <c r="Q7" i="49"/>
  <c r="F35" i="41"/>
  <c r="AB68"/>
  <c r="AA68"/>
  <c r="L18"/>
  <c r="D18" s="1"/>
  <c r="P37"/>
  <c r="Q36"/>
  <c r="E22" i="199" s="1"/>
  <c r="G22" i="40"/>
  <c r="G20"/>
  <c r="Q16" i="192" l="1"/>
  <c r="Q27"/>
  <c r="Q31" s="1"/>
  <c r="P38" i="41"/>
  <c r="Q38" s="1"/>
  <c r="Q37"/>
  <c r="I54"/>
  <c r="J54"/>
  <c r="AD68"/>
  <c r="AD19"/>
  <c r="L19"/>
  <c r="D19" s="1"/>
  <c r="F36"/>
  <c r="AA69"/>
  <c r="AD69" s="1"/>
  <c r="AB69"/>
  <c r="E39" i="126"/>
  <c r="AA20" i="41"/>
  <c r="AB20"/>
  <c r="I20"/>
  <c r="J20"/>
  <c r="S27" i="192" l="1"/>
  <c r="S30"/>
  <c r="S28"/>
  <c r="L20" i="41"/>
  <c r="D20" s="1"/>
  <c r="AD20"/>
  <c r="F38"/>
  <c r="L54"/>
  <c r="D54" s="1"/>
  <c r="J21"/>
  <c r="I21"/>
  <c r="AA21"/>
  <c r="AB21"/>
  <c r="AB70"/>
  <c r="AA70"/>
  <c r="E40" i="126"/>
  <c r="I55" i="41"/>
  <c r="L55" s="1"/>
  <c r="D55" s="1"/>
  <c r="J55"/>
  <c r="F37"/>
  <c r="U30" i="192" l="1"/>
  <c r="S15"/>
  <c r="O21" i="208" s="1"/>
  <c r="U28" i="192"/>
  <c r="S14"/>
  <c r="O20" i="208" s="1"/>
  <c r="U27" i="192"/>
  <c r="U31" s="1"/>
  <c r="S31"/>
  <c r="S13"/>
  <c r="O19" i="208" s="1"/>
  <c r="AD21" i="41"/>
  <c r="AB22"/>
  <c r="AA22"/>
  <c r="AD70"/>
  <c r="L21"/>
  <c r="D21" s="1"/>
  <c r="AA71"/>
  <c r="AB71"/>
  <c r="J22"/>
  <c r="I22"/>
  <c r="E18" i="209" l="1"/>
  <c r="S16" i="192"/>
  <c r="G11" i="202" s="1"/>
  <c r="L22" i="41"/>
  <c r="D22" s="1"/>
  <c r="AD22"/>
  <c r="I23"/>
  <c r="J23"/>
  <c r="AA24"/>
  <c r="AB24"/>
  <c r="AD71"/>
  <c r="AB72"/>
  <c r="AA72"/>
  <c r="AD72" l="1"/>
  <c r="AD24"/>
  <c r="L23"/>
  <c r="D23" s="1"/>
  <c r="AA73"/>
  <c r="AB73"/>
  <c r="AB25"/>
  <c r="AA25"/>
  <c r="I26"/>
  <c r="J26"/>
  <c r="AD25" l="1"/>
  <c r="J27"/>
  <c r="I27"/>
  <c r="AA26"/>
  <c r="AB26"/>
  <c r="L26"/>
  <c r="D26" s="1"/>
  <c r="AD73"/>
  <c r="L27" l="1"/>
  <c r="D27" s="1"/>
  <c r="J28"/>
  <c r="I28"/>
  <c r="AD26"/>
  <c r="AA27"/>
  <c r="AB27"/>
  <c r="L28" l="1"/>
  <c r="D28" s="1"/>
  <c r="AB28"/>
  <c r="AA28"/>
  <c r="I29"/>
  <c r="J29"/>
  <c r="AD27"/>
  <c r="AD28" l="1"/>
  <c r="AA29"/>
  <c r="AB29"/>
  <c r="L29"/>
  <c r="D29" s="1"/>
  <c r="J30"/>
  <c r="I30"/>
  <c r="L30" l="1"/>
  <c r="D30" s="1"/>
  <c r="AD29"/>
  <c r="J31"/>
  <c r="I31"/>
  <c r="AB32"/>
  <c r="AA32"/>
  <c r="AD32" l="1"/>
  <c r="L31"/>
  <c r="D31" s="1"/>
  <c r="AA33"/>
  <c r="AB33"/>
  <c r="J32"/>
  <c r="I32"/>
  <c r="L32" l="1"/>
  <c r="D32" s="1"/>
  <c r="I33"/>
  <c r="J33"/>
  <c r="AD33"/>
  <c r="AB34"/>
  <c r="AA34"/>
  <c r="AD34" l="1"/>
  <c r="L33"/>
  <c r="D33" s="1"/>
  <c r="AA35"/>
  <c r="AB35"/>
  <c r="J34"/>
  <c r="I34"/>
  <c r="L34" l="1"/>
  <c r="D34" s="1"/>
  <c r="AB36"/>
  <c r="AA36"/>
  <c r="I35"/>
  <c r="J35"/>
  <c r="AD35"/>
  <c r="AD36" l="1"/>
  <c r="AA37"/>
  <c r="AB37"/>
  <c r="L35"/>
  <c r="D35" s="1"/>
  <c r="J36"/>
  <c r="I36"/>
  <c r="L36" l="1"/>
  <c r="D36" s="1"/>
  <c r="AD37"/>
  <c r="I37"/>
  <c r="J37"/>
  <c r="AB38"/>
  <c r="AA38"/>
  <c r="AD38" l="1"/>
  <c r="J38"/>
  <c r="I38"/>
  <c r="L37"/>
  <c r="D37" s="1"/>
  <c r="L38" l="1"/>
  <c r="E17" i="209" l="1"/>
  <c r="I41" i="190" l="1"/>
  <c r="I10" i="40" s="1"/>
  <c r="K10" s="1"/>
  <c r="G27" i="14"/>
  <c r="O25" i="126"/>
  <c r="P25" s="1"/>
  <c r="O22" i="208"/>
  <c r="Q20" l="1"/>
  <c r="Q21"/>
  <c r="Q19"/>
  <c r="E19" i="209"/>
  <c r="E20" s="1"/>
  <c r="U21" i="208" l="1"/>
  <c r="G19" i="209"/>
  <c r="K19" s="1"/>
  <c r="O19" s="1"/>
  <c r="U20" i="208"/>
  <c r="G18" i="209"/>
  <c r="K18" s="1"/>
  <c r="O18" s="1"/>
  <c r="Q22" i="208"/>
  <c r="G17" i="209"/>
  <c r="U19" i="208"/>
  <c r="U22" l="1"/>
  <c r="G12" i="202"/>
  <c r="G13" s="1"/>
  <c r="G16" s="1"/>
  <c r="I16" s="1"/>
  <c r="H18" i="49" s="1"/>
  <c r="K17" i="209"/>
  <c r="G20"/>
  <c r="K24" l="1"/>
  <c r="O17"/>
  <c r="K20"/>
  <c r="K15" i="126" s="1"/>
  <c r="F18" i="49"/>
  <c r="F21" s="1"/>
  <c r="H21"/>
  <c r="K22" i="126" l="1"/>
  <c r="M22" s="1"/>
  <c r="K21"/>
  <c r="M21" s="1"/>
  <c r="K19"/>
  <c r="M19" s="1"/>
  <c r="K20"/>
  <c r="M20" s="1"/>
  <c r="K18"/>
  <c r="M18" s="1"/>
  <c r="O32" s="1"/>
  <c r="G12" i="199"/>
  <c r="G23" s="1"/>
  <c r="H23" i="49"/>
  <c r="I11" i="40"/>
  <c r="I12" s="1"/>
  <c r="K22" i="209"/>
  <c r="K11" i="126" s="1"/>
  <c r="K13" s="1"/>
  <c r="M13" s="1"/>
  <c r="G20" i="14"/>
  <c r="O20" i="209"/>
  <c r="O22" s="1"/>
  <c r="I20" i="14" l="1"/>
  <c r="I23" s="1"/>
  <c r="I25" s="1"/>
  <c r="G23"/>
  <c r="G25" s="1"/>
  <c r="I30" i="126"/>
  <c r="M30" s="1"/>
  <c r="I27" i="14"/>
  <c r="M27" s="1"/>
  <c r="I31"/>
  <c r="M31" s="1"/>
  <c r="G24" i="199"/>
  <c r="G25" s="1"/>
  <c r="F23" i="49"/>
  <c r="K12" i="40"/>
  <c r="M51" i="126" l="1"/>
  <c r="M53" s="1"/>
  <c r="I41"/>
  <c r="I33" i="14"/>
  <c r="I29"/>
  <c r="I13" i="40"/>
  <c r="K13" l="1"/>
  <c r="O43" i="126"/>
  <c r="I14" i="40"/>
  <c r="P41" i="126"/>
  <c r="I43"/>
  <c r="P43" l="1"/>
  <c r="K14" i="40"/>
  <c r="I16"/>
  <c r="M54" i="126" l="1"/>
  <c r="M55" s="1"/>
  <c r="K16" i="40"/>
  <c r="I17"/>
  <c r="G33" i="92"/>
  <c r="K12" i="14" s="1"/>
  <c r="K14" l="1"/>
  <c r="M12"/>
  <c r="G39" i="92"/>
  <c r="G37"/>
  <c r="G35"/>
  <c r="G38"/>
  <c r="G36"/>
  <c r="I22" i="40"/>
  <c r="I20"/>
  <c r="K20" s="1"/>
  <c r="K17"/>
  <c r="O51" i="126"/>
  <c r="P51" s="1"/>
  <c r="M14" i="14" l="1"/>
  <c r="K20"/>
  <c r="M20" s="1"/>
  <c r="K17"/>
  <c r="G40" i="92"/>
  <c r="K23" i="14" l="1"/>
  <c r="K25" s="1"/>
  <c r="M17"/>
  <c r="M23" s="1"/>
  <c r="M25" s="1"/>
  <c r="M29" l="1"/>
  <c r="M33"/>
</calcChain>
</file>

<file path=xl/sharedStrings.xml><?xml version="1.0" encoding="utf-8"?>
<sst xmlns="http://schemas.openxmlformats.org/spreadsheetml/2006/main" count="1427" uniqueCount="618">
  <si>
    <t>Line</t>
  </si>
  <si>
    <t>Proposed</t>
  </si>
  <si>
    <t>No.</t>
  </si>
  <si>
    <t>Description</t>
  </si>
  <si>
    <t>Adjustments</t>
  </si>
  <si>
    <t>Per</t>
  </si>
  <si>
    <t>(A)</t>
  </si>
  <si>
    <t>(B)</t>
  </si>
  <si>
    <t>(C )</t>
  </si>
  <si>
    <t>Notes and Source</t>
  </si>
  <si>
    <t>Col.A:</t>
  </si>
  <si>
    <t>Rate of return</t>
  </si>
  <si>
    <t>Net operating income required</t>
  </si>
  <si>
    <t>Adjusted net operating income</t>
  </si>
  <si>
    <t>Gross revenue conversion factor</t>
  </si>
  <si>
    <t>Reference</t>
  </si>
  <si>
    <t>Amount</t>
  </si>
  <si>
    <t>Capital Structure and Cost Rates</t>
  </si>
  <si>
    <t>(C)</t>
  </si>
  <si>
    <t>Weighted</t>
  </si>
  <si>
    <t xml:space="preserve">Cost </t>
  </si>
  <si>
    <t>Capital</t>
  </si>
  <si>
    <t>Cost</t>
  </si>
  <si>
    <t>Rate</t>
  </si>
  <si>
    <t>Ratio</t>
  </si>
  <si>
    <t>Short Term Debt</t>
  </si>
  <si>
    <t>Long Term Debt</t>
  </si>
  <si>
    <t>Common Equity</t>
  </si>
  <si>
    <t>Total</t>
  </si>
  <si>
    <t>Difference</t>
  </si>
  <si>
    <t>Col.B:</t>
  </si>
  <si>
    <t>Adjusted Rate Base</t>
  </si>
  <si>
    <t>Number</t>
  </si>
  <si>
    <t>Summary of Adjustments to Rate Base</t>
  </si>
  <si>
    <t>Adjustment</t>
  </si>
  <si>
    <t>Net Operating Income Adjustments</t>
  </si>
  <si>
    <t>Rate Base Adjustments</t>
  </si>
  <si>
    <t>Page 1 of 1</t>
  </si>
  <si>
    <t>(D)</t>
  </si>
  <si>
    <t>Notes</t>
  </si>
  <si>
    <t>Line No.</t>
  </si>
  <si>
    <t>Col.C:</t>
  </si>
  <si>
    <t>Col.A + Col.B</t>
  </si>
  <si>
    <t>A</t>
  </si>
  <si>
    <t>B</t>
  </si>
  <si>
    <t>Company</t>
  </si>
  <si>
    <t xml:space="preserve">Schedule </t>
  </si>
  <si>
    <t>Per Company</t>
  </si>
  <si>
    <t>Operating Revenue</t>
  </si>
  <si>
    <t>Rate Base</t>
  </si>
  <si>
    <t>(E)</t>
  </si>
  <si>
    <t>(F)</t>
  </si>
  <si>
    <t>(G)</t>
  </si>
  <si>
    <t>Page 2 of 2</t>
  </si>
  <si>
    <t>Calculation of Revenue Deficiency (Sufficiency)</t>
  </si>
  <si>
    <t>Revenue deficiency (Sufficiency)</t>
  </si>
  <si>
    <t>Schedule C-3</t>
  </si>
  <si>
    <t>Summary of Net Operating Income Adjustments</t>
  </si>
  <si>
    <t>Accompanying the Direct Testimony of Ralph Smith</t>
  </si>
  <si>
    <t>Gross Revenue Conversion Factor</t>
  </si>
  <si>
    <t>Tax Rates</t>
  </si>
  <si>
    <t>Operating Revenues</t>
  </si>
  <si>
    <t>Less: State Income Taxes</t>
  </si>
  <si>
    <t>Income Before Federal Income Taxes</t>
  </si>
  <si>
    <t>Less: Federal Income Taxes</t>
  </si>
  <si>
    <t>Operating Income Percentage</t>
  </si>
  <si>
    <t>Revenue</t>
  </si>
  <si>
    <t>Requirement</t>
  </si>
  <si>
    <t>Schedule C-4</t>
  </si>
  <si>
    <t>Interest Synchronization</t>
  </si>
  <si>
    <t>(H)</t>
  </si>
  <si>
    <t>Page 1 of 2</t>
  </si>
  <si>
    <t xml:space="preserve">Col.D: </t>
  </si>
  <si>
    <t>Col.E:</t>
  </si>
  <si>
    <t>Col. C + Col. D</t>
  </si>
  <si>
    <t>Components</t>
  </si>
  <si>
    <t>of Revenue</t>
  </si>
  <si>
    <t>Impact</t>
  </si>
  <si>
    <t>Schedule A (DH)</t>
  </si>
  <si>
    <t>Adjusted Net Operating Income</t>
  </si>
  <si>
    <t>Schedule</t>
  </si>
  <si>
    <t>Multiplier</t>
  </si>
  <si>
    <t>Pre-Tax</t>
  </si>
  <si>
    <t>Net Operating Income</t>
  </si>
  <si>
    <t>GRCF</t>
  </si>
  <si>
    <t>Pre-tax return computed using Gross Revenue Conversion Factor</t>
  </si>
  <si>
    <t>Company Adjusted NOI Deficiency</t>
  </si>
  <si>
    <t>GRCF Difference</t>
  </si>
  <si>
    <t>Gross Revenue Conversion Factor Difference:</t>
  </si>
  <si>
    <t xml:space="preserve">  </t>
  </si>
  <si>
    <t xml:space="preserve">A </t>
  </si>
  <si>
    <t xml:space="preserve">A-1 </t>
  </si>
  <si>
    <t xml:space="preserve">B </t>
  </si>
  <si>
    <t xml:space="preserve">B.1 </t>
  </si>
  <si>
    <t xml:space="preserve">C </t>
  </si>
  <si>
    <t>C.1</t>
  </si>
  <si>
    <t xml:space="preserve">D </t>
  </si>
  <si>
    <t xml:space="preserve">Schedule A </t>
  </si>
  <si>
    <t xml:space="preserve">Schedule B </t>
  </si>
  <si>
    <t xml:space="preserve">Schedule A-1 </t>
  </si>
  <si>
    <t xml:space="preserve">Schedule B.1 </t>
  </si>
  <si>
    <t xml:space="preserve">Schedule C </t>
  </si>
  <si>
    <t xml:space="preserve">Schedule D </t>
  </si>
  <si>
    <t xml:space="preserve">Calculation of Revenue Deficiency (Sufficiency) </t>
  </si>
  <si>
    <t xml:space="preserve">Revenue Requirement Summary Schedules </t>
  </si>
  <si>
    <t xml:space="preserve">Adjusted Rate Base </t>
  </si>
  <si>
    <t>Summary of Rate Base Adjustments</t>
  </si>
  <si>
    <t xml:space="preserve">Adjusted Net Operating Income </t>
  </si>
  <si>
    <t xml:space="preserve">Summary of Net Operating Income Adjustments </t>
  </si>
  <si>
    <t xml:space="preserve">Capital Structure and Cost Rates </t>
  </si>
  <si>
    <t>Income Before State Taxes</t>
  </si>
  <si>
    <t xml:space="preserve">Schedule C.1 </t>
  </si>
  <si>
    <t>State Income Taxes</t>
  </si>
  <si>
    <t>Federal Income Taxes</t>
  </si>
  <si>
    <t>Combined state and federal income tax rate</t>
  </si>
  <si>
    <t>Sch D</t>
  </si>
  <si>
    <t>Sch C</t>
  </si>
  <si>
    <t>Sch A-1</t>
  </si>
  <si>
    <t>Structure</t>
  </si>
  <si>
    <t>B-</t>
  </si>
  <si>
    <t>C-</t>
  </si>
  <si>
    <t>I. Per Company</t>
  </si>
  <si>
    <t>Col B - Col. A</t>
  </si>
  <si>
    <t>Issue Folders</t>
  </si>
  <si>
    <t>See referenced schedule for each adjustment</t>
  </si>
  <si>
    <t>(I)</t>
  </si>
  <si>
    <t>Schedule C-2</t>
  </si>
  <si>
    <t>C</t>
  </si>
  <si>
    <t>Cash Working Capital</t>
  </si>
  <si>
    <t>Revenue Requirement Reconciliation</t>
  </si>
  <si>
    <t>Component</t>
  </si>
  <si>
    <t>D</t>
  </si>
  <si>
    <t>A-1</t>
  </si>
  <si>
    <t>x</t>
  </si>
  <si>
    <t>NOI Amount</t>
  </si>
  <si>
    <t>Sch C.1</t>
  </si>
  <si>
    <t>Sch. A-1</t>
  </si>
  <si>
    <t>Net Operating Income per Company Filing</t>
  </si>
  <si>
    <t xml:space="preserve">Revenue Requirement Calculated on Schedule A </t>
  </si>
  <si>
    <t>Operating Income</t>
  </si>
  <si>
    <t>Sch B.1</t>
  </si>
  <si>
    <t>Total Pages  (Including Contents Page)</t>
  </si>
  <si>
    <t>No. of Pages</t>
  </si>
  <si>
    <t>Begin</t>
  </si>
  <si>
    <t>End</t>
  </si>
  <si>
    <t>Range</t>
  </si>
  <si>
    <t>-</t>
  </si>
  <si>
    <t>Exhibit Page No.</t>
  </si>
  <si>
    <t>Total Operating Revenues</t>
  </si>
  <si>
    <t>Operating Expenses</t>
  </si>
  <si>
    <t>Total Operating Expenses</t>
  </si>
  <si>
    <t>Note A</t>
  </si>
  <si>
    <t>[A]</t>
  </si>
  <si>
    <t>Per AG</t>
  </si>
  <si>
    <t xml:space="preserve">, </t>
  </si>
  <si>
    <t>AG</t>
  </si>
  <si>
    <t>Percent</t>
  </si>
  <si>
    <t>Effect of AG Adjustments on NOI</t>
  </si>
  <si>
    <t>Total AG Adjustments to Operating Income</t>
  </si>
  <si>
    <t>AG Adjusted Net Operating Income</t>
  </si>
  <si>
    <t>AG REVENUE REQUIREMENT ADJUSTMENTS ABOVE</t>
  </si>
  <si>
    <t>Components of Base Rate Revenue Change</t>
  </si>
  <si>
    <t xml:space="preserve">II. Per AG </t>
  </si>
  <si>
    <t>AG Adjustments</t>
  </si>
  <si>
    <t>Revenue Change</t>
  </si>
  <si>
    <t>Change in Expenses and Net Operating Income:</t>
  </si>
  <si>
    <t>Change</t>
  </si>
  <si>
    <t>Total Revenue Change</t>
  </si>
  <si>
    <t>Schedule B-3</t>
  </si>
  <si>
    <t>Col.B:    See referenced schedules</t>
  </si>
  <si>
    <t>Difference Not Accounted for Above</t>
  </si>
  <si>
    <t>Other Operating Revenues</t>
  </si>
  <si>
    <t>Adjusted operating revenues</t>
  </si>
  <si>
    <t>Revenue requirement</t>
  </si>
  <si>
    <t>Revenue increase, percent</t>
  </si>
  <si>
    <t>Exhibit RCS-1</t>
  </si>
  <si>
    <t>Weighted Cost of Debt per AG</t>
  </si>
  <si>
    <t xml:space="preserve"> </t>
  </si>
  <si>
    <t>ROR Difference</t>
  </si>
  <si>
    <t xml:space="preserve">Rate of Return </t>
  </si>
  <si>
    <t>Cash</t>
  </si>
  <si>
    <t>Adjusted</t>
  </si>
  <si>
    <t>Page 2 of 3</t>
  </si>
  <si>
    <t>Page 3 of 3</t>
  </si>
  <si>
    <t>Page 1 of 3</t>
  </si>
  <si>
    <t>Taxes Other Than Income Taxes</t>
  </si>
  <si>
    <t>RATE BASE</t>
  </si>
  <si>
    <t>Electric Utility Plant</t>
  </si>
  <si>
    <t>Net Electric Utility Plant</t>
  </si>
  <si>
    <t>Materials and Supplies</t>
  </si>
  <si>
    <t>Subtotal</t>
  </si>
  <si>
    <t>Change in Revenue</t>
  </si>
  <si>
    <t>WACC</t>
  </si>
  <si>
    <t>GCRF</t>
  </si>
  <si>
    <t>(Pre-Tax)</t>
  </si>
  <si>
    <t>Exhibit RCS-2</t>
  </si>
  <si>
    <t>(J)</t>
  </si>
  <si>
    <t>(K)</t>
  </si>
  <si>
    <t>(M)</t>
  </si>
  <si>
    <t>Kentucky</t>
  </si>
  <si>
    <t>Reapportioned</t>
  </si>
  <si>
    <t>PER BOOK</t>
  </si>
  <si>
    <t>BALANCE</t>
  </si>
  <si>
    <t>Jurisdictional</t>
  </si>
  <si>
    <t>Capital Structure and Cost Rates - Capitalization</t>
  </si>
  <si>
    <t>Capitalization</t>
  </si>
  <si>
    <t>Schedule C-5</t>
  </si>
  <si>
    <t>Schedule B-1</t>
  </si>
  <si>
    <t>Schedule B-2</t>
  </si>
  <si>
    <t>O&amp;M</t>
  </si>
  <si>
    <t>Expense</t>
  </si>
  <si>
    <t>TOTAL</t>
  </si>
  <si>
    <t xml:space="preserve">Difference </t>
  </si>
  <si>
    <t xml:space="preserve">Cash Working Capital - AG Adjustments to Expenses </t>
  </si>
  <si>
    <t>Schedule C-6</t>
  </si>
  <si>
    <t>Schedule C-7</t>
  </si>
  <si>
    <t xml:space="preserve">Line </t>
  </si>
  <si>
    <t>1/8 Formula Percentage</t>
  </si>
  <si>
    <t>Schedule C-8</t>
  </si>
  <si>
    <t>AG Adjustment to Test Year Incentive Compensation Expense</t>
  </si>
  <si>
    <t>Incentive Compensation Expense</t>
  </si>
  <si>
    <t>Total AG</t>
  </si>
  <si>
    <t>Schedule C-9</t>
  </si>
  <si>
    <t>Schedule C-10</t>
  </si>
  <si>
    <t>B-1</t>
  </si>
  <si>
    <t>Schedule C-11</t>
  </si>
  <si>
    <t xml:space="preserve">Working </t>
  </si>
  <si>
    <t>B-3</t>
  </si>
  <si>
    <t>Col. B: See Schedule B-1</t>
  </si>
  <si>
    <t>Net operating income deficiency (Sufficiency)</t>
  </si>
  <si>
    <t>in CWC</t>
  </si>
  <si>
    <t>AG Adjusted Capitalization</t>
  </si>
  <si>
    <t>Do not print below this line</t>
  </si>
  <si>
    <t>WORKPAPER</t>
  </si>
  <si>
    <t>II. Per AG</t>
  </si>
  <si>
    <t>(F) = D x E</t>
  </si>
  <si>
    <t>This workpaper shows how the AG adjustments to operating expenses from Schedule C.1 are posted for CWC purposes.</t>
  </si>
  <si>
    <t>B&amp;D</t>
  </si>
  <si>
    <t>Company Requested Base Rate Revenue Increase (Decrease)</t>
  </si>
  <si>
    <t>Jurisdictional Capitalization</t>
  </si>
  <si>
    <t>Col. B: See page 2</t>
  </si>
  <si>
    <t>Test Year Ended February 28, 2017</t>
  </si>
  <si>
    <t>Operations &amp; Maintenance Expense</t>
  </si>
  <si>
    <t>Depreciation and Amortization</t>
  </si>
  <si>
    <t>Total Income Taxes</t>
  </si>
  <si>
    <t>Investment Tax Credit</t>
  </si>
  <si>
    <t>Losses/(Gains) from Deposition of Allowances</t>
  </si>
  <si>
    <t>Rate of Return on Capitalization</t>
  </si>
  <si>
    <t>Less: Uncollectible Accounts Expense</t>
  </si>
  <si>
    <t>Less: PSC Fees</t>
  </si>
  <si>
    <t>Less: Production Activities Deduction - State</t>
  </si>
  <si>
    <t>Less: Production Activities Deduction - Federal</t>
  </si>
  <si>
    <t>Percentage</t>
  </si>
  <si>
    <t>Adjusted Capital</t>
  </si>
  <si>
    <t>of Total</t>
  </si>
  <si>
    <t xml:space="preserve">Weighted </t>
  </si>
  <si>
    <t>13 Month</t>
  </si>
  <si>
    <t>Average</t>
  </si>
  <si>
    <t>Utility Plant - Original Cost</t>
  </si>
  <si>
    <t>Deduct</t>
  </si>
  <si>
    <t>Reserve for Depreciation</t>
  </si>
  <si>
    <t>Deduct:</t>
  </si>
  <si>
    <t>Customer Advances for Construction</t>
  </si>
  <si>
    <t>Accumulated Deferred Income taxes</t>
  </si>
  <si>
    <t>Total Deductions</t>
  </si>
  <si>
    <t>Add:</t>
  </si>
  <si>
    <t>Prepayments</t>
  </si>
  <si>
    <t>Unamortized Closure Costs</t>
  </si>
  <si>
    <t>Total Additions</t>
  </si>
  <si>
    <t>Total Net Original Cost Rate Base</t>
  </si>
  <si>
    <t>Net Plant Deductions</t>
  </si>
  <si>
    <t>Total Net Original Cost Rate Base for Capital Allocation</t>
  </si>
  <si>
    <t>Schedule A from Company filing</t>
  </si>
  <si>
    <t>Louisville Gas and Electric Company</t>
  </si>
  <si>
    <t>Case No. 2016-00371</t>
  </si>
  <si>
    <t>Gas Sales Revenues</t>
  </si>
  <si>
    <t>Capitalization Allocated to Gas Operations</t>
  </si>
  <si>
    <t>Gas Rate Base</t>
  </si>
  <si>
    <t>Rate of Return on Rate Base</t>
  </si>
  <si>
    <t>LGE Schedule C-1, Column 3</t>
  </si>
  <si>
    <t>LGE Schedule H-1</t>
  </si>
  <si>
    <t>(C=AxB)</t>
  </si>
  <si>
    <t>(E=C+D)</t>
  </si>
  <si>
    <t>Gas Stored Underground</t>
  </si>
  <si>
    <t>Col. A: Amounts from Supporting Schedule B-1.1, Page 3 of 4 of LGE's filing</t>
  </si>
  <si>
    <t>ARO Balance Sheet Offset</t>
  </si>
  <si>
    <t>Col. A: Amounts from Schedule WPD-2, Sheet 3 of 3</t>
  </si>
  <si>
    <t>Forecasted Test Period Ended June 30, 2018</t>
  </si>
  <si>
    <t>Federal</t>
  </si>
  <si>
    <t>State</t>
  </si>
  <si>
    <t>Company Schedule WPD-2, line 6; WPH-1.B</t>
  </si>
  <si>
    <t>Gas Utility Plant</t>
  </si>
  <si>
    <t>Adjusted Jurisdictional Capitalization</t>
  </si>
  <si>
    <t>Weighted Cost of Debt</t>
  </si>
  <si>
    <t>Synchornized Interest Deduction</t>
  </si>
  <si>
    <t>Composite Federal and State Income Tax Rate</t>
  </si>
  <si>
    <t>Cols. A-D (Lines 1-3): Schedule J-1.1/J-2.2, Page 1 of LG&amp;E's filing</t>
  </si>
  <si>
    <t>Capitilization</t>
  </si>
  <si>
    <t>Recommended</t>
  </si>
  <si>
    <t>Ratios</t>
  </si>
  <si>
    <t>(N)</t>
  </si>
  <si>
    <t>Total Debt</t>
  </si>
  <si>
    <t>WORKPAPER BELOW THIS LINE</t>
  </si>
  <si>
    <t>Equity Difference</t>
  </si>
  <si>
    <t>Reapportion</t>
  </si>
  <si>
    <t>Before</t>
  </si>
  <si>
    <t>Reapportionment</t>
  </si>
  <si>
    <t>(I=GxH)</t>
  </si>
  <si>
    <t>L.8 - L.4</t>
  </si>
  <si>
    <t>Sum of Lines 5 and 6</t>
  </si>
  <si>
    <t>Income Tax Adjustment (Ln 3 X Ln 4)</t>
  </si>
  <si>
    <t>Col. B: Debt capitalization amounts and cost rates are from Schedule D</t>
  </si>
  <si>
    <t>Slippage Adjustment</t>
  </si>
  <si>
    <t>Plant &amp; CWIP</t>
  </si>
  <si>
    <t>Rate Base Component</t>
  </si>
  <si>
    <t>Base Period</t>
  </si>
  <si>
    <t>13 Month Avg Forecast Period</t>
  </si>
  <si>
    <t>Increase From Base Period</t>
  </si>
  <si>
    <t>Slippage Factor</t>
  </si>
  <si>
    <t>Slippage Adjusted</t>
  </si>
  <si>
    <t>(E)=C x D</t>
  </si>
  <si>
    <t>(F) = E-C</t>
  </si>
  <si>
    <t>GAS:</t>
  </si>
  <si>
    <t>Plant in Service</t>
  </si>
  <si>
    <t>Property Held for Future Use</t>
  </si>
  <si>
    <t>Accumulated Depreciation and Amortization</t>
  </si>
  <si>
    <t>Net Plant in Service (Lines 1+2+3)</t>
  </si>
  <si>
    <t>Construction Work in Progress</t>
  </si>
  <si>
    <t>Net Plant (Lines 4+5)</t>
  </si>
  <si>
    <t>Cash Working Capital Allowance</t>
  </si>
  <si>
    <t>Other Working Capital Allowances</t>
  </si>
  <si>
    <t>Deferred Income Taxes</t>
  </si>
  <si>
    <t>Investment Tax Credits</t>
  </si>
  <si>
    <t>Other Items</t>
  </si>
  <si>
    <t>Rate Base (Lines 6 through 12)</t>
  </si>
  <si>
    <t>Cols. A and B:  Company Schedule B-1</t>
  </si>
  <si>
    <t>Col.C: Col. B - Col.A</t>
  </si>
  <si>
    <t>Col. D: Company response to Staff 1-13</t>
  </si>
  <si>
    <t>WORKPAPER THIS LINE AND BELOW</t>
  </si>
  <si>
    <t>Amounts from B-1</t>
  </si>
  <si>
    <t>Difference (should be zero)</t>
  </si>
  <si>
    <t>Slippage</t>
  </si>
  <si>
    <t>Base</t>
  </si>
  <si>
    <t>Gas</t>
  </si>
  <si>
    <t>Gas O&amp;M Expenses</t>
  </si>
  <si>
    <t>Less:</t>
  </si>
  <si>
    <t>Electric Power Purchased</t>
  </si>
  <si>
    <t>Gas Supply Expenses</t>
  </si>
  <si>
    <t>Col. A: Amounts from Company's application, Supporting Schedule B-1.1, page 4 of 4</t>
  </si>
  <si>
    <t>LG&amp;E Employees</t>
  </si>
  <si>
    <t>AG 1-68</t>
  </si>
  <si>
    <t>LGE-KU Services</t>
  </si>
  <si>
    <t>KU</t>
  </si>
  <si>
    <t>Total Test Period Team Incentive Award Expense</t>
  </si>
  <si>
    <t>AG Adjustment to Test Year Team Incentive Award Expense</t>
  </si>
  <si>
    <t>Portion of AG Adjustment to Team Incentive Award Expense Allocated to Electric Operations</t>
  </si>
  <si>
    <t>Portion of AG Adjustment to Team Incentive Award Expense Allocated to Gas Operations</t>
  </si>
  <si>
    <t>Total AG Adjustment to Team Incentive Award Expense</t>
  </si>
  <si>
    <t>Period</t>
  </si>
  <si>
    <t>Team Incentive Award Description</t>
  </si>
  <si>
    <t>Net Income</t>
  </si>
  <si>
    <t>Cost Control</t>
  </si>
  <si>
    <t>Customer Reliability</t>
  </si>
  <si>
    <t>Customer Satisfaction</t>
  </si>
  <si>
    <t>Corporate Safety</t>
  </si>
  <si>
    <t>Individual/Team Effectiveness</t>
  </si>
  <si>
    <t>Total Team Incentive Award Expense</t>
  </si>
  <si>
    <t>Amounts above from the response to KIUC 1-19</t>
  </si>
  <si>
    <t>Line 8: Composite Income Tax Rate</t>
  </si>
  <si>
    <t>Net Utility Plant</t>
  </si>
  <si>
    <t>(C) = B - A</t>
  </si>
  <si>
    <t>Gas Line Tracker Mechanism</t>
  </si>
  <si>
    <t>Notes and Source:</t>
  </si>
  <si>
    <t>Col A: Schedule D-2, pages 6-10 of Company's filing</t>
  </si>
  <si>
    <t>Col A, Line 7:</t>
  </si>
  <si>
    <t>Kentucky Utilities Company</t>
  </si>
  <si>
    <t>FERC</t>
  </si>
  <si>
    <t>Electric</t>
  </si>
  <si>
    <t>Account</t>
  </si>
  <si>
    <t>Operations</t>
  </si>
  <si>
    <t>500</t>
  </si>
  <si>
    <t>501</t>
  </si>
  <si>
    <t>502</t>
  </si>
  <si>
    <t>505</t>
  </si>
  <si>
    <t>506</t>
  </si>
  <si>
    <t>510</t>
  </si>
  <si>
    <t>512</t>
  </si>
  <si>
    <t>513</t>
  </si>
  <si>
    <t>Cols. A-C: Amounts from the response to AG 2-17</t>
  </si>
  <si>
    <t>A: Adjustment to incentive compensation expense calculated as follows:</t>
  </si>
  <si>
    <t>see below</t>
  </si>
  <si>
    <t>AG Adjustment split between LG&amp;E Electric and Gas Operations</t>
  </si>
  <si>
    <t>Total Adjustment</t>
  </si>
  <si>
    <t>Maintenance of Meters</t>
  </si>
  <si>
    <t>LG&amp;E</t>
  </si>
  <si>
    <t>Transmission Vegetation Management</t>
  </si>
  <si>
    <t xml:space="preserve">Utility Plant at Original Cost </t>
  </si>
  <si>
    <t xml:space="preserve">  Reserve for Depreciation </t>
  </si>
  <si>
    <t xml:space="preserve">  Accumulated Deferred Income Taxes </t>
  </si>
  <si>
    <t>Reverse LG&amp;E Adjustment to Remove Gas Line Tracker Mechanism from Base Rates</t>
  </si>
  <si>
    <t>Col. A: Supporting Schedule B-1.1, Page 3 of 4, Column 10 of LG&amp;E's gas filing</t>
  </si>
  <si>
    <t>Gas Line</t>
  </si>
  <si>
    <t>Tracker</t>
  </si>
  <si>
    <t xml:space="preserve"> Company</t>
  </si>
  <si>
    <t xml:space="preserve"> AG</t>
  </si>
  <si>
    <t>Net Adjustment Related to the GLT</t>
  </si>
  <si>
    <t>Depreciation Expense Related to Distribution Automation</t>
  </si>
  <si>
    <t>N/A</t>
  </si>
  <si>
    <t>Advanced Metering Services</t>
  </si>
  <si>
    <t>Test Year</t>
  </si>
  <si>
    <t>Adjustment to Remove AMS Costs from Operating Expenses</t>
  </si>
  <si>
    <t>A: Adjustment calculated using information from the response to KIUC 1-14 and shown below:</t>
  </si>
  <si>
    <t>Meter Expense</t>
  </si>
  <si>
    <t>Meter and House Regulator Expense</t>
  </si>
  <si>
    <t>Maintenance of Meters and House Regulators Expense</t>
  </si>
  <si>
    <t>Customer Records and Collection Services</t>
  </si>
  <si>
    <t>Miscellaneous Customer Service and Information Expense</t>
  </si>
  <si>
    <t>Total AMS Related Operating Expenses</t>
  </si>
  <si>
    <t>AMS Related Depreciation Expense</t>
  </si>
  <si>
    <t>Adjustment to Remove AMS Costs from Depreciation Expense</t>
  </si>
  <si>
    <t>* The response to KIUC 1-18 indicates that 70% of costs relate to electric operations and 30% relates to gas operations</t>
  </si>
  <si>
    <t>Operations*</t>
  </si>
  <si>
    <t>B-4</t>
  </si>
  <si>
    <t>Alvarez</t>
  </si>
  <si>
    <t>Advanced Metering Systems</t>
  </si>
  <si>
    <t>Schedule B-4</t>
  </si>
  <si>
    <t>Adjustment to Remove AMS Related Costs from CWIP</t>
  </si>
  <si>
    <t>Adjustment to Remove AMS Related ADIT</t>
  </si>
  <si>
    <t>Net Adjustment to 13-Month Average Rate Base</t>
  </si>
  <si>
    <t>13-Month Average CWIP Related to AMS</t>
  </si>
  <si>
    <t>13-Month Average ADIT Related to AMS</t>
  </si>
  <si>
    <t>A: Adjustment calculated using information from the response to KIUC 1-18 and shown below:</t>
  </si>
  <si>
    <t>Amount Reflected in Slippage Adjustment on Schedule B-1</t>
  </si>
  <si>
    <t>Net Adjustment to CWIP Related to AMS</t>
  </si>
  <si>
    <t>B: Adjustment calculated using information from the response to KIUC 1-18 and shown below:</t>
  </si>
  <si>
    <t>Payroll and Employee Benefits - Remove Vacant Positions</t>
  </si>
  <si>
    <t>Payroll and Employee Benefits Expense - Remove Vacant Positions</t>
  </si>
  <si>
    <t>LKE</t>
  </si>
  <si>
    <t>AG Adjustment to Payroll Expense for Vacant Positions</t>
  </si>
  <si>
    <t>AG Adjustment to Employee Benefits Expense for Vacant Positions</t>
  </si>
  <si>
    <t>AG Adjustment to Payroll Tax Expense for Vacant Positions</t>
  </si>
  <si>
    <t>Col. A: see page 2</t>
  </si>
  <si>
    <t>Col. B: see page 3</t>
  </si>
  <si>
    <t>Number of Vacant Positions</t>
  </si>
  <si>
    <t>Salaries</t>
  </si>
  <si>
    <t>Team Incentive Award*</t>
  </si>
  <si>
    <t>Total Payroll</t>
  </si>
  <si>
    <t>O&amp;M Percentage^</t>
  </si>
  <si>
    <t>O&amp;M Payroll</t>
  </si>
  <si>
    <t>Employee Benefits</t>
  </si>
  <si>
    <t>401(k) Match</t>
  </si>
  <si>
    <t>Retirement Income</t>
  </si>
  <si>
    <t>Group Life Insurance</t>
  </si>
  <si>
    <t>Long Term Disability</t>
  </si>
  <si>
    <t>Post Retirement Benefits</t>
  </si>
  <si>
    <t>Post Employment Benefits</t>
  </si>
  <si>
    <t>Worker's Compensation</t>
  </si>
  <si>
    <t>Dental</t>
  </si>
  <si>
    <t>Medical</t>
  </si>
  <si>
    <t>Other Miscellaneous</t>
  </si>
  <si>
    <t>Total Benefits</t>
  </si>
  <si>
    <t>O&amp;M Employee Benefits</t>
  </si>
  <si>
    <t>Payroll Taxes</t>
  </si>
  <si>
    <t>O&amp;M Payroll Taxes</t>
  </si>
  <si>
    <t>Total LG&amp;E O&amp;M Payroll, Employee Benefits and Payroll Taxes</t>
  </si>
  <si>
    <t>A: Adjustment calculated using information from the response to AG 2-8 and shown below:</t>
  </si>
  <si>
    <t>Team Incentive Award Expense</t>
  </si>
  <si>
    <t>AG recommended percentage of Team Incentive Award in Cost of Service</t>
  </si>
  <si>
    <t>Net Team Incentive Award Expense</t>
  </si>
  <si>
    <t>^ O&amp;M percentages from 807 KAR 5:001 Section 16(8)(g), page 2</t>
  </si>
  <si>
    <t>LG&amp;E and KU Services Company</t>
  </si>
  <si>
    <t>LKE O&amp;M Payroll Allocated to LG&amp;E</t>
  </si>
  <si>
    <t>LKE O&amp;M Employee Benefits Allocated to LG&amp;E</t>
  </si>
  <si>
    <t>LKE O&amp;M Payroll Taxes Allocated to LG&amp;E</t>
  </si>
  <si>
    <t>Total LKE O&amp;M Payroll, Employee Benefits and Payroll Taxes</t>
  </si>
  <si>
    <t>A: Amounts above from the response to AG 2-8</t>
  </si>
  <si>
    <t>Percentage to Allocate to LG&amp;E</t>
  </si>
  <si>
    <t>Adjustment (B-4)</t>
  </si>
  <si>
    <t>AMS Total (From Line 7)</t>
  </si>
  <si>
    <t>Advanced</t>
  </si>
  <si>
    <t>Metering</t>
  </si>
  <si>
    <t>Systems</t>
  </si>
  <si>
    <t>Cols E&amp;F: The Base Period in the Company's filing is the 12 months ending February 28, 2017</t>
  </si>
  <si>
    <t>Uncollectibles Expense</t>
  </si>
  <si>
    <t>PSC Fees</t>
  </si>
  <si>
    <t>Effect of AG Adjustments to Capitalization</t>
  </si>
  <si>
    <t>Total AG Capitalization Adjustments</t>
  </si>
  <si>
    <t>Schedule B-5</t>
  </si>
  <si>
    <t>Distribution Automation</t>
  </si>
  <si>
    <t>B-5</t>
  </si>
  <si>
    <t>Depreciation Expense - Impacts of Slippage</t>
  </si>
  <si>
    <t xml:space="preserve">AG Adjustment to Depreciation Expense to Reflect the Impact of Slippage </t>
  </si>
  <si>
    <t>A: AG recommended adjustment to reflect the impact of slippage on depreciation expense calculated below:</t>
  </si>
  <si>
    <t>Depreciation and Amortization Expense Per LG&amp;E</t>
  </si>
  <si>
    <t>LG&amp;E Sch. C-1</t>
  </si>
  <si>
    <t>13-Month Average Plant in Service per LG&amp;E</t>
  </si>
  <si>
    <t>LG&amp;E Sch. B-1</t>
  </si>
  <si>
    <t>Composite Depreciation Expense Rate</t>
  </si>
  <si>
    <t>L2 / L3</t>
  </si>
  <si>
    <t>AG Adjustment to Plant in Service to Reflect the Impact of Slippage</t>
  </si>
  <si>
    <t>Sch. B-1</t>
  </si>
  <si>
    <t>Slippage Factor for Depreciation Expense</t>
  </si>
  <si>
    <t>Line 4</t>
  </si>
  <si>
    <t>Adjustment to Depreciation Expense to Reflect the Impact of Slippage</t>
  </si>
  <si>
    <t>L5 x L6</t>
  </si>
  <si>
    <t>Line 3</t>
  </si>
  <si>
    <t>Line 5</t>
  </si>
  <si>
    <t>Line 6</t>
  </si>
  <si>
    <t>Transmission Vegetation Management Expense</t>
  </si>
  <si>
    <t>Not Applicable to LG&amp;E Gas Operations</t>
  </si>
  <si>
    <t>WPH-1.B</t>
  </si>
  <si>
    <t>Taxable Income</t>
  </si>
  <si>
    <t>Composite Income Tax Rate</t>
  </si>
  <si>
    <t>Income Tax Expense</t>
  </si>
  <si>
    <t xml:space="preserve">Income </t>
  </si>
  <si>
    <t>Tax Expense</t>
  </si>
  <si>
    <t>Per LG&amp;E</t>
  </si>
  <si>
    <t>L12 - L16</t>
  </si>
  <si>
    <t>Line 16</t>
  </si>
  <si>
    <t>Per AG*</t>
  </si>
  <si>
    <t>* Income Taxes related to these expenses are calculated on Exhibit RCS-2, Schedule C.1</t>
  </si>
  <si>
    <t>(C) =( B) - (A)</t>
  </si>
  <si>
    <t>Col (A): From Schedule C-2.1, Pages 6-10 of Company's Filing</t>
  </si>
  <si>
    <t>Year</t>
  </si>
  <si>
    <t xml:space="preserve">Uncollectible Accounts </t>
  </si>
  <si>
    <t>Expense Factor (5-Year Average)</t>
  </si>
  <si>
    <t>Col A: From LG&amp;E's Attachment to Response to AG-1 Question No. 25(a)</t>
  </si>
  <si>
    <t>Col B, Line 5-6: From LG&amp;E's Resposne to AG-1 Question No. 85</t>
  </si>
  <si>
    <t>to AG-1 Question No. 25(a) and LG&amp;E's Response to AG-1 Question No. 85</t>
  </si>
  <si>
    <t>Additional Calculations:</t>
  </si>
  <si>
    <t>From Schedule C-2.1, Pages 6-10 of Company's Filing:</t>
  </si>
  <si>
    <t>Total Unadjusted</t>
  </si>
  <si>
    <t>Jurisdictional Adjusted</t>
  </si>
  <si>
    <t>Uncollectible Accounts</t>
  </si>
  <si>
    <t>Total Sales to Ultimate Consumers</t>
  </si>
  <si>
    <t>Expense Factor (Line 9/Line 10)</t>
  </si>
  <si>
    <t>Per AG:</t>
  </si>
  <si>
    <t>[B]</t>
  </si>
  <si>
    <t>Uncollectible Expense Factor</t>
  </si>
  <si>
    <t>[B] Using Adjusted Jurisdictional amount from Schedule C-2.1 of Company's filing</t>
  </si>
  <si>
    <t>Rescheduling of Expiring Regulatory Asset Amortizations</t>
  </si>
  <si>
    <t>A: Adjustment calculated from information provided in response to AG 2-11 and calculated below:</t>
  </si>
  <si>
    <t>Audit - PCAOB Fees</t>
  </si>
  <si>
    <t>Office of Compliance</t>
  </si>
  <si>
    <t>Credit Services</t>
  </si>
  <si>
    <t>Financial Statement Reporting Software</t>
  </si>
  <si>
    <t>Hyperion Financial Management Software</t>
  </si>
  <si>
    <t>Insurance Services</t>
  </si>
  <si>
    <t>Internal Reporting</t>
  </si>
  <si>
    <t>Investor Relations</t>
  </si>
  <si>
    <t>IT Joint Initiatives</t>
  </si>
  <si>
    <t>Office of General Counsel</t>
  </si>
  <si>
    <t>Pension/Investments</t>
  </si>
  <si>
    <t>UI Planner Software</t>
  </si>
  <si>
    <t>Wall Street Software</t>
  </si>
  <si>
    <t>Total Account 921</t>
  </si>
  <si>
    <t>Grand Total</t>
  </si>
  <si>
    <t>Adjustment to Remove Affiliate Charges from PPL Services Corporation</t>
  </si>
  <si>
    <t>Allocation Percentage to Gas Operations</t>
  </si>
  <si>
    <t>PPL Services Corporation Affiliate Charges Allocated to Gas Operations</t>
  </si>
  <si>
    <t xml:space="preserve">* AG recommended removing 25% of TIA expense on Schedule C-2. The amount above reflects this adjustment </t>
  </si>
  <si>
    <t>AG Adjustment to Reduce Amortization of Rate Case Expenses</t>
  </si>
  <si>
    <t>A: Adjustment calculated below using information from the response to KIUC 2-8</t>
  </si>
  <si>
    <t>Rate Case Expenses Beginning Balance</t>
  </si>
  <si>
    <t>Amortization of 2 Years</t>
  </si>
  <si>
    <t>Annual Amortization of Rate Case Expenses</t>
  </si>
  <si>
    <t>Annual Amortization of Rate Case Expenses Per LG&amp;E</t>
  </si>
  <si>
    <t>Not applicable to LG&amp;E's gas operations</t>
  </si>
  <si>
    <t>Adjustment (B-5)</t>
  </si>
  <si>
    <t>PPL Services Corporation Affiliate Charges to LG&amp;E</t>
  </si>
  <si>
    <t xml:space="preserve">Adjusted </t>
  </si>
  <si>
    <t>Cols. A-D (Lines 5-8): also see pages 2 and 3 of this schedule</t>
  </si>
  <si>
    <t>Cols B, C and D (lines 5-8): Cost rates and Return on Equity as recommended by AG witness J. Randall Woolridge</t>
  </si>
  <si>
    <t>Part I: Amounts above from Schedule J-1.1/J-2.2, Page 1 from the Company's filing</t>
  </si>
  <si>
    <t>Part II: Column F: See page 3 of this schedule</t>
  </si>
  <si>
    <t>The long term debt cost rate has been updated by AG witness Woolridge</t>
  </si>
  <si>
    <t>Total per Schedule C.1, line 11</t>
  </si>
  <si>
    <t>Line 9 below</t>
  </si>
  <si>
    <t>Percentage of Base Period Team Incentive Award Expense Recommended for Disallowance</t>
  </si>
  <si>
    <t xml:space="preserve">Allocation between Electric and Gas Operations </t>
  </si>
  <si>
    <t>Team Incentive Award Expense Allocated to Electric Operations (see page 2)</t>
  </si>
  <si>
    <t>Team Incentive Award Expense Allocated to Gas Operations (see page 2)</t>
  </si>
  <si>
    <t>Total Test Period Team Incentive Award Expense (see page 2)</t>
  </si>
  <si>
    <t>Five-Year Avg</t>
  </si>
  <si>
    <t>[A] Difference is noted between the percentage given in LG&amp;E's Attachment to Response</t>
  </si>
  <si>
    <t>Company Proposed</t>
  </si>
  <si>
    <t>AG Adjusted</t>
  </si>
  <si>
    <t>(G)=A+F</t>
  </si>
  <si>
    <t>(H) =P</t>
  </si>
  <si>
    <t>AG Adjustments to Capitalization</t>
  </si>
  <si>
    <t>Page 2, column E, lines 1-4</t>
  </si>
  <si>
    <t>Capitalization Reapportionment Adjustment:</t>
  </si>
  <si>
    <t>Per Company Before Adjustment</t>
  </si>
  <si>
    <t>AG (Woolridge)</t>
  </si>
  <si>
    <t>Page 2, Col. E</t>
  </si>
  <si>
    <t>Page 2, Col. G</t>
  </si>
  <si>
    <t>AG Capitalization Reapportionment</t>
  </si>
  <si>
    <t>Adjustment on</t>
  </si>
  <si>
    <t>Company Amount</t>
  </si>
  <si>
    <t>AG Adjusted Amt.</t>
  </si>
  <si>
    <t>(L)=I</t>
  </si>
  <si>
    <t>(O)</t>
  </si>
  <si>
    <t>(P)</t>
  </si>
  <si>
    <t>(Q) = P-O</t>
  </si>
  <si>
    <t>Cols. I and L: AG witness Woolridge recommended capital structure ratios. See Exhibits JRW-1 and JRW-5</t>
  </si>
  <si>
    <t>Slippage:</t>
  </si>
  <si>
    <t>Adjustment (from B-1)</t>
  </si>
  <si>
    <t>Total Slippage (From Line 7)</t>
  </si>
  <si>
    <t>Cash Working Capital:</t>
  </si>
  <si>
    <t>Adjustment (from B-3)</t>
  </si>
  <si>
    <t>Total Cash Working Capital (Line 7)</t>
  </si>
  <si>
    <t>GLT Mechanism Total</t>
  </si>
  <si>
    <t>Reconciled Revenue Requirement Deficiency (Excess)</t>
  </si>
  <si>
    <t>Total O&amp;M Expense adjustments from Schedule C, column B, line 4</t>
  </si>
  <si>
    <t>Capitalization per LG&amp;E's Filing</t>
  </si>
  <si>
    <t>Schedule C-1</t>
  </si>
  <si>
    <t>Total Sales Revenue to Ultimate Consumers</t>
  </si>
  <si>
    <t>Gas Utility Revenue Requirement and Adjustment Schedules</t>
  </si>
</sst>
</file>

<file path=xl/styles.xml><?xml version="1.0" encoding="utf-8"?>
<styleSheet xmlns="http://schemas.openxmlformats.org/spreadsheetml/2006/main">
  <numFmts count="2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%"/>
    <numFmt numFmtId="166" formatCode="0_)"/>
    <numFmt numFmtId="167" formatCode="_(* #,##0_);_(* \(#,##0\);_(* &quot;-&quot;??_);_(@_)"/>
    <numFmt numFmtId="168" formatCode="0.0000%"/>
    <numFmt numFmtId="169" formatCode="0.000000%"/>
    <numFmt numFmtId="170" formatCode="0.00000%"/>
    <numFmt numFmtId="171" formatCode="0.000000"/>
    <numFmt numFmtId="172" formatCode="0.0000000%"/>
    <numFmt numFmtId="173" formatCode="_(* #,##0.0000000_);_(* \(#,##0.0000000\);_(* &quot;-&quot;??_);_(@_)"/>
    <numFmt numFmtId="174" formatCode="_(* #,##0.0000_);_(* \(#,##0.0000\);_(* &quot;-&quot;??_);_(@_)"/>
    <numFmt numFmtId="175" formatCode="0.0000"/>
    <numFmt numFmtId="176" formatCode="0.000"/>
    <numFmt numFmtId="177" formatCode="0.0%"/>
    <numFmt numFmtId="178" formatCode="_(* #,##0.000_);_(* \(#,##0.000\);_(* &quot;-&quot;??_);_(@_)"/>
    <numFmt numFmtId="179" formatCode="_(&quot;$&quot;* #,##0.00000000_);_(&quot;$&quot;* \(#,##0.00000000\);_(&quot;$&quot;* &quot;-&quot;??_);_(@_)"/>
    <numFmt numFmtId="180" formatCode="0.0000000000000%"/>
    <numFmt numFmtId="181" formatCode="0.00000000000000000%"/>
    <numFmt numFmtId="182" formatCode="0.000000000000000000%"/>
    <numFmt numFmtId="183" formatCode="###0;###0"/>
    <numFmt numFmtId="184" formatCode="."/>
    <numFmt numFmtId="185" formatCode="0.000000000000000000"/>
  </numFmts>
  <fonts count="14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u/>
      <sz val="10"/>
      <name val="Times New Roman"/>
      <family val="1"/>
    </font>
    <font>
      <u/>
      <sz val="12"/>
      <name val="Times New Roman"/>
      <family val="1"/>
    </font>
    <font>
      <u/>
      <sz val="10"/>
      <name val="Times New Roman"/>
      <family val="1"/>
    </font>
    <font>
      <sz val="1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name val="Times New Roman"/>
      <family val="1"/>
    </font>
    <font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37" fontId="13" fillId="0" borderId="0"/>
    <xf numFmtId="43" fontId="1" fillId="0" borderId="0" applyFont="0" applyFill="0" applyBorder="0" applyAlignment="0" applyProtection="0"/>
  </cellStyleXfs>
  <cellXfs count="25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164" fontId="2" fillId="0" borderId="0" xfId="2" applyNumberFormat="1" applyFont="1"/>
    <xf numFmtId="10" fontId="2" fillId="0" borderId="0" xfId="0" applyNumberFormat="1" applyFont="1"/>
    <xf numFmtId="0" fontId="2" fillId="0" borderId="2" xfId="0" applyFont="1" applyBorder="1"/>
    <xf numFmtId="0" fontId="3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/>
    <xf numFmtId="165" fontId="2" fillId="0" borderId="0" xfId="3" applyNumberFormat="1" applyFont="1"/>
    <xf numFmtId="164" fontId="2" fillId="0" borderId="0" xfId="2" applyNumberFormat="1" applyFont="1" applyAlignment="1">
      <alignment horizontal="center"/>
    </xf>
    <xf numFmtId="10" fontId="2" fillId="0" borderId="0" xfId="3" applyNumberFormat="1" applyFont="1" applyAlignment="1">
      <alignment horizontal="center"/>
    </xf>
    <xf numFmtId="164" fontId="2" fillId="0" borderId="3" xfId="2" applyNumberFormat="1" applyFont="1" applyBorder="1"/>
    <xf numFmtId="164" fontId="2" fillId="0" borderId="0" xfId="2" applyNumberFormat="1" applyFont="1" applyBorder="1"/>
    <xf numFmtId="164" fontId="2" fillId="0" borderId="4" xfId="2" applyNumberFormat="1" applyFont="1" applyBorder="1"/>
    <xf numFmtId="171" fontId="2" fillId="0" borderId="0" xfId="0" applyNumberFormat="1" applyFont="1" applyBorder="1" applyAlignment="1">
      <alignment horizontal="center"/>
    </xf>
    <xf numFmtId="171" fontId="2" fillId="0" borderId="0" xfId="0" applyNumberFormat="1" applyFont="1" applyAlignment="1">
      <alignment horizontal="center"/>
    </xf>
    <xf numFmtId="164" fontId="2" fillId="0" borderId="1" xfId="2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0" fontId="2" fillId="0" borderId="0" xfId="3" applyNumberFormat="1" applyFont="1"/>
    <xf numFmtId="0" fontId="2" fillId="0" borderId="0" xfId="0" applyFont="1" applyAlignment="1">
      <alignment horizontal="right"/>
    </xf>
    <xf numFmtId="39" fontId="2" fillId="0" borderId="0" xfId="0" applyNumberFormat="1" applyFont="1" applyProtection="1"/>
    <xf numFmtId="10" fontId="2" fillId="0" borderId="0" xfId="0" applyNumberFormat="1" applyFont="1" applyProtection="1"/>
    <xf numFmtId="165" fontId="2" fillId="0" borderId="0" xfId="3" applyNumberFormat="1" applyFont="1" applyBorder="1"/>
    <xf numFmtId="10" fontId="2" fillId="0" borderId="0" xfId="0" applyNumberFormat="1" applyFont="1" applyBorder="1" applyProtection="1"/>
    <xf numFmtId="10" fontId="2" fillId="0" borderId="3" xfId="0" applyNumberFormat="1" applyFont="1" applyBorder="1"/>
    <xf numFmtId="10" fontId="2" fillId="0" borderId="0" xfId="0" applyNumberFormat="1" applyFont="1" applyBorder="1"/>
    <xf numFmtId="10" fontId="2" fillId="0" borderId="0" xfId="3" applyNumberFormat="1" applyFont="1" applyBorder="1"/>
    <xf numFmtId="165" fontId="2" fillId="0" borderId="0" xfId="0" applyNumberFormat="1" applyFont="1" applyBorder="1"/>
    <xf numFmtId="170" fontId="2" fillId="0" borderId="0" xfId="3" applyNumberFormat="1" applyFont="1" applyBorder="1"/>
    <xf numFmtId="0" fontId="3" fillId="0" borderId="0" xfId="0" applyFont="1" applyBorder="1"/>
    <xf numFmtId="164" fontId="2" fillId="0" borderId="0" xfId="0" applyNumberFormat="1" applyFont="1" applyBorder="1"/>
    <xf numFmtId="0" fontId="2" fillId="0" borderId="0" xfId="0" quotePrefix="1" applyFont="1"/>
    <xf numFmtId="0" fontId="2" fillId="0" borderId="0" xfId="0" applyFont="1" applyFill="1" applyBorder="1" applyAlignment="1">
      <alignment horizontal="center"/>
    </xf>
    <xf numFmtId="164" fontId="2" fillId="0" borderId="4" xfId="0" applyNumberFormat="1" applyFont="1" applyBorder="1"/>
    <xf numFmtId="164" fontId="2" fillId="0" borderId="0" xfId="0" applyNumberFormat="1" applyFont="1"/>
    <xf numFmtId="164" fontId="2" fillId="0" borderId="3" xfId="0" applyNumberFormat="1" applyFont="1" applyBorder="1"/>
    <xf numFmtId="164" fontId="2" fillId="0" borderId="0" xfId="2" applyNumberFormat="1" applyFont="1" applyBorder="1" applyAlignment="1">
      <alignment horizontal="center"/>
    </xf>
    <xf numFmtId="164" fontId="2" fillId="0" borderId="1" xfId="2" applyNumberFormat="1" applyFont="1" applyBorder="1"/>
    <xf numFmtId="0" fontId="2" fillId="0" borderId="0" xfId="0" applyFont="1" applyBorder="1" applyAlignment="1">
      <alignment horizontal="left"/>
    </xf>
    <xf numFmtId="164" fontId="2" fillId="0" borderId="7" xfId="2" applyNumberFormat="1" applyFont="1" applyBorder="1"/>
    <xf numFmtId="164" fontId="2" fillId="0" borderId="7" xfId="0" applyNumberFormat="1" applyFont="1" applyBorder="1"/>
    <xf numFmtId="0" fontId="2" fillId="0" borderId="0" xfId="0" applyFont="1" applyFill="1" applyBorder="1"/>
    <xf numFmtId="37" fontId="2" fillId="0" borderId="0" xfId="0" applyNumberFormat="1" applyFont="1" applyAlignment="1" applyProtection="1">
      <alignment horizontal="center"/>
    </xf>
    <xf numFmtId="37" fontId="2" fillId="0" borderId="9" xfId="0" applyNumberFormat="1" applyFont="1" applyBorder="1" applyAlignment="1" applyProtection="1">
      <alignment horizontal="center"/>
    </xf>
    <xf numFmtId="0" fontId="6" fillId="0" borderId="0" xfId="0" applyFont="1"/>
    <xf numFmtId="0" fontId="2" fillId="0" borderId="9" xfId="0" applyFont="1" applyBorder="1" applyAlignment="1">
      <alignment horizontal="center"/>
    </xf>
    <xf numFmtId="0" fontId="5" fillId="0" borderId="0" xfId="0" applyFont="1"/>
    <xf numFmtId="39" fontId="5" fillId="0" borderId="0" xfId="0" applyNumberFormat="1" applyFont="1" applyProtection="1"/>
    <xf numFmtId="37" fontId="2" fillId="0" borderId="0" xfId="0" applyNumberFormat="1" applyFont="1" applyAlignment="1">
      <alignment horizontal="center"/>
    </xf>
    <xf numFmtId="10" fontId="3" fillId="0" borderId="5" xfId="0" applyNumberFormat="1" applyFont="1" applyBorder="1" applyProtection="1"/>
    <xf numFmtId="10" fontId="2" fillId="0" borderId="4" xfId="0" applyNumberFormat="1" applyFont="1" applyBorder="1"/>
    <xf numFmtId="39" fontId="2" fillId="0" borderId="1" xfId="0" applyNumberFormat="1" applyFont="1" applyBorder="1" applyProtection="1"/>
    <xf numFmtId="39" fontId="2" fillId="0" borderId="0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/>
    <xf numFmtId="10" fontId="2" fillId="0" borderId="4" xfId="3" applyNumberFormat="1" applyFont="1" applyBorder="1"/>
    <xf numFmtId="3" fontId="2" fillId="0" borderId="0" xfId="0" applyNumberFormat="1" applyFont="1" applyAlignment="1"/>
    <xf numFmtId="3" fontId="2" fillId="0" borderId="0" xfId="0" applyNumberFormat="1" applyFont="1" applyBorder="1" applyAlignment="1"/>
    <xf numFmtId="3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/>
    <xf numFmtId="168" fontId="2" fillId="0" borderId="0" xfId="3" applyNumberFormat="1" applyFont="1"/>
    <xf numFmtId="168" fontId="2" fillId="0" borderId="4" xfId="3" applyNumberFormat="1" applyFont="1" applyBorder="1"/>
    <xf numFmtId="0" fontId="2" fillId="0" borderId="0" xfId="0" applyFont="1" applyBorder="1" applyAlignment="1">
      <alignment horizontal="left" indent="3"/>
    </xf>
    <xf numFmtId="0" fontId="1" fillId="0" borderId="0" xfId="0" applyFont="1"/>
    <xf numFmtId="0" fontId="3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quotePrefix="1" applyFont="1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37" fontId="2" fillId="0" borderId="0" xfId="0" applyNumberFormat="1" applyFont="1" applyBorder="1" applyAlignment="1" applyProtection="1">
      <alignment horizontal="center"/>
    </xf>
    <xf numFmtId="37" fontId="2" fillId="0" borderId="1" xfId="0" applyNumberFormat="1" applyFont="1" applyBorder="1" applyAlignment="1" applyProtection="1">
      <alignment horizontal="center"/>
    </xf>
    <xf numFmtId="164" fontId="2" fillId="0" borderId="0" xfId="2" applyNumberFormat="1" applyFont="1" applyProtection="1"/>
    <xf numFmtId="165" fontId="2" fillId="0" borderId="0" xfId="0" applyNumberFormat="1" applyFont="1"/>
    <xf numFmtId="169" fontId="2" fillId="0" borderId="0" xfId="3" applyNumberFormat="1" applyFont="1"/>
    <xf numFmtId="3" fontId="2" fillId="0" borderId="2" xfId="0" applyNumberFormat="1" applyFont="1" applyBorder="1" applyAlignment="1"/>
    <xf numFmtId="3" fontId="2" fillId="0" borderId="0" xfId="0" applyNumberFormat="1" applyFont="1"/>
    <xf numFmtId="3" fontId="2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170" fontId="2" fillId="0" borderId="0" xfId="3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5" xfId="2" applyNumberFormat="1" applyFont="1" applyBorder="1"/>
    <xf numFmtId="17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3" fontId="2" fillId="0" borderId="0" xfId="0" applyNumberFormat="1" applyFont="1"/>
    <xf numFmtId="0" fontId="2" fillId="0" borderId="0" xfId="0" applyFont="1" applyAlignment="1">
      <alignment horizontal="center"/>
    </xf>
    <xf numFmtId="168" fontId="2" fillId="0" borderId="0" xfId="3" applyNumberFormat="1" applyFont="1" applyAlignment="1">
      <alignment horizontal="center"/>
    </xf>
    <xf numFmtId="164" fontId="2" fillId="0" borderId="3" xfId="2" applyNumberFormat="1" applyFont="1" applyBorder="1" applyProtection="1"/>
    <xf numFmtId="10" fontId="3" fillId="0" borderId="3" xfId="0" applyNumberFormat="1" applyFont="1" applyBorder="1" applyProtection="1"/>
    <xf numFmtId="9" fontId="2" fillId="0" borderId="0" xfId="3" applyFont="1" applyBorder="1"/>
    <xf numFmtId="10" fontId="2" fillId="0" borderId="1" xfId="3" applyNumberFormat="1" applyFont="1" applyBorder="1"/>
    <xf numFmtId="175" fontId="2" fillId="0" borderId="0" xfId="0" applyNumberFormat="1" applyFont="1"/>
    <xf numFmtId="0" fontId="2" fillId="0" borderId="0" xfId="0" applyFont="1" applyAlignment="1">
      <alignment horizontal="left" indent="1"/>
    </xf>
    <xf numFmtId="175" fontId="2" fillId="0" borderId="1" xfId="0" applyNumberFormat="1" applyFont="1" applyBorder="1" applyAlignment="1">
      <alignment horizontal="center"/>
    </xf>
    <xf numFmtId="10" fontId="2" fillId="0" borderId="0" xfId="3" applyNumberFormat="1" applyFont="1" applyBorder="1" applyAlignment="1">
      <alignment horizontal="center"/>
    </xf>
    <xf numFmtId="175" fontId="2" fillId="0" borderId="0" xfId="0" applyNumberFormat="1" applyFont="1" applyBorder="1" applyAlignment="1">
      <alignment horizontal="center"/>
    </xf>
    <xf numFmtId="10" fontId="3" fillId="0" borderId="0" xfId="0" applyNumberFormat="1" applyFont="1" applyBorder="1" applyProtection="1"/>
    <xf numFmtId="166" fontId="2" fillId="0" borderId="0" xfId="0" applyNumberFormat="1" applyFont="1" applyAlignment="1" applyProtection="1">
      <alignment horizontal="center"/>
    </xf>
    <xf numFmtId="174" fontId="2" fillId="0" borderId="0" xfId="1" applyNumberFormat="1" applyFont="1" applyAlignment="1" applyProtection="1">
      <alignment horizontal="center"/>
    </xf>
    <xf numFmtId="164" fontId="2" fillId="0" borderId="0" xfId="2" applyNumberFormat="1" applyFont="1" applyAlignment="1">
      <alignment horizontal="right"/>
    </xf>
    <xf numFmtId="164" fontId="7" fillId="0" borderId="0" xfId="2" applyNumberFormat="1" applyFont="1" applyAlignment="1">
      <alignment horizontal="center"/>
    </xf>
    <xf numFmtId="164" fontId="2" fillId="2" borderId="0" xfId="2" applyNumberFormat="1" applyFont="1" applyFill="1"/>
    <xf numFmtId="164" fontId="2" fillId="0" borderId="0" xfId="2" applyNumberFormat="1" applyFont="1" applyFill="1"/>
    <xf numFmtId="164" fontId="2" fillId="0" borderId="1" xfId="2" applyNumberFormat="1" applyFont="1" applyBorder="1" applyAlignment="1">
      <alignment horizontal="left"/>
    </xf>
    <xf numFmtId="0" fontId="2" fillId="0" borderId="0" xfId="2" applyNumberFormat="1" applyFont="1" applyAlignment="1">
      <alignment horizontal="center"/>
    </xf>
    <xf numFmtId="177" fontId="2" fillId="0" borderId="0" xfId="3" applyNumberFormat="1" applyFont="1"/>
    <xf numFmtId="176" fontId="2" fillId="0" borderId="0" xfId="0" applyNumberFormat="1" applyFont="1" applyBorder="1"/>
    <xf numFmtId="174" fontId="2" fillId="0" borderId="0" xfId="1" applyNumberFormat="1" applyFo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39" fontId="2" fillId="0" borderId="0" xfId="0" applyNumberFormat="1" applyFont="1" applyFill="1" applyBorder="1" applyProtection="1"/>
    <xf numFmtId="165" fontId="2" fillId="0" borderId="0" xfId="0" applyNumberFormat="1" applyFont="1" applyFill="1" applyBorder="1"/>
    <xf numFmtId="165" fontId="2" fillId="0" borderId="4" xfId="0" applyNumberFormat="1" applyFont="1" applyFill="1" applyBorder="1"/>
    <xf numFmtId="0" fontId="2" fillId="0" borderId="7" xfId="0" applyFont="1" applyBorder="1"/>
    <xf numFmtId="0" fontId="9" fillId="0" borderId="0" xfId="0" applyFont="1"/>
    <xf numFmtId="169" fontId="2" fillId="0" borderId="0" xfId="0" applyNumberFormat="1" applyFont="1"/>
    <xf numFmtId="178" fontId="2" fillId="0" borderId="0" xfId="1" applyNumberFormat="1" applyFont="1" applyAlignment="1">
      <alignment horizontal="left"/>
    </xf>
    <xf numFmtId="164" fontId="3" fillId="0" borderId="1" xfId="2" applyNumberFormat="1" applyFont="1" applyBorder="1"/>
    <xf numFmtId="174" fontId="2" fillId="0" borderId="1" xfId="1" applyNumberFormat="1" applyFont="1" applyBorder="1" applyAlignment="1"/>
    <xf numFmtId="0" fontId="0" fillId="0" borderId="0" xfId="0" applyBorder="1"/>
    <xf numFmtId="10" fontId="2" fillId="0" borderId="4" xfId="2" applyNumberFormat="1" applyFont="1" applyBorder="1"/>
    <xf numFmtId="169" fontId="2" fillId="0" borderId="0" xfId="3" applyNumberFormat="1" applyFont="1" applyBorder="1"/>
    <xf numFmtId="169" fontId="2" fillId="0" borderId="1" xfId="3" applyNumberFormat="1" applyFont="1" applyBorder="1"/>
    <xf numFmtId="169" fontId="2" fillId="0" borderId="5" xfId="3" applyNumberFormat="1" applyFont="1" applyBorder="1"/>
    <xf numFmtId="10" fontId="2" fillId="2" borderId="0" xfId="2" applyNumberFormat="1" applyFont="1" applyFill="1"/>
    <xf numFmtId="10" fontId="2" fillId="0" borderId="0" xfId="2" applyNumberFormat="1" applyFont="1"/>
    <xf numFmtId="10" fontId="2" fillId="0" borderId="3" xfId="2" applyNumberFormat="1" applyFont="1" applyBorder="1"/>
    <xf numFmtId="10" fontId="2" fillId="2" borderId="0" xfId="2" applyNumberFormat="1" applyFont="1" applyFill="1" applyBorder="1"/>
    <xf numFmtId="42" fontId="2" fillId="0" borderId="7" xfId="0" applyNumberFormat="1" applyFont="1" applyBorder="1"/>
    <xf numFmtId="42" fontId="2" fillId="0" borderId="0" xfId="0" applyNumberFormat="1" applyFont="1" applyBorder="1"/>
    <xf numFmtId="179" fontId="2" fillId="0" borderId="0" xfId="2" applyNumberFormat="1" applyFont="1"/>
    <xf numFmtId="10" fontId="2" fillId="0" borderId="1" xfId="3" applyNumberFormat="1" applyFont="1" applyFill="1" applyBorder="1"/>
    <xf numFmtId="10" fontId="2" fillId="2" borderId="0" xfId="2" applyNumberFormat="1" applyFont="1" applyFill="1" applyAlignment="1">
      <alignment horizontal="center"/>
    </xf>
    <xf numFmtId="164" fontId="2" fillId="0" borderId="3" xfId="2" applyNumberFormat="1" applyFont="1" applyFill="1" applyBorder="1"/>
    <xf numFmtId="0" fontId="2" fillId="0" borderId="7" xfId="0" applyFont="1" applyBorder="1" applyAlignment="1">
      <alignment horizontal="center"/>
    </xf>
    <xf numFmtId="169" fontId="2" fillId="0" borderId="3" xfId="3" applyNumberFormat="1" applyFont="1" applyBorder="1"/>
    <xf numFmtId="171" fontId="2" fillId="0" borderId="4" xfId="3" applyNumberFormat="1" applyFont="1" applyBorder="1"/>
    <xf numFmtId="169" fontId="2" fillId="0" borderId="7" xfId="3" applyNumberFormat="1" applyFont="1" applyBorder="1"/>
    <xf numFmtId="168" fontId="2" fillId="0" borderId="0" xfId="3" applyNumberFormat="1" applyFont="1" applyBorder="1" applyAlignment="1"/>
    <xf numFmtId="168" fontId="2" fillId="0" borderId="0" xfId="0" applyNumberFormat="1" applyFont="1"/>
    <xf numFmtId="168" fontId="2" fillId="0" borderId="3" xfId="0" applyNumberFormat="1" applyFont="1" applyBorder="1"/>
    <xf numFmtId="164" fontId="0" fillId="0" borderId="0" xfId="2" applyNumberFormat="1" applyFont="1"/>
    <xf numFmtId="10" fontId="0" fillId="0" borderId="0" xfId="0" applyNumberFormat="1"/>
    <xf numFmtId="165" fontId="2" fillId="0" borderId="1" xfId="3" applyNumberFormat="1" applyFont="1" applyFill="1" applyBorder="1"/>
    <xf numFmtId="168" fontId="2" fillId="0" borderId="0" xfId="2" applyNumberFormat="1" applyFont="1"/>
    <xf numFmtId="168" fontId="2" fillId="0" borderId="0" xfId="2" applyNumberFormat="1" applyFont="1" applyFill="1"/>
    <xf numFmtId="42" fontId="2" fillId="0" borderId="3" xfId="3" applyNumberFormat="1" applyFont="1" applyBorder="1"/>
    <xf numFmtId="42" fontId="2" fillId="0" borderId="0" xfId="0" applyNumberFormat="1" applyFont="1"/>
    <xf numFmtId="42" fontId="2" fillId="0" borderId="3" xfId="3" applyNumberFormat="1" applyFont="1" applyFill="1" applyBorder="1"/>
    <xf numFmtId="42" fontId="2" fillId="0" borderId="3" xfId="0" applyNumberFormat="1" applyFont="1" applyBorder="1"/>
    <xf numFmtId="180" fontId="2" fillId="0" borderId="0" xfId="0" applyNumberFormat="1" applyFont="1"/>
    <xf numFmtId="181" fontId="2" fillId="0" borderId="0" xfId="0" applyNumberFormat="1" applyFont="1"/>
    <xf numFmtId="182" fontId="2" fillId="0" borderId="0" xfId="0" applyNumberFormat="1" applyFont="1"/>
    <xf numFmtId="164" fontId="2" fillId="0" borderId="5" xfId="0" applyNumberFormat="1" applyFont="1" applyBorder="1"/>
    <xf numFmtId="0" fontId="2" fillId="0" borderId="1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0" xfId="0" applyFont="1" applyBorder="1" applyAlignment="1">
      <alignment horizontal="center"/>
    </xf>
    <xf numFmtId="164" fontId="10" fillId="0" borderId="4" xfId="0" applyNumberFormat="1" applyFont="1" applyBorder="1"/>
    <xf numFmtId="0" fontId="10" fillId="0" borderId="0" xfId="0" applyFont="1" applyBorder="1"/>
    <xf numFmtId="164" fontId="10" fillId="0" borderId="0" xfId="0" applyNumberFormat="1" applyFont="1"/>
    <xf numFmtId="164" fontId="10" fillId="0" borderId="0" xfId="2" applyNumberFormat="1" applyFont="1" applyBorder="1" applyAlignment="1">
      <alignment horizontal="center"/>
    </xf>
    <xf numFmtId="164" fontId="10" fillId="0" borderId="1" xfId="2" applyNumberFormat="1" applyFont="1" applyBorder="1" applyAlignment="1">
      <alignment horizontal="center"/>
    </xf>
    <xf numFmtId="164" fontId="10" fillId="0" borderId="0" xfId="2" applyNumberFormat="1" applyFont="1"/>
    <xf numFmtId="10" fontId="10" fillId="0" borderId="0" xfId="0" applyNumberFormat="1" applyFont="1"/>
    <xf numFmtId="164" fontId="10" fillId="0" borderId="3" xfId="2" applyNumberFormat="1" applyFont="1" applyBorder="1"/>
    <xf numFmtId="0" fontId="11" fillId="0" borderId="0" xfId="0" applyFont="1"/>
    <xf numFmtId="10" fontId="10" fillId="0" borderId="0" xfId="3" applyNumberFormat="1" applyFont="1"/>
    <xf numFmtId="10" fontId="10" fillId="0" borderId="3" xfId="3" applyNumberFormat="1" applyFont="1" applyBorder="1"/>
    <xf numFmtId="0" fontId="2" fillId="0" borderId="5" xfId="0" applyFont="1" applyBorder="1"/>
    <xf numFmtId="164" fontId="10" fillId="0" borderId="3" xfId="0" applyNumberFormat="1" applyFont="1" applyBorder="1"/>
    <xf numFmtId="168" fontId="2" fillId="0" borderId="5" xfId="3" applyNumberFormat="1" applyFont="1" applyBorder="1" applyAlignment="1">
      <alignment horizontal="center"/>
    </xf>
    <xf numFmtId="184" fontId="12" fillId="0" borderId="0" xfId="13" applyNumberFormat="1" applyFont="1" applyBorder="1" applyAlignment="1">
      <alignment horizontal="right"/>
    </xf>
    <xf numFmtId="37" fontId="12" fillId="0" borderId="0" xfId="13" quotePrefix="1" applyFont="1" applyFill="1" applyAlignment="1">
      <alignment horizontal="left"/>
    </xf>
    <xf numFmtId="164" fontId="2" fillId="0" borderId="0" xfId="12" applyNumberFormat="1" applyFont="1" applyFill="1" applyProtection="1">
      <protection locked="0"/>
    </xf>
    <xf numFmtId="37" fontId="2" fillId="0" borderId="0" xfId="13" applyFont="1" applyFill="1" applyProtection="1">
      <protection locked="0"/>
    </xf>
    <xf numFmtId="37" fontId="2" fillId="0" borderId="0" xfId="13" applyFont="1" applyFill="1"/>
    <xf numFmtId="37" fontId="2" fillId="0" borderId="1" xfId="13" applyFont="1" applyFill="1" applyBorder="1"/>
    <xf numFmtId="37" fontId="2" fillId="0" borderId="0" xfId="13" applyFont="1" applyFill="1" applyBorder="1"/>
    <xf numFmtId="184" fontId="2" fillId="0" borderId="0" xfId="13" applyNumberFormat="1" applyFont="1" applyBorder="1" applyAlignment="1">
      <alignment horizontal="right"/>
    </xf>
    <xf numFmtId="184" fontId="2" fillId="0" borderId="0" xfId="13" applyNumberFormat="1" applyFont="1" applyAlignment="1">
      <alignment horizontal="right"/>
    </xf>
    <xf numFmtId="37" fontId="2" fillId="0" borderId="0" xfId="13" quotePrefix="1" applyFont="1" applyFill="1"/>
    <xf numFmtId="49" fontId="2" fillId="0" borderId="0" xfId="13" applyNumberFormat="1" applyFont="1" applyFill="1" applyAlignment="1">
      <alignment horizontal="right"/>
    </xf>
    <xf numFmtId="0" fontId="2" fillId="0" borderId="0" xfId="13" applyNumberFormat="1" applyFont="1" applyBorder="1" applyAlignment="1">
      <alignment horizontal="center"/>
    </xf>
    <xf numFmtId="0" fontId="2" fillId="0" borderId="0" xfId="13" applyNumberFormat="1" applyFont="1" applyAlignment="1">
      <alignment horizontal="center"/>
    </xf>
    <xf numFmtId="0" fontId="2" fillId="0" borderId="0" xfId="13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0" fontId="2" fillId="0" borderId="3" xfId="3" applyNumberFormat="1" applyFont="1" applyBorder="1"/>
    <xf numFmtId="164" fontId="2" fillId="0" borderId="1" xfId="2" applyNumberFormat="1" applyFont="1" applyFill="1" applyBorder="1"/>
    <xf numFmtId="164" fontId="2" fillId="0" borderId="0" xfId="2" applyNumberFormat="1" applyFont="1" applyFill="1" applyBorder="1"/>
    <xf numFmtId="164" fontId="2" fillId="0" borderId="4" xfId="2" applyNumberFormat="1" applyFont="1" applyFill="1" applyBorder="1"/>
    <xf numFmtId="164" fontId="2" fillId="0" borderId="1" xfId="12" applyNumberFormat="1" applyFont="1" applyFill="1" applyBorder="1" applyProtection="1">
      <protection locked="0"/>
    </xf>
    <xf numFmtId="49" fontId="2" fillId="0" borderId="0" xfId="0" applyNumberFormat="1" applyFont="1"/>
    <xf numFmtId="0" fontId="2" fillId="0" borderId="0" xfId="0" applyFont="1" applyAlignment="1">
      <alignment wrapText="1"/>
    </xf>
    <xf numFmtId="167" fontId="2" fillId="0" borderId="0" xfId="0" applyNumberFormat="1" applyFont="1" applyAlignment="1">
      <alignment horizontal="center"/>
    </xf>
    <xf numFmtId="167" fontId="2" fillId="0" borderId="0" xfId="0" applyNumberFormat="1" applyFont="1"/>
    <xf numFmtId="183" fontId="2" fillId="0" borderId="0" xfId="0" applyNumberFormat="1" applyFont="1" applyAlignment="1">
      <alignment horizontal="center"/>
    </xf>
    <xf numFmtId="183" fontId="2" fillId="0" borderId="0" xfId="0" applyNumberFormat="1" applyFont="1"/>
    <xf numFmtId="165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right"/>
    </xf>
    <xf numFmtId="164" fontId="2" fillId="0" borderId="0" xfId="2" applyNumberFormat="1" applyFont="1" applyAlignment="1"/>
    <xf numFmtId="0" fontId="2" fillId="0" borderId="1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64" fontId="2" fillId="0" borderId="3" xfId="2" applyNumberFormat="1" applyFont="1" applyBorder="1" applyAlignment="1">
      <alignment horizontal="center"/>
    </xf>
    <xf numFmtId="164" fontId="2" fillId="0" borderId="4" xfId="2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85" fontId="2" fillId="0" borderId="0" xfId="0" applyNumberFormat="1" applyFont="1"/>
    <xf numFmtId="3" fontId="2" fillId="0" borderId="2" xfId="0" applyNumberFormat="1" applyFont="1" applyBorder="1"/>
    <xf numFmtId="10" fontId="2" fillId="0" borderId="0" xfId="2" applyNumberFormat="1" applyFont="1" applyFill="1"/>
    <xf numFmtId="164" fontId="2" fillId="0" borderId="0" xfId="2" applyNumberFormat="1" applyFont="1" applyFill="1" applyAlignment="1">
      <alignment horizontal="center"/>
    </xf>
    <xf numFmtId="168" fontId="2" fillId="0" borderId="1" xfId="3" applyNumberFormat="1" applyFont="1" applyBorder="1"/>
    <xf numFmtId="37" fontId="2" fillId="0" borderId="4" xfId="0" applyNumberFormat="1" applyFont="1" applyBorder="1"/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5" fontId="2" fillId="0" borderId="3" xfId="0" applyNumberFormat="1" applyFont="1" applyBorder="1"/>
    <xf numFmtId="0" fontId="2" fillId="0" borderId="0" xfId="2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10" fontId="2" fillId="0" borderId="1" xfId="3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2" applyNumberFormat="1" applyFont="1" applyBorder="1"/>
    <xf numFmtId="164" fontId="2" fillId="0" borderId="0" xfId="0" applyNumberFormat="1" applyFont="1" applyAlignment="1">
      <alignment horizontal="center"/>
    </xf>
    <xf numFmtId="10" fontId="2" fillId="0" borderId="1" xfId="0" applyNumberFormat="1" applyFont="1" applyBorder="1"/>
    <xf numFmtId="3" fontId="2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/>
    <xf numFmtId="171" fontId="2" fillId="0" borderId="1" xfId="0" applyNumberFormat="1" applyFont="1" applyBorder="1"/>
    <xf numFmtId="171" fontId="2" fillId="0" borderId="0" xfId="0" applyNumberFormat="1" applyFo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left" indent="13"/>
    </xf>
    <xf numFmtId="0" fontId="2" fillId="0" borderId="7" xfId="0" applyFont="1" applyBorder="1" applyAlignment="1">
      <alignment horizontal="left" indent="13"/>
    </xf>
    <xf numFmtId="164" fontId="8" fillId="0" borderId="0" xfId="2" applyNumberFormat="1" applyFont="1" applyAlignment="1">
      <alignment horizontal="center" textRotation="180" wrapText="1"/>
    </xf>
    <xf numFmtId="0" fontId="2" fillId="0" borderId="1" xfId="0" applyFont="1" applyBorder="1" applyAlignment="1">
      <alignment horizontal="left"/>
    </xf>
  </cellXfs>
  <cellStyles count="15">
    <cellStyle name="Comma" xfId="1" builtinId="3"/>
    <cellStyle name="Comma 10 9" xfId="14"/>
    <cellStyle name="Comma 2 2" xfId="8"/>
    <cellStyle name="Comma 86" xfId="9"/>
    <cellStyle name="Currency" xfId="2" builtinId="4"/>
    <cellStyle name="Currency 10 2" xfId="12"/>
    <cellStyle name="Currency 2 2" xfId="7"/>
    <cellStyle name="Normal" xfId="0" builtinId="0"/>
    <cellStyle name="Normal 129" xfId="6"/>
    <cellStyle name="Normal 2" xfId="4"/>
    <cellStyle name="Normal 2 3" xfId="5"/>
    <cellStyle name="Normal 46 2" xfId="13"/>
    <cellStyle name="Percent" xfId="3" builtinId="5"/>
    <cellStyle name="Percent 15" xfId="11"/>
    <cellStyle name="Percent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ill\Downloads\2017-02-16%20LGE%20Electric%20RR%20Exhibits_draft0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blic\LA%20Work\KY%20AG%202016%20LGE%20and%20KU%20rate%20cases\Larkin%20Draft%20Exhibits\KU%20Revenue%20Requirement%20Exhibits\2017-02-26%20KU%20RR%20Exhibits_draft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blic\LA%20Work\KY%20AG%202016%20LGE%20and%20KU%20rate%20cases\Larkin%20Draft%20Exhibits\LGE%20Electric%20Revenue%20Requirement%20Exhibits\2017-02-26%20LGE%20Electric%20RR%20Exhibits_draft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"/>
      <sheetName val="Ap2"/>
      <sheetName val="A-1"/>
      <sheetName val="B"/>
      <sheetName val="B, P2"/>
      <sheetName val="B.1"/>
      <sheetName val="C"/>
      <sheetName val="C.1"/>
      <sheetName val="Dp1"/>
      <sheetName val="Dp2"/>
      <sheetName val="Dp3"/>
      <sheetName val="B-1"/>
      <sheetName val="B-2"/>
      <sheetName val="B-3"/>
      <sheetName val="B-3, P2"/>
      <sheetName val="C-1Int.Sync"/>
      <sheetName val="C-2"/>
      <sheetName val="C-3"/>
      <sheetName val="C-4"/>
      <sheetName val="C-5"/>
      <sheetName val="C-6"/>
      <sheetName val="C-7"/>
      <sheetName val="C-8"/>
      <sheetName val="C-9"/>
      <sheetName val="C-10"/>
      <sheetName val="C-11 "/>
      <sheetName val="C-12"/>
      <sheetName val="&lt;- Used"/>
      <sheetName val="Not Used -&gt;"/>
      <sheetName val="50 BP ROE"/>
      <sheetName val="D Base Period"/>
      <sheetName val="D Forecasted Period"/>
      <sheetName val="D P2 Base Period"/>
      <sheetName val="D P2 Forecasted Period"/>
    </sheetNames>
    <sheetDataSet>
      <sheetData sheetId="0" refreshError="1">
        <row r="1">
          <cell r="A1" t="str">
            <v>Louisville Gas and Electric Company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26">
          <cell r="I26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"/>
      <sheetName val="Ap2"/>
      <sheetName val="A-1"/>
      <sheetName val="B"/>
      <sheetName val="B, P2"/>
      <sheetName val="B.1"/>
      <sheetName val="C"/>
      <sheetName val="C.1"/>
      <sheetName val="D P1"/>
      <sheetName val="D P2 "/>
      <sheetName val="D P3"/>
      <sheetName val="B-1"/>
      <sheetName val="B-2"/>
      <sheetName val="B-3"/>
      <sheetName val="B-3, P2"/>
      <sheetName val="B-4"/>
      <sheetName val="C-1 Int.Sync"/>
      <sheetName val="C-2 P1"/>
      <sheetName val="C-2 P2"/>
      <sheetName val="C-2 P3"/>
      <sheetName val="C-3 "/>
      <sheetName val="C-4"/>
      <sheetName val="C-5"/>
      <sheetName val="C-6"/>
      <sheetName val="C-7"/>
      <sheetName val="C-8 P1"/>
      <sheetName val="C-8 P2"/>
      <sheetName val="C-8 P3"/>
      <sheetName val="C-9"/>
      <sheetName val="C-10"/>
      <sheetName val="C-11 "/>
      <sheetName val="C-12"/>
      <sheetName val="&lt;- Used"/>
      <sheetName val="Not Used -&gt;"/>
      <sheetName val="AMS-Avg Service Life"/>
      <sheetName val="Affiliate P1"/>
      <sheetName val="Affiliate P2"/>
      <sheetName val="Affiliate P3"/>
      <sheetName val="50 BP ROE"/>
      <sheetName val="D Base Period"/>
      <sheetName val="D Forecasted Period"/>
      <sheetName val="D P2 Base Period"/>
      <sheetName val="D P2 Forecasted Period"/>
    </sheetNames>
    <sheetDataSet>
      <sheetData sheetId="0">
        <row r="1">
          <cell r="A1" t="str">
            <v>Kentucky Utilities Company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"/>
      <sheetName val="Ap2"/>
      <sheetName val="A-1"/>
      <sheetName val="B"/>
      <sheetName val="B, P2"/>
      <sheetName val="B.1"/>
      <sheetName val="C"/>
      <sheetName val="C.1"/>
      <sheetName val="Dp1"/>
      <sheetName val="Dp2"/>
      <sheetName val="Dp3"/>
      <sheetName val="B-1"/>
      <sheetName val="B-2"/>
      <sheetName val="B-3"/>
      <sheetName val="B-3, P2"/>
      <sheetName val="B-4"/>
      <sheetName val="B-5"/>
      <sheetName val="C-1Int.Sync"/>
      <sheetName val="C-2 P1"/>
      <sheetName val="C-2 P2"/>
      <sheetName val="C-2 P3"/>
      <sheetName val="C-3 "/>
      <sheetName val="C-4"/>
      <sheetName val="C-5"/>
      <sheetName val="C-6"/>
      <sheetName val="C-7"/>
      <sheetName val="C-8 P1"/>
      <sheetName val="C-8 P2"/>
      <sheetName val="C-8 P3"/>
      <sheetName val="C-9"/>
      <sheetName val="C-10"/>
      <sheetName val="C-11 "/>
      <sheetName val="C-12"/>
      <sheetName val="C-# Interest Swap"/>
      <sheetName val="&lt;- Used"/>
      <sheetName val="Not Used -&gt;"/>
      <sheetName val="AMS-Avg Service Life"/>
      <sheetName val="Affiliate P1"/>
      <sheetName val="Affiliate P2"/>
      <sheetName val="Affiliate P3"/>
      <sheetName val="50 BP ROE"/>
      <sheetName val="D Base Period"/>
      <sheetName val="D Forecasted Period"/>
      <sheetName val="D P2 Base Period"/>
      <sheetName val="D P2 Forecasted Period"/>
    </sheetNames>
    <sheetDataSet>
      <sheetData sheetId="0">
        <row r="1">
          <cell r="A1" t="str">
            <v>Louisville Gas and Electric Company</v>
          </cell>
        </row>
        <row r="2">
          <cell r="A2" t="str">
            <v>Case No. 2016-00371</v>
          </cell>
        </row>
        <row r="4">
          <cell r="A4" t="str">
            <v>Exhibit RCS-1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74"/>
  <sheetViews>
    <sheetView zoomScaleSheetLayoutView="90" workbookViewId="0">
      <selection activeCell="E64" sqref="E64"/>
    </sheetView>
  </sheetViews>
  <sheetFormatPr defaultRowHeight="12.75"/>
  <cols>
    <col min="1" max="1" width="9" style="1" customWidth="1"/>
    <col min="2" max="2" width="70" style="1" customWidth="1"/>
    <col min="3" max="16384" width="9.140625" style="1"/>
  </cols>
  <sheetData>
    <row r="1" spans="1:30" ht="18.75">
      <c r="A1" s="245" t="s">
        <v>273</v>
      </c>
      <c r="B1" s="245"/>
      <c r="C1" s="245"/>
      <c r="D1" s="245"/>
    </row>
    <row r="2" spans="1:30" ht="18.75">
      <c r="A2" s="245" t="s">
        <v>274</v>
      </c>
      <c r="B2" s="245"/>
      <c r="C2" s="245"/>
      <c r="D2" s="245"/>
      <c r="U2" s="1" t="s">
        <v>78</v>
      </c>
    </row>
    <row r="3" spans="1:30" ht="18.75">
      <c r="A3" s="245" t="s">
        <v>617</v>
      </c>
      <c r="B3" s="245"/>
      <c r="C3" s="245"/>
      <c r="D3" s="245"/>
      <c r="E3" s="245"/>
    </row>
    <row r="4" spans="1:30" ht="18.75">
      <c r="A4" s="245" t="s">
        <v>195</v>
      </c>
      <c r="B4" s="245"/>
      <c r="C4" s="245"/>
      <c r="D4" s="245"/>
    </row>
    <row r="5" spans="1:30" ht="18.75">
      <c r="A5" s="245" t="s">
        <v>58</v>
      </c>
      <c r="B5" s="245"/>
      <c r="C5" s="245"/>
      <c r="D5" s="245"/>
      <c r="Q5" s="1" t="s">
        <v>46</v>
      </c>
      <c r="S5" s="1" t="s">
        <v>175</v>
      </c>
      <c r="W5" s="1" t="s">
        <v>123</v>
      </c>
    </row>
    <row r="6" spans="1:30" ht="25.5">
      <c r="A6" s="7" t="s">
        <v>32</v>
      </c>
      <c r="B6" s="7" t="s">
        <v>3</v>
      </c>
      <c r="C6" s="72" t="s">
        <v>142</v>
      </c>
      <c r="D6" s="72" t="s">
        <v>147</v>
      </c>
      <c r="E6" s="76"/>
      <c r="F6" s="76"/>
      <c r="G6" s="76"/>
      <c r="H6" s="76"/>
      <c r="I6" t="s">
        <v>143</v>
      </c>
      <c r="J6" t="s">
        <v>144</v>
      </c>
      <c r="K6"/>
      <c r="L6" t="s">
        <v>145</v>
      </c>
      <c r="M6" s="76"/>
      <c r="N6" s="76"/>
      <c r="AA6" t="s">
        <v>143</v>
      </c>
      <c r="AB6" t="s">
        <v>144</v>
      </c>
      <c r="AC6"/>
      <c r="AD6" t="s">
        <v>145</v>
      </c>
    </row>
    <row r="7" spans="1:30">
      <c r="A7" s="6"/>
      <c r="B7" s="7" t="s">
        <v>104</v>
      </c>
      <c r="C7" s="6"/>
      <c r="D7" s="6"/>
      <c r="I7" s="73">
        <v>1</v>
      </c>
      <c r="J7"/>
      <c r="K7" s="74" t="s">
        <v>146</v>
      </c>
      <c r="L7"/>
      <c r="AA7" s="73">
        <v>1</v>
      </c>
      <c r="AB7"/>
      <c r="AC7" s="74" t="s">
        <v>146</v>
      </c>
      <c r="AD7"/>
    </row>
    <row r="8" spans="1:30">
      <c r="A8" s="8" t="str">
        <f t="shared" ref="A8:A14" si="0">O8</f>
        <v xml:space="preserve">A </v>
      </c>
      <c r="B8" s="6" t="s">
        <v>103</v>
      </c>
      <c r="C8" s="8">
        <v>2</v>
      </c>
      <c r="D8" s="8" t="str">
        <f>L8</f>
        <v>2-3</v>
      </c>
      <c r="I8" s="75">
        <v>2</v>
      </c>
      <c r="J8" s="71">
        <f>I7+C8</f>
        <v>3</v>
      </c>
      <c r="K8" s="74" t="s">
        <v>146</v>
      </c>
      <c r="L8" s="73" t="str">
        <f t="shared" ref="L8:L14" si="1">IF(I8=J8,J8,I8&amp;K8&amp;J8)</f>
        <v>2-3</v>
      </c>
      <c r="O8" s="1" t="s">
        <v>90</v>
      </c>
      <c r="Q8" s="1" t="e">
        <f>#REF!&amp;$Q$5&amp;O8</f>
        <v>#REF!</v>
      </c>
      <c r="AA8" s="75">
        <v>3</v>
      </c>
      <c r="AB8" s="71">
        <f>AA7+C8</f>
        <v>3</v>
      </c>
      <c r="AC8" s="74" t="s">
        <v>146</v>
      </c>
      <c r="AD8" s="73">
        <f t="shared" ref="AD8:AD14" si="2">IF(AA8=AB8,AB8,AA8&amp;AC8&amp;AB8)</f>
        <v>3</v>
      </c>
    </row>
    <row r="9" spans="1:30">
      <c r="A9" s="8" t="str">
        <f>O9</f>
        <v xml:space="preserve">A-1 </v>
      </c>
      <c r="B9" s="6" t="s">
        <v>59</v>
      </c>
      <c r="C9" s="8">
        <v>1</v>
      </c>
      <c r="D9" s="8">
        <f t="shared" ref="D9:D14" si="3">L9</f>
        <v>4</v>
      </c>
      <c r="I9" s="75">
        <f t="shared" ref="I9:I14" si="4">J8+1</f>
        <v>4</v>
      </c>
      <c r="J9" s="71">
        <f t="shared" ref="J9:J14" si="5">J8+C9</f>
        <v>4</v>
      </c>
      <c r="K9" s="74" t="s">
        <v>146</v>
      </c>
      <c r="L9" s="73">
        <f t="shared" si="1"/>
        <v>4</v>
      </c>
      <c r="O9" s="1" t="s">
        <v>91</v>
      </c>
      <c r="W9" s="1" t="str">
        <f>A9</f>
        <v xml:space="preserve">A-1 </v>
      </c>
      <c r="X9" s="1" t="str">
        <f>B9</f>
        <v>Gross Revenue Conversion Factor</v>
      </c>
      <c r="AA9" s="75">
        <f t="shared" ref="AA9:AA14" si="6">AB8+1</f>
        <v>4</v>
      </c>
      <c r="AB9" s="71">
        <f t="shared" ref="AB9:AB14" si="7">AB8+T9</f>
        <v>3</v>
      </c>
      <c r="AC9" s="74" t="s">
        <v>146</v>
      </c>
      <c r="AD9" s="73" t="str">
        <f t="shared" si="2"/>
        <v>4-3</v>
      </c>
    </row>
    <row r="10" spans="1:30">
      <c r="A10" s="8" t="str">
        <f t="shared" si="0"/>
        <v xml:space="preserve">B </v>
      </c>
      <c r="B10" s="6" t="s">
        <v>105</v>
      </c>
      <c r="C10" s="8">
        <v>1</v>
      </c>
      <c r="D10" s="8">
        <f t="shared" si="3"/>
        <v>5</v>
      </c>
      <c r="I10" s="75">
        <f t="shared" si="4"/>
        <v>5</v>
      </c>
      <c r="J10" s="71">
        <f t="shared" si="5"/>
        <v>5</v>
      </c>
      <c r="K10" s="74" t="s">
        <v>146</v>
      </c>
      <c r="L10" s="73">
        <f t="shared" si="1"/>
        <v>5</v>
      </c>
      <c r="O10" s="1" t="s">
        <v>92</v>
      </c>
      <c r="AA10" s="75">
        <f t="shared" si="6"/>
        <v>4</v>
      </c>
      <c r="AB10" s="71">
        <f t="shared" si="7"/>
        <v>3</v>
      </c>
      <c r="AC10" s="74" t="s">
        <v>146</v>
      </c>
      <c r="AD10" s="73" t="str">
        <f t="shared" si="2"/>
        <v>4-3</v>
      </c>
    </row>
    <row r="11" spans="1:30">
      <c r="A11" s="8" t="str">
        <f t="shared" si="0"/>
        <v xml:space="preserve">B.1 </v>
      </c>
      <c r="B11" s="6" t="s">
        <v>106</v>
      </c>
      <c r="C11" s="8">
        <v>1</v>
      </c>
      <c r="D11" s="8">
        <f t="shared" si="3"/>
        <v>6</v>
      </c>
      <c r="I11" s="75">
        <f t="shared" si="4"/>
        <v>6</v>
      </c>
      <c r="J11" s="71">
        <f t="shared" si="5"/>
        <v>6</v>
      </c>
      <c r="K11" s="74" t="s">
        <v>146</v>
      </c>
      <c r="L11" s="73">
        <f t="shared" si="1"/>
        <v>6</v>
      </c>
      <c r="O11" s="1" t="s">
        <v>93</v>
      </c>
      <c r="AA11" s="75">
        <f t="shared" si="6"/>
        <v>4</v>
      </c>
      <c r="AB11" s="71">
        <f t="shared" si="7"/>
        <v>3</v>
      </c>
      <c r="AC11" s="74" t="s">
        <v>146</v>
      </c>
      <c r="AD11" s="73" t="str">
        <f t="shared" si="2"/>
        <v>4-3</v>
      </c>
    </row>
    <row r="12" spans="1:30">
      <c r="A12" s="8" t="str">
        <f t="shared" si="0"/>
        <v xml:space="preserve">C </v>
      </c>
      <c r="B12" s="6" t="s">
        <v>107</v>
      </c>
      <c r="C12" s="8">
        <v>1</v>
      </c>
      <c r="D12" s="8">
        <f t="shared" si="3"/>
        <v>7</v>
      </c>
      <c r="I12" s="75">
        <f t="shared" si="4"/>
        <v>7</v>
      </c>
      <c r="J12" s="71">
        <f t="shared" si="5"/>
        <v>7</v>
      </c>
      <c r="K12" s="74" t="s">
        <v>146</v>
      </c>
      <c r="L12" s="73">
        <f t="shared" si="1"/>
        <v>7</v>
      </c>
      <c r="O12" s="1" t="s">
        <v>94</v>
      </c>
      <c r="Q12" s="1" t="e">
        <f>#REF!&amp;$Q$5&amp;O12</f>
        <v>#REF!</v>
      </c>
      <c r="AA12" s="75">
        <f t="shared" si="6"/>
        <v>4</v>
      </c>
      <c r="AB12" s="71">
        <f t="shared" si="7"/>
        <v>3</v>
      </c>
      <c r="AC12" s="74" t="s">
        <v>146</v>
      </c>
      <c r="AD12" s="73" t="str">
        <f t="shared" si="2"/>
        <v>4-3</v>
      </c>
    </row>
    <row r="13" spans="1:30">
      <c r="A13" s="8" t="str">
        <f t="shared" si="0"/>
        <v>C.1</v>
      </c>
      <c r="B13" s="6" t="s">
        <v>108</v>
      </c>
      <c r="C13" s="8">
        <v>3</v>
      </c>
      <c r="D13" s="8" t="str">
        <f t="shared" si="3"/>
        <v>8-10</v>
      </c>
      <c r="I13" s="75">
        <f t="shared" si="4"/>
        <v>8</v>
      </c>
      <c r="J13" s="71">
        <f t="shared" si="5"/>
        <v>10</v>
      </c>
      <c r="K13" s="74" t="s">
        <v>146</v>
      </c>
      <c r="L13" s="73" t="str">
        <f t="shared" si="1"/>
        <v>8-10</v>
      </c>
      <c r="O13" s="1" t="s">
        <v>95</v>
      </c>
      <c r="AA13" s="75">
        <f t="shared" si="6"/>
        <v>4</v>
      </c>
      <c r="AB13" s="71">
        <f t="shared" si="7"/>
        <v>3</v>
      </c>
      <c r="AC13" s="74" t="s">
        <v>146</v>
      </c>
      <c r="AD13" s="73" t="str">
        <f t="shared" si="2"/>
        <v>4-3</v>
      </c>
    </row>
    <row r="14" spans="1:30">
      <c r="A14" s="8" t="str">
        <f t="shared" si="0"/>
        <v xml:space="preserve">D </v>
      </c>
      <c r="B14" s="6" t="s">
        <v>109</v>
      </c>
      <c r="C14" s="8">
        <v>3</v>
      </c>
      <c r="D14" s="8" t="str">
        <f t="shared" si="3"/>
        <v>11-13</v>
      </c>
      <c r="I14" s="75">
        <f t="shared" si="4"/>
        <v>11</v>
      </c>
      <c r="J14" s="71">
        <f t="shared" si="5"/>
        <v>13</v>
      </c>
      <c r="K14" s="74" t="s">
        <v>146</v>
      </c>
      <c r="L14" s="73" t="str">
        <f t="shared" si="1"/>
        <v>11-13</v>
      </c>
      <c r="O14" s="1" t="s">
        <v>96</v>
      </c>
      <c r="AA14" s="75">
        <f t="shared" si="6"/>
        <v>4</v>
      </c>
      <c r="AB14" s="71">
        <f t="shared" si="7"/>
        <v>3</v>
      </c>
      <c r="AC14" s="74" t="s">
        <v>146</v>
      </c>
      <c r="AD14" s="73" t="str">
        <f t="shared" si="2"/>
        <v>4-3</v>
      </c>
    </row>
    <row r="15" spans="1:30">
      <c r="A15" s="8"/>
      <c r="B15" s="6"/>
      <c r="C15" s="8"/>
      <c r="D15" s="6"/>
      <c r="I15" s="75"/>
      <c r="J15" s="71"/>
      <c r="K15" s="71"/>
      <c r="L15" s="75"/>
      <c r="AA15" s="75"/>
      <c r="AB15" s="71"/>
      <c r="AC15" s="71"/>
      <c r="AD15" s="75"/>
    </row>
    <row r="16" spans="1:30">
      <c r="A16" s="8"/>
      <c r="B16" s="7" t="s">
        <v>36</v>
      </c>
      <c r="C16" s="8"/>
      <c r="D16" s="6"/>
      <c r="I16" s="75"/>
      <c r="J16" s="71"/>
      <c r="K16" s="71"/>
      <c r="L16" s="75"/>
      <c r="AA16" s="75"/>
      <c r="AB16" s="71"/>
      <c r="AC16" s="71"/>
      <c r="AD16" s="75"/>
    </row>
    <row r="17" spans="1:30">
      <c r="A17" s="8" t="str">
        <f>Q17</f>
        <v>B-1</v>
      </c>
      <c r="B17" s="6" t="str">
        <f>'B-1'!A2</f>
        <v>Slippage Adjustment</v>
      </c>
      <c r="C17" s="8">
        <v>1</v>
      </c>
      <c r="D17" s="8">
        <f t="shared" ref="D17:D22" si="8">L17</f>
        <v>14</v>
      </c>
      <c r="E17" s="1" t="s">
        <v>154</v>
      </c>
      <c r="F17" s="1" t="str">
        <f t="shared" ref="F17:F23" si="9">A17&amp;E17&amp;B17</f>
        <v>B-1, Slippage Adjustment</v>
      </c>
      <c r="I17" s="75">
        <f>J14+1</f>
        <v>14</v>
      </c>
      <c r="J17" s="71">
        <f>J14+C17</f>
        <v>14</v>
      </c>
      <c r="K17" s="74" t="s">
        <v>146</v>
      </c>
      <c r="L17" s="73">
        <f t="shared" ref="L17:L22" si="10">IF(I17=J17,J17,I17&amp;K17&amp;J17)</f>
        <v>14</v>
      </c>
      <c r="O17" s="1" t="s">
        <v>119</v>
      </c>
      <c r="P17" s="1">
        <v>1</v>
      </c>
      <c r="Q17" s="1" t="str">
        <f>O17&amp;P17</f>
        <v>B-1</v>
      </c>
      <c r="W17" s="1" t="str">
        <f>A17</f>
        <v>B-1</v>
      </c>
      <c r="X17" s="1" t="str">
        <f>B17</f>
        <v>Slippage Adjustment</v>
      </c>
      <c r="AA17" s="75">
        <f>AB14+1</f>
        <v>4</v>
      </c>
      <c r="AB17" s="71">
        <f>AB14+T17</f>
        <v>3</v>
      </c>
      <c r="AC17" s="74" t="s">
        <v>146</v>
      </c>
      <c r="AD17" s="73" t="str">
        <f t="shared" ref="AD17:AD22" si="11">IF(AA17=AB17,AB17,AA17&amp;AC17&amp;AB17)</f>
        <v>4-3</v>
      </c>
    </row>
    <row r="18" spans="1:30">
      <c r="A18" s="8" t="str">
        <f t="shared" ref="A18:A22" si="12">Q18</f>
        <v>B-2</v>
      </c>
      <c r="B18" s="82" t="str">
        <f>'B-2'!A2</f>
        <v>Distribution Automation</v>
      </c>
      <c r="C18" s="8">
        <v>1</v>
      </c>
      <c r="D18" s="8">
        <f t="shared" si="8"/>
        <v>15</v>
      </c>
      <c r="E18" s="1" t="s">
        <v>154</v>
      </c>
      <c r="F18" s="1" t="str">
        <f t="shared" si="9"/>
        <v>B-2, Distribution Automation</v>
      </c>
      <c r="I18" s="75">
        <f t="shared" ref="I18:I22" si="13">J17+1</f>
        <v>15</v>
      </c>
      <c r="J18" s="71">
        <f t="shared" ref="J18:J23" si="14">J17+C18</f>
        <v>15</v>
      </c>
      <c r="K18" s="74" t="s">
        <v>146</v>
      </c>
      <c r="L18" s="73">
        <f t="shared" si="10"/>
        <v>15</v>
      </c>
      <c r="O18" s="1" t="s">
        <v>119</v>
      </c>
      <c r="P18" s="1">
        <f>P17+1</f>
        <v>2</v>
      </c>
      <c r="Q18" s="1" t="str">
        <f t="shared" ref="Q18:Q38" si="15">O18&amp;P18</f>
        <v>B-2</v>
      </c>
      <c r="S18" s="1">
        <v>1</v>
      </c>
      <c r="AA18" s="75">
        <f>AB17+1</f>
        <v>4</v>
      </c>
      <c r="AB18" s="71">
        <f>AB17+T18</f>
        <v>3</v>
      </c>
      <c r="AC18" s="74" t="s">
        <v>146</v>
      </c>
      <c r="AD18" s="73" t="str">
        <f t="shared" si="11"/>
        <v>4-3</v>
      </c>
    </row>
    <row r="19" spans="1:30" ht="14.25" customHeight="1">
      <c r="A19" s="8" t="str">
        <f t="shared" si="12"/>
        <v>B-3</v>
      </c>
      <c r="B19" s="82" t="str">
        <f>'B-3'!A2</f>
        <v>Cash Working Capital</v>
      </c>
      <c r="C19" s="8">
        <v>2</v>
      </c>
      <c r="D19" s="8" t="str">
        <f t="shared" si="8"/>
        <v>16-17</v>
      </c>
      <c r="E19" s="1" t="s">
        <v>154</v>
      </c>
      <c r="F19" s="1" t="str">
        <f t="shared" si="9"/>
        <v>B-3, Cash Working Capital</v>
      </c>
      <c r="I19" s="75">
        <f t="shared" si="13"/>
        <v>16</v>
      </c>
      <c r="J19" s="71">
        <f t="shared" si="14"/>
        <v>17</v>
      </c>
      <c r="K19" s="74" t="s">
        <v>146</v>
      </c>
      <c r="L19" s="73" t="str">
        <f t="shared" si="10"/>
        <v>16-17</v>
      </c>
      <c r="O19" s="1" t="s">
        <v>119</v>
      </c>
      <c r="P19" s="1">
        <f t="shared" ref="P19:P23" si="16">P18+1</f>
        <v>3</v>
      </c>
      <c r="Q19" s="1" t="str">
        <f t="shared" si="15"/>
        <v>B-3</v>
      </c>
      <c r="S19" s="1">
        <f>S18+1</f>
        <v>2</v>
      </c>
      <c r="AA19" s="75">
        <f>AB18+1</f>
        <v>4</v>
      </c>
      <c r="AB19" s="71">
        <f>AB18+T19</f>
        <v>3</v>
      </c>
      <c r="AC19" s="74" t="s">
        <v>146</v>
      </c>
      <c r="AD19" s="73" t="str">
        <f t="shared" si="11"/>
        <v>4-3</v>
      </c>
    </row>
    <row r="20" spans="1:30" ht="14.25" customHeight="1">
      <c r="A20" s="8" t="str">
        <f t="shared" si="12"/>
        <v>B-4</v>
      </c>
      <c r="B20" s="223" t="str">
        <f>'B-4'!A2</f>
        <v>Advanced Metering Systems</v>
      </c>
      <c r="C20" s="8">
        <v>1</v>
      </c>
      <c r="D20" s="8">
        <f t="shared" si="8"/>
        <v>18</v>
      </c>
      <c r="E20" s="1" t="s">
        <v>154</v>
      </c>
      <c r="F20" s="1" t="str">
        <f t="shared" si="9"/>
        <v>B-4, Advanced Metering Systems</v>
      </c>
      <c r="I20" s="75">
        <f t="shared" si="13"/>
        <v>18</v>
      </c>
      <c r="J20" s="71">
        <f t="shared" si="14"/>
        <v>18</v>
      </c>
      <c r="K20" s="74" t="s">
        <v>146</v>
      </c>
      <c r="L20" s="73">
        <f t="shared" si="10"/>
        <v>18</v>
      </c>
      <c r="O20" s="1" t="s">
        <v>119</v>
      </c>
      <c r="P20" s="1">
        <f t="shared" si="16"/>
        <v>4</v>
      </c>
      <c r="Q20" s="1" t="str">
        <f t="shared" si="15"/>
        <v>B-4</v>
      </c>
      <c r="S20" s="1">
        <f>S19+1</f>
        <v>3</v>
      </c>
      <c r="AA20" s="75">
        <f>AB19+1</f>
        <v>4</v>
      </c>
      <c r="AB20" s="71">
        <f>AB19+T20</f>
        <v>3</v>
      </c>
      <c r="AC20" s="74" t="s">
        <v>146</v>
      </c>
      <c r="AD20" s="73" t="str">
        <f t="shared" si="11"/>
        <v>4-3</v>
      </c>
    </row>
    <row r="21" spans="1:30" ht="13.5" hidden="1" customHeight="1">
      <c r="A21" s="8"/>
      <c r="B21" s="6"/>
      <c r="C21" s="8"/>
      <c r="D21" s="8" t="str">
        <f t="shared" si="8"/>
        <v>19-18</v>
      </c>
      <c r="E21" s="1" t="s">
        <v>154</v>
      </c>
      <c r="F21" s="1" t="str">
        <f t="shared" si="9"/>
        <v xml:space="preserve">, </v>
      </c>
      <c r="I21" s="75">
        <f t="shared" si="13"/>
        <v>19</v>
      </c>
      <c r="J21" s="71">
        <f t="shared" si="14"/>
        <v>18</v>
      </c>
      <c r="K21" s="74" t="s">
        <v>146</v>
      </c>
      <c r="L21" s="73" t="str">
        <f t="shared" si="10"/>
        <v>19-18</v>
      </c>
      <c r="O21" s="1" t="s">
        <v>119</v>
      </c>
      <c r="P21" s="1">
        <f t="shared" si="16"/>
        <v>5</v>
      </c>
      <c r="Q21" s="1" t="str">
        <f t="shared" si="15"/>
        <v>B-5</v>
      </c>
      <c r="AA21" s="75">
        <f>AB20+1</f>
        <v>4</v>
      </c>
      <c r="AB21" s="71">
        <f>AB20+T21</f>
        <v>3</v>
      </c>
      <c r="AC21" s="74" t="s">
        <v>146</v>
      </c>
      <c r="AD21" s="73" t="str">
        <f t="shared" si="11"/>
        <v>4-3</v>
      </c>
    </row>
    <row r="22" spans="1:30" ht="12.75" customHeight="1">
      <c r="A22" s="8" t="str">
        <f t="shared" si="12"/>
        <v>B-5</v>
      </c>
      <c r="B22" s="223" t="str">
        <f>'B-5'!A2</f>
        <v>Reverse LG&amp;E Adjustment to Remove Gas Line Tracker Mechanism from Base Rates</v>
      </c>
      <c r="C22" s="8">
        <v>1</v>
      </c>
      <c r="D22" s="8">
        <f t="shared" si="8"/>
        <v>19</v>
      </c>
      <c r="E22" s="1" t="s">
        <v>154</v>
      </c>
      <c r="F22" s="1" t="str">
        <f t="shared" si="9"/>
        <v>B-5, Reverse LG&amp;E Adjustment to Remove Gas Line Tracker Mechanism from Base Rates</v>
      </c>
      <c r="I22" s="75">
        <f t="shared" si="13"/>
        <v>19</v>
      </c>
      <c r="J22" s="71">
        <f t="shared" si="14"/>
        <v>19</v>
      </c>
      <c r="K22" s="74" t="s">
        <v>146</v>
      </c>
      <c r="L22" s="73">
        <f t="shared" si="10"/>
        <v>19</v>
      </c>
      <c r="O22" s="1" t="s">
        <v>119</v>
      </c>
      <c r="P22" s="1">
        <f>P20+1</f>
        <v>5</v>
      </c>
      <c r="Q22" s="1" t="str">
        <f t="shared" si="15"/>
        <v>B-5</v>
      </c>
      <c r="S22" s="1" t="e">
        <f>#REF!+1</f>
        <v>#REF!</v>
      </c>
      <c r="AA22" s="75">
        <f>AB21+1</f>
        <v>4</v>
      </c>
      <c r="AB22" s="71">
        <f>AB21+T22</f>
        <v>3</v>
      </c>
      <c r="AC22" s="74" t="s">
        <v>146</v>
      </c>
      <c r="AD22" s="73" t="str">
        <f t="shared" si="11"/>
        <v>4-3</v>
      </c>
    </row>
    <row r="23" spans="1:30" ht="12" customHeight="1">
      <c r="A23" s="8"/>
      <c r="B23" s="6"/>
      <c r="C23" s="8"/>
      <c r="D23" s="8" t="str">
        <f t="shared" ref="D23" si="17">L23</f>
        <v>20-19</v>
      </c>
      <c r="E23" s="1" t="s">
        <v>154</v>
      </c>
      <c r="F23" s="1" t="str">
        <f t="shared" si="9"/>
        <v xml:space="preserve">, </v>
      </c>
      <c r="I23" s="75">
        <f t="shared" ref="I23" si="18">J22+1</f>
        <v>20</v>
      </c>
      <c r="J23" s="71">
        <f t="shared" si="14"/>
        <v>19</v>
      </c>
      <c r="K23" s="74" t="s">
        <v>146</v>
      </c>
      <c r="L23" s="73" t="str">
        <f t="shared" ref="L23" si="19">IF(I23=J23,J23,I23&amp;K23&amp;J23)</f>
        <v>20-19</v>
      </c>
      <c r="O23" s="1" t="s">
        <v>119</v>
      </c>
      <c r="P23" s="1">
        <f t="shared" si="16"/>
        <v>6</v>
      </c>
      <c r="Q23" s="1" t="str">
        <f t="shared" ref="Q23" si="20">O23&amp;P23</f>
        <v>B-6</v>
      </c>
      <c r="AA23" s="75"/>
      <c r="AB23" s="71"/>
      <c r="AC23" s="74"/>
      <c r="AD23" s="73"/>
    </row>
    <row r="24" spans="1:30" hidden="1">
      <c r="A24" s="8"/>
      <c r="B24" s="6"/>
      <c r="C24" s="8"/>
      <c r="D24" s="6"/>
      <c r="I24" s="75"/>
      <c r="J24" s="71"/>
      <c r="K24" s="74"/>
      <c r="L24" s="73"/>
      <c r="AA24" s="75">
        <f>AB22+1</f>
        <v>4</v>
      </c>
      <c r="AB24" s="71">
        <f>AB22+T24</f>
        <v>3</v>
      </c>
      <c r="AC24" s="74" t="s">
        <v>146</v>
      </c>
      <c r="AD24" s="73" t="str">
        <f t="shared" ref="AD24:AD29" si="21">IF(AA24=AB24,AB24,AA24&amp;AC24&amp;AB24)</f>
        <v>4-3</v>
      </c>
    </row>
    <row r="25" spans="1:30">
      <c r="A25" s="6"/>
      <c r="B25" s="7" t="s">
        <v>35</v>
      </c>
      <c r="C25" s="8"/>
      <c r="D25" s="6"/>
      <c r="I25" s="75"/>
      <c r="J25" s="71"/>
      <c r="K25" s="74"/>
      <c r="L25" s="73"/>
      <c r="AA25" s="75">
        <f>AB24+1</f>
        <v>4</v>
      </c>
      <c r="AB25" s="71">
        <f>AB24+T25</f>
        <v>3</v>
      </c>
      <c r="AC25" s="74" t="s">
        <v>146</v>
      </c>
      <c r="AD25" s="73" t="str">
        <f t="shared" si="21"/>
        <v>4-3</v>
      </c>
    </row>
    <row r="26" spans="1:30">
      <c r="A26" s="8" t="str">
        <f>Q26</f>
        <v>C-1</v>
      </c>
      <c r="B26" s="6" t="s">
        <v>69</v>
      </c>
      <c r="C26" s="8">
        <v>1</v>
      </c>
      <c r="D26" s="8">
        <f t="shared" ref="D26:D37" si="22">L26</f>
        <v>20</v>
      </c>
      <c r="E26" s="1" t="s">
        <v>154</v>
      </c>
      <c r="F26" s="1" t="str">
        <f t="shared" ref="F26:F31" si="23">A26&amp;E26&amp;B26</f>
        <v>C-1, Interest Synchronization</v>
      </c>
      <c r="I26" s="75">
        <f>J23+1</f>
        <v>20</v>
      </c>
      <c r="J26" s="71">
        <f>J23+C26</f>
        <v>20</v>
      </c>
      <c r="K26" s="74" t="s">
        <v>146</v>
      </c>
      <c r="L26" s="73">
        <f>IF(I26=J26,J26,I26&amp;K26&amp;J26)</f>
        <v>20</v>
      </c>
      <c r="O26" s="1" t="s">
        <v>120</v>
      </c>
      <c r="P26" s="1">
        <v>1</v>
      </c>
      <c r="Q26" s="1" t="str">
        <f t="shared" si="15"/>
        <v>C-1</v>
      </c>
      <c r="AA26" s="75">
        <f>AB25+1</f>
        <v>4</v>
      </c>
      <c r="AB26" s="71">
        <f>AB25+T26</f>
        <v>3</v>
      </c>
      <c r="AC26" s="74" t="s">
        <v>146</v>
      </c>
      <c r="AD26" s="73" t="str">
        <f t="shared" si="21"/>
        <v>4-3</v>
      </c>
    </row>
    <row r="27" spans="1:30">
      <c r="A27" s="8" t="str">
        <f t="shared" ref="A27:A55" si="24">Q27</f>
        <v>C-2</v>
      </c>
      <c r="B27" s="6" t="str">
        <f>'C-2 P1'!A2</f>
        <v>Incentive Compensation Expense</v>
      </c>
      <c r="C27" s="8">
        <v>3</v>
      </c>
      <c r="D27" s="8" t="str">
        <f t="shared" si="22"/>
        <v>21-23</v>
      </c>
      <c r="E27" s="1" t="s">
        <v>154</v>
      </c>
      <c r="F27" s="1" t="str">
        <f t="shared" si="23"/>
        <v>C-2, Incentive Compensation Expense</v>
      </c>
      <c r="I27" s="75">
        <f t="shared" ref="I27" si="25">J26+1</f>
        <v>21</v>
      </c>
      <c r="J27" s="71">
        <f t="shared" ref="J27:J55" si="26">J26+C27</f>
        <v>23</v>
      </c>
      <c r="K27" s="74" t="s">
        <v>146</v>
      </c>
      <c r="L27" s="73" t="str">
        <f t="shared" ref="L27" si="27">IF(I27=J27,J27,I27&amp;K27&amp;J27)</f>
        <v>21-23</v>
      </c>
      <c r="O27" s="1" t="s">
        <v>120</v>
      </c>
      <c r="P27" s="1">
        <f>P26+1</f>
        <v>2</v>
      </c>
      <c r="Q27" s="1" t="str">
        <f t="shared" si="15"/>
        <v>C-2</v>
      </c>
      <c r="U27" s="1">
        <v>1</v>
      </c>
      <c r="AA27" s="75">
        <f>AB26+1</f>
        <v>4</v>
      </c>
      <c r="AB27" s="71">
        <f>AB26+T27</f>
        <v>3</v>
      </c>
      <c r="AC27" s="74" t="s">
        <v>146</v>
      </c>
      <c r="AD27" s="73" t="str">
        <f t="shared" si="21"/>
        <v>4-3</v>
      </c>
    </row>
    <row r="28" spans="1:30">
      <c r="A28" s="8" t="str">
        <f t="shared" si="24"/>
        <v>C-3</v>
      </c>
      <c r="B28" s="6" t="str">
        <f>'C-3'!A2</f>
        <v>Advanced Metering Services</v>
      </c>
      <c r="C28" s="8">
        <v>1</v>
      </c>
      <c r="D28" s="8">
        <f t="shared" si="22"/>
        <v>24</v>
      </c>
      <c r="E28" s="1" t="s">
        <v>154</v>
      </c>
      <c r="F28" s="1" t="str">
        <f t="shared" si="23"/>
        <v>C-3, Advanced Metering Services</v>
      </c>
      <c r="I28" s="75">
        <f t="shared" ref="I28" si="28">J27+1</f>
        <v>24</v>
      </c>
      <c r="J28" s="71">
        <f t="shared" si="26"/>
        <v>24</v>
      </c>
      <c r="K28" s="74" t="s">
        <v>146</v>
      </c>
      <c r="L28" s="73">
        <f t="shared" ref="L28" si="29">IF(I28=J28,J28,I28&amp;K28&amp;J28)</f>
        <v>24</v>
      </c>
      <c r="O28" s="1" t="s">
        <v>120</v>
      </c>
      <c r="P28" s="1">
        <f t="shared" ref="P28:P38" si="30">P27+1</f>
        <v>3</v>
      </c>
      <c r="Q28" s="1" t="str">
        <f t="shared" si="15"/>
        <v>C-3</v>
      </c>
      <c r="U28" s="1">
        <f>U27+1</f>
        <v>2</v>
      </c>
      <c r="AA28" s="75">
        <f>AB27+1</f>
        <v>4</v>
      </c>
      <c r="AB28" s="71">
        <f>AB27+T28</f>
        <v>3</v>
      </c>
      <c r="AC28" s="74" t="s">
        <v>146</v>
      </c>
      <c r="AD28" s="73" t="str">
        <f t="shared" si="21"/>
        <v>4-3</v>
      </c>
    </row>
    <row r="29" spans="1:30">
      <c r="A29" s="8" t="str">
        <f t="shared" si="24"/>
        <v>C-4</v>
      </c>
      <c r="B29" s="6" t="str">
        <f>'C-4'!A2</f>
        <v>Transmission Vegetation Management Expense</v>
      </c>
      <c r="C29" s="8">
        <v>1</v>
      </c>
      <c r="D29" s="8">
        <f t="shared" si="22"/>
        <v>25</v>
      </c>
      <c r="E29" s="1" t="s">
        <v>154</v>
      </c>
      <c r="F29" s="1" t="str">
        <f t="shared" si="23"/>
        <v>C-4, Transmission Vegetation Management Expense</v>
      </c>
      <c r="I29" s="75">
        <f>J28+1</f>
        <v>25</v>
      </c>
      <c r="J29" s="71">
        <f t="shared" si="26"/>
        <v>25</v>
      </c>
      <c r="K29" s="74" t="s">
        <v>146</v>
      </c>
      <c r="L29" s="73">
        <f>IF(I29=J29,J29,I29&amp;K29&amp;J29)</f>
        <v>25</v>
      </c>
      <c r="O29" s="1" t="s">
        <v>120</v>
      </c>
      <c r="P29" s="1">
        <f t="shared" si="30"/>
        <v>4</v>
      </c>
      <c r="Q29" s="1" t="str">
        <f t="shared" si="15"/>
        <v>C-4</v>
      </c>
      <c r="U29" s="1">
        <f t="shared" ref="U29:U38" si="31">U28+1</f>
        <v>3</v>
      </c>
      <c r="AA29" s="75">
        <f>AB28+1</f>
        <v>4</v>
      </c>
      <c r="AB29" s="71">
        <f>AB28+T29</f>
        <v>3</v>
      </c>
      <c r="AC29" s="74" t="s">
        <v>146</v>
      </c>
      <c r="AD29" s="73" t="str">
        <f t="shared" si="21"/>
        <v>4-3</v>
      </c>
    </row>
    <row r="30" spans="1:30">
      <c r="A30" s="8" t="str">
        <f t="shared" si="24"/>
        <v>C-5</v>
      </c>
      <c r="B30" s="6" t="str">
        <f>'C-5'!A2</f>
        <v>Uncollectibles Expense</v>
      </c>
      <c r="C30" s="8">
        <v>1</v>
      </c>
      <c r="D30" s="8">
        <f t="shared" si="22"/>
        <v>26</v>
      </c>
      <c r="E30" s="1" t="s">
        <v>154</v>
      </c>
      <c r="F30" s="1" t="str">
        <f t="shared" si="23"/>
        <v>C-5, Uncollectibles Expense</v>
      </c>
      <c r="I30" s="75">
        <f t="shared" ref="I30:I38" si="32">J29+1</f>
        <v>26</v>
      </c>
      <c r="J30" s="71">
        <f t="shared" si="26"/>
        <v>26</v>
      </c>
      <c r="K30" s="74" t="s">
        <v>146</v>
      </c>
      <c r="L30" s="73">
        <f t="shared" ref="L30:L38" si="33">IF(I30=J30,J30,I30&amp;K30&amp;J30)</f>
        <v>26</v>
      </c>
      <c r="O30" s="1" t="s">
        <v>120</v>
      </c>
      <c r="P30" s="1">
        <f t="shared" si="30"/>
        <v>5</v>
      </c>
      <c r="Q30" s="1" t="str">
        <f t="shared" si="15"/>
        <v>C-5</v>
      </c>
      <c r="U30" s="1">
        <f t="shared" si="31"/>
        <v>4</v>
      </c>
      <c r="W30" s="1" t="str">
        <f>A30</f>
        <v>C-5</v>
      </c>
      <c r="X30" s="1" t="str">
        <f>B30</f>
        <v>Uncollectibles Expense</v>
      </c>
      <c r="AA30" s="75"/>
      <c r="AB30" s="71"/>
      <c r="AC30" s="71"/>
      <c r="AD30" s="75"/>
    </row>
    <row r="31" spans="1:30">
      <c r="A31" s="8" t="str">
        <f t="shared" si="24"/>
        <v>C-6</v>
      </c>
      <c r="B31" s="6" t="str">
        <f>'C-6'!A2</f>
        <v>Depreciation Expense - Impacts of Slippage</v>
      </c>
      <c r="C31" s="8">
        <v>1</v>
      </c>
      <c r="D31" s="8">
        <f t="shared" si="22"/>
        <v>27</v>
      </c>
      <c r="E31" s="1" t="s">
        <v>154</v>
      </c>
      <c r="F31" s="1" t="str">
        <f t="shared" si="23"/>
        <v>C-6, Depreciation Expense - Impacts of Slippage</v>
      </c>
      <c r="I31" s="75">
        <f t="shared" si="32"/>
        <v>27</v>
      </c>
      <c r="J31" s="71">
        <f t="shared" si="26"/>
        <v>27</v>
      </c>
      <c r="K31" s="74" t="s">
        <v>146</v>
      </c>
      <c r="L31" s="73">
        <f t="shared" si="33"/>
        <v>27</v>
      </c>
      <c r="O31" s="1" t="s">
        <v>120</v>
      </c>
      <c r="P31" s="1">
        <f t="shared" si="30"/>
        <v>6</v>
      </c>
      <c r="Q31" s="1" t="str">
        <f t="shared" si="15"/>
        <v>C-6</v>
      </c>
      <c r="U31" s="1">
        <f t="shared" si="31"/>
        <v>5</v>
      </c>
      <c r="AA31" s="75"/>
      <c r="AB31" s="71"/>
      <c r="AC31" s="71"/>
      <c r="AD31" s="75"/>
    </row>
    <row r="32" spans="1:30">
      <c r="A32" s="8" t="str">
        <f t="shared" si="24"/>
        <v>C-7</v>
      </c>
      <c r="B32" s="6" t="str">
        <f>'C-7'!A2</f>
        <v>Depreciation Expense Related to Distribution Automation</v>
      </c>
      <c r="C32" s="8">
        <v>1</v>
      </c>
      <c r="D32" s="8">
        <f t="shared" si="22"/>
        <v>28</v>
      </c>
      <c r="E32" s="1" t="s">
        <v>154</v>
      </c>
      <c r="F32" s="1" t="str">
        <f>A32&amp;E32&amp;B31</f>
        <v>C-7, Depreciation Expense - Impacts of Slippage</v>
      </c>
      <c r="I32" s="75">
        <f t="shared" si="32"/>
        <v>28</v>
      </c>
      <c r="J32" s="71">
        <f t="shared" si="26"/>
        <v>28</v>
      </c>
      <c r="K32" s="74" t="s">
        <v>146</v>
      </c>
      <c r="L32" s="73">
        <f t="shared" si="33"/>
        <v>28</v>
      </c>
      <c r="O32" s="1" t="s">
        <v>120</v>
      </c>
      <c r="P32" s="1">
        <f t="shared" si="30"/>
        <v>7</v>
      </c>
      <c r="Q32" s="1" t="str">
        <f t="shared" si="15"/>
        <v>C-7</v>
      </c>
      <c r="U32" s="1">
        <f t="shared" si="31"/>
        <v>6</v>
      </c>
      <c r="AA32" s="75">
        <f>AB29+1</f>
        <v>4</v>
      </c>
      <c r="AB32" s="71">
        <f>AB29+T32</f>
        <v>3</v>
      </c>
      <c r="AC32" s="74" t="s">
        <v>146</v>
      </c>
      <c r="AD32" s="73" t="str">
        <f t="shared" ref="AD32:AD38" si="34">IF(AA32=AB32,AB32,AA32&amp;AC32&amp;AB32)</f>
        <v>4-3</v>
      </c>
    </row>
    <row r="33" spans="1:30">
      <c r="A33" s="8" t="str">
        <f t="shared" si="24"/>
        <v>C-8</v>
      </c>
      <c r="B33" s="6" t="str">
        <f>'C-8 P1'!A2</f>
        <v>Payroll and Employee Benefits Expense - Remove Vacant Positions</v>
      </c>
      <c r="C33" s="8">
        <v>3</v>
      </c>
      <c r="D33" s="8" t="str">
        <f t="shared" si="22"/>
        <v>29-31</v>
      </c>
      <c r="E33" s="1" t="s">
        <v>154</v>
      </c>
      <c r="F33" s="1" t="str">
        <f>A33&amp;E33&amp;B33</f>
        <v>C-8, Payroll and Employee Benefits Expense - Remove Vacant Positions</v>
      </c>
      <c r="I33" s="75">
        <f t="shared" si="32"/>
        <v>29</v>
      </c>
      <c r="J33" s="71">
        <f t="shared" si="26"/>
        <v>31</v>
      </c>
      <c r="K33" s="74" t="s">
        <v>146</v>
      </c>
      <c r="L33" s="73" t="str">
        <f t="shared" si="33"/>
        <v>29-31</v>
      </c>
      <c r="O33" s="1" t="s">
        <v>120</v>
      </c>
      <c r="P33" s="1">
        <f t="shared" si="30"/>
        <v>8</v>
      </c>
      <c r="Q33" s="1" t="str">
        <f t="shared" si="15"/>
        <v>C-8</v>
      </c>
      <c r="U33" s="1">
        <f>U32+1</f>
        <v>7</v>
      </c>
      <c r="AA33" s="75">
        <f>AB32+1</f>
        <v>4</v>
      </c>
      <c r="AB33" s="71">
        <f t="shared" ref="AB33:AB38" si="35">AB32+T33</f>
        <v>3</v>
      </c>
      <c r="AC33" s="74" t="s">
        <v>146</v>
      </c>
      <c r="AD33" s="73" t="str">
        <f t="shared" si="34"/>
        <v>4-3</v>
      </c>
    </row>
    <row r="34" spans="1:30">
      <c r="A34" s="8" t="str">
        <f t="shared" si="24"/>
        <v>C-9</v>
      </c>
      <c r="B34" s="6" t="str">
        <f>'C-9'!A2</f>
        <v>PPL Services Corporation Affiliate Charges to LG&amp;E</v>
      </c>
      <c r="C34" s="8">
        <v>1</v>
      </c>
      <c r="D34" s="8">
        <f t="shared" si="22"/>
        <v>32</v>
      </c>
      <c r="E34" s="1" t="s">
        <v>154</v>
      </c>
      <c r="F34" s="1" t="str">
        <f>A34&amp;E34&amp;B32</f>
        <v>C-9, Depreciation Expense Related to Distribution Automation</v>
      </c>
      <c r="I34" s="75">
        <f t="shared" si="32"/>
        <v>32</v>
      </c>
      <c r="J34" s="71">
        <f t="shared" si="26"/>
        <v>32</v>
      </c>
      <c r="K34" s="74" t="s">
        <v>146</v>
      </c>
      <c r="L34" s="73">
        <f t="shared" si="33"/>
        <v>32</v>
      </c>
      <c r="O34" s="1" t="s">
        <v>120</v>
      </c>
      <c r="P34" s="1">
        <f t="shared" si="30"/>
        <v>9</v>
      </c>
      <c r="Q34" s="1" t="str">
        <f t="shared" si="15"/>
        <v>C-9</v>
      </c>
      <c r="U34" s="1">
        <f t="shared" si="31"/>
        <v>8</v>
      </c>
      <c r="AA34" s="75">
        <f t="shared" ref="AA34:AA38" si="36">AB33+1</f>
        <v>4</v>
      </c>
      <c r="AB34" s="71">
        <f t="shared" si="35"/>
        <v>3</v>
      </c>
      <c r="AC34" s="74" t="s">
        <v>146</v>
      </c>
      <c r="AD34" s="73" t="str">
        <f t="shared" si="34"/>
        <v>4-3</v>
      </c>
    </row>
    <row r="35" spans="1:30">
      <c r="A35" s="8" t="str">
        <f t="shared" si="24"/>
        <v>C-10</v>
      </c>
      <c r="B35" s="223" t="str">
        <f>'C-10'!A2</f>
        <v>Reverse LG&amp;E Adjustment to Remove Gas Line Tracker Mechanism from Base Rates</v>
      </c>
      <c r="C35" s="8">
        <v>1</v>
      </c>
      <c r="D35" s="8">
        <f t="shared" si="22"/>
        <v>33</v>
      </c>
      <c r="E35" s="1" t="s">
        <v>154</v>
      </c>
      <c r="F35" s="1" t="str">
        <f t="shared" ref="F35:F55" si="37">A35&amp;E35&amp;B35</f>
        <v>C-10, Reverse LG&amp;E Adjustment to Remove Gas Line Tracker Mechanism from Base Rates</v>
      </c>
      <c r="I35" s="75">
        <f t="shared" si="32"/>
        <v>33</v>
      </c>
      <c r="J35" s="71">
        <f t="shared" si="26"/>
        <v>33</v>
      </c>
      <c r="K35" s="74" t="s">
        <v>146</v>
      </c>
      <c r="L35" s="73">
        <f t="shared" si="33"/>
        <v>33</v>
      </c>
      <c r="O35" s="1" t="s">
        <v>120</v>
      </c>
      <c r="P35" s="1">
        <f t="shared" si="30"/>
        <v>10</v>
      </c>
      <c r="Q35" s="1" t="str">
        <f t="shared" si="15"/>
        <v>C-10</v>
      </c>
      <c r="U35" s="1">
        <f t="shared" si="31"/>
        <v>9</v>
      </c>
      <c r="AA35" s="75">
        <f t="shared" si="36"/>
        <v>4</v>
      </c>
      <c r="AB35" s="71">
        <f t="shared" si="35"/>
        <v>3</v>
      </c>
      <c r="AC35" s="74" t="s">
        <v>146</v>
      </c>
      <c r="AD35" s="73" t="str">
        <f t="shared" si="34"/>
        <v>4-3</v>
      </c>
    </row>
    <row r="36" spans="1:30">
      <c r="A36" s="8" t="str">
        <f t="shared" si="24"/>
        <v>C-11</v>
      </c>
      <c r="B36" s="6" t="str">
        <f>'C-11 '!A2</f>
        <v>Rescheduling of Expiring Regulatory Asset Amortizations</v>
      </c>
      <c r="C36" s="8">
        <v>1</v>
      </c>
      <c r="D36" s="8">
        <f t="shared" si="22"/>
        <v>34</v>
      </c>
      <c r="E36" s="1" t="s">
        <v>154</v>
      </c>
      <c r="F36" s="1" t="str">
        <f t="shared" si="37"/>
        <v>C-11, Rescheduling of Expiring Regulatory Asset Amortizations</v>
      </c>
      <c r="I36" s="75">
        <f t="shared" si="32"/>
        <v>34</v>
      </c>
      <c r="J36" s="71">
        <f t="shared" si="26"/>
        <v>34</v>
      </c>
      <c r="K36" s="74" t="s">
        <v>146</v>
      </c>
      <c r="L36" s="73">
        <f t="shared" si="33"/>
        <v>34</v>
      </c>
      <c r="O36" s="1" t="s">
        <v>120</v>
      </c>
      <c r="P36" s="1">
        <f t="shared" si="30"/>
        <v>11</v>
      </c>
      <c r="Q36" s="1" t="str">
        <f t="shared" si="15"/>
        <v>C-11</v>
      </c>
      <c r="U36" s="1">
        <f t="shared" si="31"/>
        <v>10</v>
      </c>
      <c r="AA36" s="75">
        <f t="shared" si="36"/>
        <v>4</v>
      </c>
      <c r="AB36" s="71">
        <f t="shared" si="35"/>
        <v>3</v>
      </c>
      <c r="AC36" s="74" t="s">
        <v>146</v>
      </c>
      <c r="AD36" s="73" t="str">
        <f t="shared" si="34"/>
        <v>4-3</v>
      </c>
    </row>
    <row r="37" spans="1:30" hidden="1">
      <c r="A37" s="8"/>
      <c r="B37" s="6"/>
      <c r="C37" s="8"/>
      <c r="D37" s="8" t="str">
        <f t="shared" si="22"/>
        <v>35-34</v>
      </c>
      <c r="E37" s="1" t="s">
        <v>154</v>
      </c>
      <c r="F37" s="1" t="str">
        <f t="shared" si="37"/>
        <v xml:space="preserve">, </v>
      </c>
      <c r="I37" s="75">
        <f t="shared" si="32"/>
        <v>35</v>
      </c>
      <c r="J37" s="71">
        <f t="shared" si="26"/>
        <v>34</v>
      </c>
      <c r="K37" s="74" t="s">
        <v>146</v>
      </c>
      <c r="L37" s="73" t="str">
        <f t="shared" si="33"/>
        <v>35-34</v>
      </c>
      <c r="O37" s="1" t="s">
        <v>120</v>
      </c>
      <c r="P37" s="1">
        <f t="shared" si="30"/>
        <v>12</v>
      </c>
      <c r="Q37" s="1" t="str">
        <f t="shared" si="15"/>
        <v>C-12</v>
      </c>
      <c r="U37" s="1">
        <f t="shared" si="31"/>
        <v>11</v>
      </c>
      <c r="AA37" s="75">
        <f t="shared" si="36"/>
        <v>4</v>
      </c>
      <c r="AB37" s="71">
        <f t="shared" si="35"/>
        <v>3</v>
      </c>
      <c r="AC37" s="74" t="s">
        <v>146</v>
      </c>
      <c r="AD37" s="73" t="str">
        <f t="shared" si="34"/>
        <v>4-3</v>
      </c>
    </row>
    <row r="38" spans="1:30">
      <c r="A38" s="8"/>
      <c r="B38" s="6"/>
      <c r="C38" s="8"/>
      <c r="D38" s="8"/>
      <c r="E38" s="1" t="s">
        <v>154</v>
      </c>
      <c r="F38" s="1" t="str">
        <f t="shared" si="37"/>
        <v xml:space="preserve">, </v>
      </c>
      <c r="I38" s="75">
        <f t="shared" si="32"/>
        <v>35</v>
      </c>
      <c r="J38" s="71">
        <f t="shared" si="26"/>
        <v>34</v>
      </c>
      <c r="K38" s="74" t="s">
        <v>146</v>
      </c>
      <c r="L38" s="73" t="str">
        <f t="shared" si="33"/>
        <v>35-34</v>
      </c>
      <c r="O38" s="1" t="s">
        <v>120</v>
      </c>
      <c r="P38" s="1">
        <f t="shared" si="30"/>
        <v>13</v>
      </c>
      <c r="Q38" s="1" t="str">
        <f t="shared" si="15"/>
        <v>C-13</v>
      </c>
      <c r="U38" s="1">
        <f t="shared" si="31"/>
        <v>12</v>
      </c>
      <c r="AA38" s="75">
        <f t="shared" si="36"/>
        <v>4</v>
      </c>
      <c r="AB38" s="71">
        <f t="shared" si="35"/>
        <v>3</v>
      </c>
      <c r="AC38" s="74" t="s">
        <v>146</v>
      </c>
      <c r="AD38" s="73" t="str">
        <f t="shared" si="34"/>
        <v>4-3</v>
      </c>
    </row>
    <row r="39" spans="1:30" hidden="1">
      <c r="A39" s="8" t="e">
        <f t="shared" si="24"/>
        <v>#REF!</v>
      </c>
      <c r="B39" s="6"/>
      <c r="C39" s="8"/>
      <c r="D39" s="8" t="e">
        <f t="shared" ref="D39:D42" si="38">L39</f>
        <v>#REF!</v>
      </c>
      <c r="E39" s="1" t="s">
        <v>154</v>
      </c>
      <c r="F39" s="1" t="e">
        <f t="shared" si="37"/>
        <v>#REF!</v>
      </c>
      <c r="I39" s="75" t="e">
        <f>#REF!+1</f>
        <v>#REF!</v>
      </c>
      <c r="J39" s="71" t="e">
        <f>#REF!+C39</f>
        <v>#REF!</v>
      </c>
      <c r="K39" s="74" t="s">
        <v>146</v>
      </c>
      <c r="L39" s="73" t="e">
        <f t="shared" ref="L39:L42" si="39">IF(I39=J39,J39,I39&amp;K39&amp;J39)</f>
        <v>#REF!</v>
      </c>
      <c r="O39" s="1" t="s">
        <v>120</v>
      </c>
      <c r="P39" s="1" t="e">
        <f>#REF!+1</f>
        <v>#REF!</v>
      </c>
      <c r="Q39" s="1" t="e">
        <f t="shared" ref="Q39:Q57" si="40">O39&amp;P39</f>
        <v>#REF!</v>
      </c>
      <c r="AA39" s="75"/>
      <c r="AB39" s="71"/>
      <c r="AC39" s="74"/>
      <c r="AD39" s="73"/>
    </row>
    <row r="40" spans="1:30" hidden="1">
      <c r="A40" s="8" t="e">
        <f t="shared" si="24"/>
        <v>#REF!</v>
      </c>
      <c r="B40" s="6"/>
      <c r="C40" s="8"/>
      <c r="D40" s="8" t="e">
        <f t="shared" si="38"/>
        <v>#REF!</v>
      </c>
      <c r="E40" s="1" t="s">
        <v>154</v>
      </c>
      <c r="F40" s="1" t="e">
        <f t="shared" si="37"/>
        <v>#REF!</v>
      </c>
      <c r="I40" s="75" t="e">
        <f t="shared" ref="I40:I42" si="41">J39+1</f>
        <v>#REF!</v>
      </c>
      <c r="J40" s="71" t="e">
        <f t="shared" si="26"/>
        <v>#REF!</v>
      </c>
      <c r="K40" s="74" t="s">
        <v>146</v>
      </c>
      <c r="L40" s="73" t="e">
        <f t="shared" si="39"/>
        <v>#REF!</v>
      </c>
      <c r="O40" s="1" t="s">
        <v>120</v>
      </c>
      <c r="P40" s="1" t="e">
        <f t="shared" ref="P40:P55" si="42">P39+1</f>
        <v>#REF!</v>
      </c>
      <c r="Q40" s="1" t="e">
        <f t="shared" si="40"/>
        <v>#REF!</v>
      </c>
      <c r="AA40" s="75"/>
      <c r="AB40" s="71"/>
      <c r="AC40" s="74"/>
      <c r="AD40" s="73"/>
    </row>
    <row r="41" spans="1:30" hidden="1">
      <c r="A41" s="8" t="e">
        <f t="shared" si="24"/>
        <v>#REF!</v>
      </c>
      <c r="B41" s="6"/>
      <c r="C41" s="8"/>
      <c r="D41" s="8" t="e">
        <f t="shared" si="38"/>
        <v>#REF!</v>
      </c>
      <c r="E41" s="1" t="s">
        <v>154</v>
      </c>
      <c r="F41" s="1" t="e">
        <f t="shared" si="37"/>
        <v>#REF!</v>
      </c>
      <c r="I41" s="75" t="e">
        <f t="shared" si="41"/>
        <v>#REF!</v>
      </c>
      <c r="J41" s="71" t="e">
        <f t="shared" si="26"/>
        <v>#REF!</v>
      </c>
      <c r="K41" s="74" t="s">
        <v>146</v>
      </c>
      <c r="L41" s="73" t="e">
        <f t="shared" si="39"/>
        <v>#REF!</v>
      </c>
      <c r="O41" s="1" t="s">
        <v>120</v>
      </c>
      <c r="P41" s="1" t="e">
        <f t="shared" si="42"/>
        <v>#REF!</v>
      </c>
      <c r="Q41" s="1" t="e">
        <f t="shared" si="40"/>
        <v>#REF!</v>
      </c>
      <c r="AA41" s="75"/>
      <c r="AB41" s="71"/>
      <c r="AC41" s="74"/>
      <c r="AD41" s="73"/>
    </row>
    <row r="42" spans="1:30" hidden="1">
      <c r="A42" s="8" t="e">
        <f t="shared" si="24"/>
        <v>#REF!</v>
      </c>
      <c r="B42" s="6"/>
      <c r="C42" s="8"/>
      <c r="D42" s="8" t="e">
        <f t="shared" si="38"/>
        <v>#REF!</v>
      </c>
      <c r="E42" s="1" t="s">
        <v>154</v>
      </c>
      <c r="F42" s="1" t="e">
        <f t="shared" si="37"/>
        <v>#REF!</v>
      </c>
      <c r="I42" s="75" t="e">
        <f t="shared" si="41"/>
        <v>#REF!</v>
      </c>
      <c r="J42" s="71" t="e">
        <f t="shared" si="26"/>
        <v>#REF!</v>
      </c>
      <c r="K42" s="74" t="s">
        <v>146</v>
      </c>
      <c r="L42" s="73" t="e">
        <f t="shared" si="39"/>
        <v>#REF!</v>
      </c>
      <c r="O42" s="1" t="s">
        <v>120</v>
      </c>
      <c r="P42" s="1" t="e">
        <f t="shared" si="42"/>
        <v>#REF!</v>
      </c>
      <c r="Q42" s="1" t="e">
        <f t="shared" si="40"/>
        <v>#REF!</v>
      </c>
      <c r="AA42" s="75"/>
      <c r="AB42" s="71"/>
      <c r="AC42" s="74"/>
      <c r="AD42" s="73"/>
    </row>
    <row r="43" spans="1:30" hidden="1">
      <c r="A43" s="8" t="e">
        <f t="shared" si="24"/>
        <v>#REF!</v>
      </c>
      <c r="B43" s="6"/>
      <c r="C43" s="8"/>
      <c r="D43" s="8" t="e">
        <f t="shared" ref="D43:D55" si="43">L43</f>
        <v>#REF!</v>
      </c>
      <c r="E43" s="1" t="s">
        <v>154</v>
      </c>
      <c r="F43" s="1" t="e">
        <f t="shared" si="37"/>
        <v>#REF!</v>
      </c>
      <c r="I43" s="75" t="e">
        <f t="shared" ref="I43" si="44">J42+1</f>
        <v>#REF!</v>
      </c>
      <c r="J43" s="71" t="e">
        <f t="shared" si="26"/>
        <v>#REF!</v>
      </c>
      <c r="K43" s="74" t="s">
        <v>146</v>
      </c>
      <c r="L43" s="73" t="e">
        <f t="shared" ref="L43:L52" si="45">IF(I43=J43,J43,I43&amp;K43&amp;J43)</f>
        <v>#REF!</v>
      </c>
      <c r="O43" s="1" t="s">
        <v>120</v>
      </c>
      <c r="P43" s="1" t="e">
        <f t="shared" si="42"/>
        <v>#REF!</v>
      </c>
      <c r="Q43" s="1" t="e">
        <f t="shared" ref="Q43:Q53" si="46">O43&amp;P43</f>
        <v>#REF!</v>
      </c>
      <c r="AA43" s="75"/>
      <c r="AB43" s="71"/>
      <c r="AC43" s="74"/>
      <c r="AD43" s="73"/>
    </row>
    <row r="44" spans="1:30" hidden="1">
      <c r="A44" s="8" t="str">
        <f t="shared" si="24"/>
        <v>C-23.1</v>
      </c>
      <c r="B44" s="6"/>
      <c r="C44" s="8"/>
      <c r="D44" s="8" t="e">
        <f t="shared" si="43"/>
        <v>#REF!</v>
      </c>
      <c r="E44" s="1" t="s">
        <v>154</v>
      </c>
      <c r="F44" s="1" t="str">
        <f t="shared" si="37"/>
        <v xml:space="preserve">C-23.1, </v>
      </c>
      <c r="I44" s="75" t="e">
        <f t="shared" ref="I44:I51" si="47">J43+1</f>
        <v>#REF!</v>
      </c>
      <c r="J44" s="71" t="e">
        <f t="shared" si="26"/>
        <v>#REF!</v>
      </c>
      <c r="K44" s="74" t="s">
        <v>146</v>
      </c>
      <c r="L44" s="73" t="e">
        <f t="shared" ref="L44:L51" si="48">IF(I44=J44,J44,I44&amp;K44&amp;J44)</f>
        <v>#REF!</v>
      </c>
      <c r="O44" s="1" t="s">
        <v>120</v>
      </c>
      <c r="P44" s="1">
        <f>U44</f>
        <v>23.1</v>
      </c>
      <c r="Q44" s="1" t="str">
        <f t="shared" ref="Q44:Q51" si="49">O44&amp;P44</f>
        <v>C-23.1</v>
      </c>
      <c r="U44" s="1">
        <v>23.1</v>
      </c>
      <c r="AA44" s="75"/>
      <c r="AB44" s="71"/>
      <c r="AC44" s="74"/>
      <c r="AD44" s="73"/>
    </row>
    <row r="45" spans="1:30" hidden="1">
      <c r="A45" s="8" t="str">
        <f t="shared" si="24"/>
        <v>C-23.2</v>
      </c>
      <c r="B45" s="6"/>
      <c r="C45" s="8"/>
      <c r="D45" s="8" t="e">
        <f t="shared" si="43"/>
        <v>#REF!</v>
      </c>
      <c r="E45" s="1" t="s">
        <v>154</v>
      </c>
      <c r="F45" s="1" t="str">
        <f t="shared" si="37"/>
        <v xml:space="preserve">C-23.2, </v>
      </c>
      <c r="I45" s="75" t="e">
        <f t="shared" si="47"/>
        <v>#REF!</v>
      </c>
      <c r="J45" s="71" t="e">
        <f t="shared" si="26"/>
        <v>#REF!</v>
      </c>
      <c r="K45" s="74" t="s">
        <v>146</v>
      </c>
      <c r="L45" s="73" t="e">
        <f t="shared" si="48"/>
        <v>#REF!</v>
      </c>
      <c r="O45" s="1" t="s">
        <v>120</v>
      </c>
      <c r="P45" s="1">
        <f t="shared" ref="P45:P51" si="50">U45</f>
        <v>23.200000000000003</v>
      </c>
      <c r="Q45" s="1" t="str">
        <f t="shared" si="49"/>
        <v>C-23.2</v>
      </c>
      <c r="U45" s="1">
        <f>U44+0.1</f>
        <v>23.200000000000003</v>
      </c>
      <c r="AA45" s="75"/>
      <c r="AB45" s="71"/>
      <c r="AC45" s="74"/>
      <c r="AD45" s="73"/>
    </row>
    <row r="46" spans="1:30" hidden="1">
      <c r="A46" s="8" t="str">
        <f t="shared" si="24"/>
        <v>C-23.3</v>
      </c>
      <c r="B46" s="6"/>
      <c r="C46" s="8"/>
      <c r="D46" s="8" t="e">
        <f t="shared" si="43"/>
        <v>#REF!</v>
      </c>
      <c r="E46" s="1" t="s">
        <v>154</v>
      </c>
      <c r="F46" s="1" t="str">
        <f t="shared" si="37"/>
        <v xml:space="preserve">C-23.3, </v>
      </c>
      <c r="I46" s="75" t="e">
        <f t="shared" si="47"/>
        <v>#REF!</v>
      </c>
      <c r="J46" s="71" t="e">
        <f t="shared" si="26"/>
        <v>#REF!</v>
      </c>
      <c r="K46" s="74" t="s">
        <v>146</v>
      </c>
      <c r="L46" s="73" t="e">
        <f t="shared" si="48"/>
        <v>#REF!</v>
      </c>
      <c r="O46" s="1" t="s">
        <v>120</v>
      </c>
      <c r="P46" s="1">
        <f t="shared" si="50"/>
        <v>23.300000000000004</v>
      </c>
      <c r="Q46" s="1" t="str">
        <f t="shared" si="49"/>
        <v>C-23.3</v>
      </c>
      <c r="U46" s="1">
        <f t="shared" ref="U46:U51" si="51">U45+0.1</f>
        <v>23.300000000000004</v>
      </c>
      <c r="AA46" s="75"/>
      <c r="AB46" s="71"/>
      <c r="AC46" s="74"/>
      <c r="AD46" s="73"/>
    </row>
    <row r="47" spans="1:30" hidden="1">
      <c r="A47" s="8" t="str">
        <f t="shared" si="24"/>
        <v>C-23.4</v>
      </c>
      <c r="B47" s="6"/>
      <c r="C47" s="8"/>
      <c r="D47" s="8" t="e">
        <f t="shared" si="43"/>
        <v>#REF!</v>
      </c>
      <c r="E47" s="1" t="s">
        <v>154</v>
      </c>
      <c r="F47" s="1" t="str">
        <f t="shared" si="37"/>
        <v xml:space="preserve">C-23.4, </v>
      </c>
      <c r="I47" s="75" t="e">
        <f t="shared" si="47"/>
        <v>#REF!</v>
      </c>
      <c r="J47" s="71" t="e">
        <f t="shared" si="26"/>
        <v>#REF!</v>
      </c>
      <c r="K47" s="74" t="s">
        <v>146</v>
      </c>
      <c r="L47" s="73" t="e">
        <f t="shared" si="48"/>
        <v>#REF!</v>
      </c>
      <c r="O47" s="1" t="s">
        <v>120</v>
      </c>
      <c r="P47" s="1">
        <f t="shared" si="50"/>
        <v>23.400000000000006</v>
      </c>
      <c r="Q47" s="1" t="str">
        <f t="shared" si="49"/>
        <v>C-23.4</v>
      </c>
      <c r="U47" s="1">
        <f t="shared" si="51"/>
        <v>23.400000000000006</v>
      </c>
      <c r="AA47" s="75"/>
      <c r="AB47" s="71"/>
      <c r="AC47" s="74"/>
      <c r="AD47" s="73"/>
    </row>
    <row r="48" spans="1:30" hidden="1">
      <c r="A48" s="8" t="str">
        <f t="shared" si="24"/>
        <v>C-23.5</v>
      </c>
      <c r="B48" s="6"/>
      <c r="C48" s="8"/>
      <c r="D48" s="8" t="e">
        <f t="shared" si="43"/>
        <v>#REF!</v>
      </c>
      <c r="E48" s="1" t="s">
        <v>154</v>
      </c>
      <c r="F48" s="1" t="str">
        <f t="shared" si="37"/>
        <v xml:space="preserve">C-23.5, </v>
      </c>
      <c r="I48" s="75" t="e">
        <f t="shared" si="47"/>
        <v>#REF!</v>
      </c>
      <c r="J48" s="71" t="e">
        <f t="shared" si="26"/>
        <v>#REF!</v>
      </c>
      <c r="K48" s="74" t="s">
        <v>146</v>
      </c>
      <c r="L48" s="73" t="e">
        <f t="shared" si="48"/>
        <v>#REF!</v>
      </c>
      <c r="O48" s="1" t="s">
        <v>120</v>
      </c>
      <c r="P48" s="1">
        <f t="shared" si="50"/>
        <v>23.500000000000007</v>
      </c>
      <c r="Q48" s="1" t="str">
        <f t="shared" si="49"/>
        <v>C-23.5</v>
      </c>
      <c r="U48" s="1">
        <f t="shared" si="51"/>
        <v>23.500000000000007</v>
      </c>
      <c r="AA48" s="75"/>
      <c r="AB48" s="71"/>
      <c r="AC48" s="74"/>
      <c r="AD48" s="73"/>
    </row>
    <row r="49" spans="1:30" hidden="1">
      <c r="A49" s="8" t="str">
        <f t="shared" si="24"/>
        <v>C-23.6</v>
      </c>
      <c r="B49" s="6"/>
      <c r="C49" s="8"/>
      <c r="D49" s="8" t="e">
        <f t="shared" si="43"/>
        <v>#REF!</v>
      </c>
      <c r="E49" s="1" t="s">
        <v>154</v>
      </c>
      <c r="F49" s="1" t="str">
        <f t="shared" si="37"/>
        <v xml:space="preserve">C-23.6, </v>
      </c>
      <c r="I49" s="75" t="e">
        <f t="shared" si="47"/>
        <v>#REF!</v>
      </c>
      <c r="J49" s="71" t="e">
        <f t="shared" si="26"/>
        <v>#REF!</v>
      </c>
      <c r="K49" s="74" t="s">
        <v>146</v>
      </c>
      <c r="L49" s="73" t="e">
        <f t="shared" si="48"/>
        <v>#REF!</v>
      </c>
      <c r="O49" s="1" t="s">
        <v>120</v>
      </c>
      <c r="P49" s="1">
        <f t="shared" si="50"/>
        <v>23.600000000000009</v>
      </c>
      <c r="Q49" s="1" t="str">
        <f t="shared" si="49"/>
        <v>C-23.6</v>
      </c>
      <c r="U49" s="1">
        <f t="shared" si="51"/>
        <v>23.600000000000009</v>
      </c>
      <c r="AA49" s="75"/>
      <c r="AB49" s="71"/>
      <c r="AC49" s="74"/>
      <c r="AD49" s="73"/>
    </row>
    <row r="50" spans="1:30" hidden="1">
      <c r="A50" s="8" t="str">
        <f t="shared" si="24"/>
        <v>C-23.7</v>
      </c>
      <c r="B50" s="6"/>
      <c r="C50" s="8"/>
      <c r="D50" s="8" t="e">
        <f t="shared" si="43"/>
        <v>#REF!</v>
      </c>
      <c r="E50" s="1" t="s">
        <v>154</v>
      </c>
      <c r="F50" s="1" t="str">
        <f t="shared" si="37"/>
        <v xml:space="preserve">C-23.7, </v>
      </c>
      <c r="I50" s="75" t="e">
        <f t="shared" si="47"/>
        <v>#REF!</v>
      </c>
      <c r="J50" s="71" t="e">
        <f t="shared" si="26"/>
        <v>#REF!</v>
      </c>
      <c r="K50" s="74" t="s">
        <v>146</v>
      </c>
      <c r="L50" s="73" t="e">
        <f t="shared" si="48"/>
        <v>#REF!</v>
      </c>
      <c r="O50" s="1" t="s">
        <v>120</v>
      </c>
      <c r="P50" s="1">
        <f t="shared" si="50"/>
        <v>23.70000000000001</v>
      </c>
      <c r="Q50" s="1" t="str">
        <f t="shared" si="49"/>
        <v>C-23.7</v>
      </c>
      <c r="U50" s="1">
        <f t="shared" si="51"/>
        <v>23.70000000000001</v>
      </c>
      <c r="AA50" s="75"/>
      <c r="AB50" s="71"/>
      <c r="AC50" s="74"/>
      <c r="AD50" s="73"/>
    </row>
    <row r="51" spans="1:30" hidden="1">
      <c r="A51" s="8" t="str">
        <f t="shared" si="24"/>
        <v>C-23.8</v>
      </c>
      <c r="B51" s="6"/>
      <c r="C51" s="8"/>
      <c r="D51" s="8" t="e">
        <f t="shared" si="43"/>
        <v>#REF!</v>
      </c>
      <c r="E51" s="1" t="s">
        <v>154</v>
      </c>
      <c r="F51" s="1" t="str">
        <f t="shared" si="37"/>
        <v xml:space="preserve">C-23.8, </v>
      </c>
      <c r="I51" s="75" t="e">
        <f t="shared" si="47"/>
        <v>#REF!</v>
      </c>
      <c r="J51" s="71" t="e">
        <f t="shared" si="26"/>
        <v>#REF!</v>
      </c>
      <c r="K51" s="74" t="s">
        <v>146</v>
      </c>
      <c r="L51" s="73" t="e">
        <f t="shared" si="48"/>
        <v>#REF!</v>
      </c>
      <c r="O51" s="1" t="s">
        <v>120</v>
      </c>
      <c r="P51" s="1">
        <f t="shared" si="50"/>
        <v>23.800000000000011</v>
      </c>
      <c r="Q51" s="1" t="str">
        <f t="shared" si="49"/>
        <v>C-23.8</v>
      </c>
      <c r="U51" s="1">
        <f t="shared" si="51"/>
        <v>23.800000000000011</v>
      </c>
      <c r="AA51" s="75"/>
      <c r="AB51" s="71"/>
      <c r="AC51" s="74"/>
      <c r="AD51" s="73"/>
    </row>
    <row r="52" spans="1:30" hidden="1">
      <c r="A52" s="8" t="e">
        <f t="shared" si="24"/>
        <v>#REF!</v>
      </c>
      <c r="B52" s="6"/>
      <c r="C52" s="8"/>
      <c r="D52" s="8" t="e">
        <f t="shared" si="43"/>
        <v>#REF!</v>
      </c>
      <c r="E52" s="1" t="s">
        <v>154</v>
      </c>
      <c r="F52" s="1" t="e">
        <f t="shared" si="37"/>
        <v>#REF!</v>
      </c>
      <c r="I52" s="75" t="e">
        <f>J51+1</f>
        <v>#REF!</v>
      </c>
      <c r="J52" s="71" t="e">
        <f t="shared" si="26"/>
        <v>#REF!</v>
      </c>
      <c r="K52" s="74" t="s">
        <v>146</v>
      </c>
      <c r="L52" s="73" t="e">
        <f t="shared" si="45"/>
        <v>#REF!</v>
      </c>
      <c r="O52" s="1" t="s">
        <v>120</v>
      </c>
      <c r="P52" s="1" t="e">
        <f>P43+1</f>
        <v>#REF!</v>
      </c>
      <c r="Q52" s="1" t="e">
        <f t="shared" si="46"/>
        <v>#REF!</v>
      </c>
      <c r="AA52" s="75"/>
      <c r="AB52" s="71"/>
      <c r="AC52" s="74"/>
      <c r="AD52" s="73"/>
    </row>
    <row r="53" spans="1:30" hidden="1">
      <c r="A53" s="8" t="e">
        <f t="shared" si="24"/>
        <v>#REF!</v>
      </c>
      <c r="B53" s="6"/>
      <c r="C53" s="8"/>
      <c r="D53" s="8" t="e">
        <f t="shared" si="43"/>
        <v>#REF!</v>
      </c>
      <c r="E53" s="1" t="s">
        <v>154</v>
      </c>
      <c r="F53" s="1" t="e">
        <f t="shared" si="37"/>
        <v>#REF!</v>
      </c>
      <c r="I53" s="75" t="e">
        <f t="shared" ref="I53:I55" si="52">J52+1</f>
        <v>#REF!</v>
      </c>
      <c r="J53" s="71" t="e">
        <f t="shared" si="26"/>
        <v>#REF!</v>
      </c>
      <c r="K53" s="74" t="s">
        <v>146</v>
      </c>
      <c r="L53" s="73" t="e">
        <f t="shared" ref="L53" si="53">IF(I53=J53,J53,I53&amp;K53&amp;J53)</f>
        <v>#REF!</v>
      </c>
      <c r="O53" s="1" t="s">
        <v>120</v>
      </c>
      <c r="P53" s="1" t="e">
        <f t="shared" si="42"/>
        <v>#REF!</v>
      </c>
      <c r="Q53" s="1" t="e">
        <f t="shared" si="46"/>
        <v>#REF!</v>
      </c>
      <c r="AA53" s="75"/>
      <c r="AB53" s="71"/>
      <c r="AC53" s="74"/>
      <c r="AD53" s="73"/>
    </row>
    <row r="54" spans="1:30" hidden="1">
      <c r="A54" s="8" t="e">
        <f t="shared" si="24"/>
        <v>#REF!</v>
      </c>
      <c r="B54" s="6"/>
      <c r="C54" s="8"/>
      <c r="D54" s="8" t="e">
        <f t="shared" si="43"/>
        <v>#REF!</v>
      </c>
      <c r="E54" s="1" t="s">
        <v>154</v>
      </c>
      <c r="F54" s="1" t="e">
        <f t="shared" si="37"/>
        <v>#REF!</v>
      </c>
      <c r="I54" s="75" t="e">
        <f t="shared" si="52"/>
        <v>#REF!</v>
      </c>
      <c r="J54" s="71" t="e">
        <f t="shared" si="26"/>
        <v>#REF!</v>
      </c>
      <c r="K54" s="74" t="s">
        <v>146</v>
      </c>
      <c r="L54" s="73" t="e">
        <f t="shared" ref="L54:L55" si="54">IF(I54=J54,J54,I54&amp;K54&amp;J54)</f>
        <v>#REF!</v>
      </c>
      <c r="O54" s="1" t="s">
        <v>120</v>
      </c>
      <c r="P54" s="1" t="e">
        <f t="shared" si="42"/>
        <v>#REF!</v>
      </c>
      <c r="Q54" s="1" t="e">
        <f t="shared" ref="Q54:Q55" si="55">O54&amp;P54</f>
        <v>#REF!</v>
      </c>
      <c r="AA54" s="75"/>
      <c r="AB54" s="71"/>
      <c r="AC54" s="74"/>
      <c r="AD54" s="73"/>
    </row>
    <row r="55" spans="1:30" hidden="1">
      <c r="A55" s="8" t="e">
        <f t="shared" si="24"/>
        <v>#REF!</v>
      </c>
      <c r="B55" s="6"/>
      <c r="C55" s="8"/>
      <c r="D55" s="8" t="e">
        <f t="shared" si="43"/>
        <v>#REF!</v>
      </c>
      <c r="E55" s="1" t="s">
        <v>154</v>
      </c>
      <c r="F55" s="1" t="e">
        <f t="shared" si="37"/>
        <v>#REF!</v>
      </c>
      <c r="I55" s="75" t="e">
        <f t="shared" si="52"/>
        <v>#REF!</v>
      </c>
      <c r="J55" s="71" t="e">
        <f t="shared" si="26"/>
        <v>#REF!</v>
      </c>
      <c r="K55" s="74" t="s">
        <v>146</v>
      </c>
      <c r="L55" s="73" t="e">
        <f t="shared" si="54"/>
        <v>#REF!</v>
      </c>
      <c r="O55" s="1" t="s">
        <v>120</v>
      </c>
      <c r="P55" s="1" t="e">
        <f t="shared" si="42"/>
        <v>#REF!</v>
      </c>
      <c r="Q55" s="1" t="e">
        <f t="shared" si="55"/>
        <v>#REF!</v>
      </c>
      <c r="AA55" s="75"/>
      <c r="AB55" s="71"/>
      <c r="AC55" s="74"/>
      <c r="AD55" s="73"/>
    </row>
    <row r="56" spans="1:30">
      <c r="A56" s="8"/>
      <c r="B56" s="6"/>
      <c r="C56" s="8"/>
      <c r="D56" s="8"/>
      <c r="I56" s="75"/>
      <c r="J56" s="71"/>
      <c r="K56" s="74"/>
      <c r="L56" s="73"/>
      <c r="AA56" s="75"/>
      <c r="AB56" s="71"/>
      <c r="AC56" s="74"/>
      <c r="AD56" s="73"/>
    </row>
    <row r="57" spans="1:30">
      <c r="A57" s="6"/>
      <c r="B57" s="9" t="s">
        <v>141</v>
      </c>
      <c r="C57" s="8">
        <f>SUM(C8:C55)+1</f>
        <v>34</v>
      </c>
      <c r="D57" s="6"/>
      <c r="I57" s="75"/>
      <c r="J57" s="71"/>
      <c r="K57" s="74"/>
      <c r="L57" s="73"/>
      <c r="O57" s="1" t="s">
        <v>120</v>
      </c>
      <c r="P57" s="1" t="e">
        <f>P55+1</f>
        <v>#REF!</v>
      </c>
      <c r="Q57" s="1" t="e">
        <f t="shared" si="40"/>
        <v>#REF!</v>
      </c>
      <c r="AA57" s="75" t="e">
        <f>#REF!+1</f>
        <v>#REF!</v>
      </c>
      <c r="AB57" s="71" t="e">
        <f>#REF!+T57</f>
        <v>#REF!</v>
      </c>
      <c r="AC57" s="74" t="s">
        <v>146</v>
      </c>
      <c r="AD57" s="73" t="e">
        <f t="shared" ref="AD57:AD73" si="56">IF(AA57=AB57,AB57,AA57&amp;AC57&amp;AB57)</f>
        <v>#REF!</v>
      </c>
    </row>
    <row r="58" spans="1:30">
      <c r="I58" s="75"/>
      <c r="J58" s="71"/>
      <c r="K58" s="74"/>
      <c r="L58" s="73"/>
      <c r="AA58" s="75" t="e">
        <f>#REF!+1</f>
        <v>#REF!</v>
      </c>
      <c r="AB58" s="71" t="e">
        <f>#REF!+T58</f>
        <v>#REF!</v>
      </c>
      <c r="AC58" s="74" t="s">
        <v>146</v>
      </c>
      <c r="AD58" s="73" t="e">
        <f t="shared" si="56"/>
        <v>#REF!</v>
      </c>
    </row>
    <row r="59" spans="1:30">
      <c r="D59" s="1" t="s">
        <v>89</v>
      </c>
      <c r="I59" s="75"/>
      <c r="J59" s="71"/>
      <c r="K59" s="74"/>
      <c r="L59" s="73"/>
      <c r="AA59" s="75" t="e">
        <f t="shared" ref="AA59:AA73" si="57">AB58+1</f>
        <v>#REF!</v>
      </c>
      <c r="AB59" s="71" t="e">
        <f t="shared" ref="AB59:AB73" si="58">AB58+T59</f>
        <v>#REF!</v>
      </c>
      <c r="AC59" s="74" t="s">
        <v>146</v>
      </c>
      <c r="AD59" s="73" t="e">
        <f t="shared" si="56"/>
        <v>#REF!</v>
      </c>
    </row>
    <row r="60" spans="1:30">
      <c r="I60" s="75"/>
      <c r="J60" s="71"/>
      <c r="K60" s="74"/>
      <c r="L60" s="73"/>
      <c r="AA60" s="75" t="e">
        <f t="shared" si="57"/>
        <v>#REF!</v>
      </c>
      <c r="AB60" s="71" t="e">
        <f t="shared" si="58"/>
        <v>#REF!</v>
      </c>
      <c r="AC60" s="74" t="s">
        <v>146</v>
      </c>
      <c r="AD60" s="73" t="e">
        <f t="shared" si="56"/>
        <v>#REF!</v>
      </c>
    </row>
    <row r="61" spans="1:30">
      <c r="I61" s="75"/>
      <c r="J61" s="71"/>
      <c r="K61" s="74"/>
      <c r="L61" s="73"/>
      <c r="AA61" s="75" t="e">
        <f t="shared" si="57"/>
        <v>#REF!</v>
      </c>
      <c r="AB61" s="71" t="e">
        <f t="shared" si="58"/>
        <v>#REF!</v>
      </c>
      <c r="AC61" s="74" t="s">
        <v>146</v>
      </c>
      <c r="AD61" s="73" t="e">
        <f t="shared" si="56"/>
        <v>#REF!</v>
      </c>
    </row>
    <row r="62" spans="1:30">
      <c r="I62" s="75"/>
      <c r="J62" s="71"/>
      <c r="K62" s="74"/>
      <c r="L62" s="73"/>
      <c r="AA62" s="75" t="e">
        <f t="shared" si="57"/>
        <v>#REF!</v>
      </c>
      <c r="AB62" s="71" t="e">
        <f t="shared" si="58"/>
        <v>#REF!</v>
      </c>
      <c r="AC62" s="74" t="s">
        <v>146</v>
      </c>
      <c r="AD62" s="73" t="e">
        <f t="shared" si="56"/>
        <v>#REF!</v>
      </c>
    </row>
    <row r="63" spans="1:30">
      <c r="I63" s="75"/>
      <c r="J63" s="71"/>
      <c r="K63" s="74"/>
      <c r="L63" s="73"/>
      <c r="AA63" s="75" t="e">
        <f t="shared" si="57"/>
        <v>#REF!</v>
      </c>
      <c r="AB63" s="71" t="e">
        <f t="shared" si="58"/>
        <v>#REF!</v>
      </c>
      <c r="AC63" s="74" t="s">
        <v>146</v>
      </c>
      <c r="AD63" s="73" t="e">
        <f t="shared" si="56"/>
        <v>#REF!</v>
      </c>
    </row>
    <row r="64" spans="1:30">
      <c r="I64" s="75"/>
      <c r="J64" s="71"/>
      <c r="K64" s="74"/>
      <c r="L64" s="73"/>
      <c r="AA64" s="75" t="e">
        <f t="shared" si="57"/>
        <v>#REF!</v>
      </c>
      <c r="AB64" s="71" t="e">
        <f t="shared" si="58"/>
        <v>#REF!</v>
      </c>
      <c r="AC64" s="74" t="s">
        <v>146</v>
      </c>
      <c r="AD64" s="73" t="e">
        <f t="shared" si="56"/>
        <v>#REF!</v>
      </c>
    </row>
    <row r="65" spans="9:30">
      <c r="I65" s="75"/>
      <c r="J65" s="71"/>
      <c r="K65" s="74"/>
      <c r="L65" s="73"/>
      <c r="AA65" s="75" t="e">
        <f t="shared" si="57"/>
        <v>#REF!</v>
      </c>
      <c r="AB65" s="71" t="e">
        <f t="shared" si="58"/>
        <v>#REF!</v>
      </c>
      <c r="AC65" s="74" t="s">
        <v>146</v>
      </c>
      <c r="AD65" s="73" t="e">
        <f t="shared" si="56"/>
        <v>#REF!</v>
      </c>
    </row>
    <row r="66" spans="9:30">
      <c r="I66" s="75"/>
      <c r="J66" s="71"/>
      <c r="K66" s="74"/>
      <c r="L66" s="73"/>
      <c r="AA66" s="75" t="e">
        <f t="shared" si="57"/>
        <v>#REF!</v>
      </c>
      <c r="AB66" s="71" t="e">
        <f t="shared" si="58"/>
        <v>#REF!</v>
      </c>
      <c r="AC66" s="74" t="s">
        <v>146</v>
      </c>
      <c r="AD66" s="73" t="e">
        <f t="shared" si="56"/>
        <v>#REF!</v>
      </c>
    </row>
    <row r="67" spans="9:30">
      <c r="I67" s="75"/>
      <c r="J67" s="71"/>
      <c r="K67" s="74"/>
      <c r="L67" s="73"/>
      <c r="AA67" s="75" t="e">
        <f t="shared" si="57"/>
        <v>#REF!</v>
      </c>
      <c r="AB67" s="71" t="e">
        <f t="shared" si="58"/>
        <v>#REF!</v>
      </c>
      <c r="AC67" s="74" t="s">
        <v>146</v>
      </c>
      <c r="AD67" s="73" t="e">
        <f t="shared" si="56"/>
        <v>#REF!</v>
      </c>
    </row>
    <row r="68" spans="9:30">
      <c r="I68" s="75"/>
      <c r="J68" s="71"/>
      <c r="K68" s="74"/>
      <c r="L68" s="73"/>
      <c r="AA68" s="75" t="e">
        <f t="shared" si="57"/>
        <v>#REF!</v>
      </c>
      <c r="AB68" s="71" t="e">
        <f t="shared" si="58"/>
        <v>#REF!</v>
      </c>
      <c r="AC68" s="74" t="s">
        <v>146</v>
      </c>
      <c r="AD68" s="73" t="e">
        <f t="shared" si="56"/>
        <v>#REF!</v>
      </c>
    </row>
    <row r="69" spans="9:30">
      <c r="I69" s="75"/>
      <c r="J69" s="71"/>
      <c r="K69" s="74"/>
      <c r="L69" s="73"/>
      <c r="AA69" s="75" t="e">
        <f t="shared" si="57"/>
        <v>#REF!</v>
      </c>
      <c r="AB69" s="71" t="e">
        <f t="shared" si="58"/>
        <v>#REF!</v>
      </c>
      <c r="AC69" s="74" t="s">
        <v>146</v>
      </c>
      <c r="AD69" s="73" t="e">
        <f t="shared" si="56"/>
        <v>#REF!</v>
      </c>
    </row>
    <row r="70" spans="9:30">
      <c r="I70" s="75"/>
      <c r="J70" s="71"/>
      <c r="K70" s="74"/>
      <c r="L70" s="73"/>
      <c r="AA70" s="75" t="e">
        <f t="shared" si="57"/>
        <v>#REF!</v>
      </c>
      <c r="AB70" s="71" t="e">
        <f t="shared" si="58"/>
        <v>#REF!</v>
      </c>
      <c r="AC70" s="74" t="s">
        <v>146</v>
      </c>
      <c r="AD70" s="73" t="e">
        <f t="shared" si="56"/>
        <v>#REF!</v>
      </c>
    </row>
    <row r="71" spans="9:30">
      <c r="I71" s="75"/>
      <c r="J71" s="71"/>
      <c r="K71" s="74"/>
      <c r="L71" s="73"/>
      <c r="AA71" s="75" t="e">
        <f t="shared" si="57"/>
        <v>#REF!</v>
      </c>
      <c r="AB71" s="71" t="e">
        <f t="shared" si="58"/>
        <v>#REF!</v>
      </c>
      <c r="AC71" s="74" t="s">
        <v>146</v>
      </c>
      <c r="AD71" s="73" t="e">
        <f t="shared" si="56"/>
        <v>#REF!</v>
      </c>
    </row>
    <row r="72" spans="9:30">
      <c r="I72" s="75"/>
      <c r="J72" s="71"/>
      <c r="K72" s="74"/>
      <c r="L72" s="73"/>
      <c r="AA72" s="75" t="e">
        <f t="shared" si="57"/>
        <v>#REF!</v>
      </c>
      <c r="AB72" s="71" t="e">
        <f t="shared" si="58"/>
        <v>#REF!</v>
      </c>
      <c r="AC72" s="74" t="s">
        <v>146</v>
      </c>
      <c r="AD72" s="73" t="e">
        <f t="shared" si="56"/>
        <v>#REF!</v>
      </c>
    </row>
    <row r="73" spans="9:30">
      <c r="I73" s="75"/>
      <c r="J73" s="71"/>
      <c r="K73" s="74"/>
      <c r="L73" s="73"/>
      <c r="AA73" s="75" t="e">
        <f t="shared" si="57"/>
        <v>#REF!</v>
      </c>
      <c r="AB73" s="71" t="e">
        <f t="shared" si="58"/>
        <v>#REF!</v>
      </c>
      <c r="AC73" s="74" t="s">
        <v>146</v>
      </c>
      <c r="AD73" s="73" t="e">
        <f t="shared" si="56"/>
        <v>#REF!</v>
      </c>
    </row>
    <row r="74" spans="9:30">
      <c r="I74" s="73"/>
      <c r="J74"/>
      <c r="K74"/>
      <c r="L74"/>
    </row>
  </sheetData>
  <mergeCells count="5">
    <mergeCell ref="A1:D1"/>
    <mergeCell ref="A2:D2"/>
    <mergeCell ref="A4:D4"/>
    <mergeCell ref="A5:D5"/>
    <mergeCell ref="A3:E3"/>
  </mergeCells>
  <pageMargins left="1" right="0.75" top="0.5" bottom="0.41" header="0.5" footer="0.61"/>
  <pageSetup scale="89" orientation="portrait" horizontalDpi="1200" verticalDpi="1200" r:id="rId1"/>
  <headerFooter alignWithMargins="0"/>
  <ignoredErrors>
    <ignoredError sqref="B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9"/>
  <sheetViews>
    <sheetView workbookViewId="0">
      <selection activeCell="I37" sqref="I37"/>
    </sheetView>
  </sheetViews>
  <sheetFormatPr defaultRowHeight="12.75"/>
  <cols>
    <col min="1" max="1" width="4.7109375" style="4" customWidth="1"/>
    <col min="2" max="2" width="1.85546875" style="4" customWidth="1"/>
    <col min="3" max="3" width="26.5703125" style="4" customWidth="1"/>
    <col min="4" max="4" width="1.28515625" style="4" customWidth="1"/>
    <col min="5" max="5" width="16.5703125" style="4" bestFit="1" customWidth="1"/>
    <col min="6" max="6" width="1.5703125" style="4" customWidth="1"/>
    <col min="7" max="7" width="12.28515625" style="4" bestFit="1" customWidth="1"/>
    <col min="8" max="8" width="1.42578125" style="4" customWidth="1"/>
    <col min="9" max="9" width="16.28515625" style="4" bestFit="1" customWidth="1"/>
    <col min="10" max="10" width="1.5703125" style="4" customWidth="1"/>
    <col min="11" max="11" width="15.28515625" style="4" bestFit="1" customWidth="1"/>
    <col min="12" max="12" width="1.140625" style="4" customWidth="1"/>
    <col min="13" max="13" width="16.28515625" style="4" bestFit="1" customWidth="1"/>
    <col min="14" max="14" width="1.42578125" style="4" customWidth="1"/>
    <col min="15" max="15" width="13.42578125" style="4" customWidth="1"/>
    <col min="16" max="16" width="1.5703125" style="4" customWidth="1"/>
    <col min="17" max="17" width="10.5703125" style="4" customWidth="1"/>
    <col min="18" max="18" width="1.42578125" style="4" customWidth="1"/>
    <col min="19" max="19" width="8.5703125" style="4" customWidth="1"/>
    <col min="20" max="20" width="1.140625" style="4" customWidth="1"/>
    <col min="21" max="21" width="12.28515625" style="4" customWidth="1"/>
    <col min="22" max="22" width="1.28515625" style="4" customWidth="1"/>
    <col min="23" max="23" width="2.7109375" style="4" customWidth="1"/>
    <col min="24" max="24" width="9.140625" style="4"/>
    <col min="25" max="25" width="16.28515625" style="4" bestFit="1" customWidth="1"/>
    <col min="26" max="26" width="12.28515625" style="4" bestFit="1" customWidth="1"/>
    <col min="27" max="27" width="11.5703125" style="4" bestFit="1" customWidth="1"/>
    <col min="28" max="28" width="11.140625" style="4" bestFit="1" customWidth="1"/>
    <col min="29" max="16384" width="9.140625" style="4"/>
  </cols>
  <sheetData>
    <row r="1" spans="1:22">
      <c r="A1" s="1" t="str">
        <f>Contents!A1</f>
        <v>Louisville Gas and Electric Company</v>
      </c>
      <c r="B1" s="1"/>
      <c r="C1" s="1"/>
      <c r="D1" s="1"/>
      <c r="E1" s="1"/>
      <c r="M1" s="16"/>
      <c r="N1" s="16"/>
      <c r="O1" s="16"/>
      <c r="U1" s="27" t="str">
        <f>Contents!A4</f>
        <v>Exhibit RCS-2</v>
      </c>
    </row>
    <row r="2" spans="1:22">
      <c r="A2" s="1" t="s">
        <v>204</v>
      </c>
      <c r="B2" s="1"/>
      <c r="C2" s="1"/>
      <c r="D2" s="1"/>
      <c r="E2" s="1"/>
      <c r="M2" s="16"/>
      <c r="N2" s="16"/>
      <c r="O2" s="16"/>
      <c r="U2" s="27" t="s">
        <v>102</v>
      </c>
    </row>
    <row r="3" spans="1:22">
      <c r="A3" s="1"/>
      <c r="B3" s="1"/>
      <c r="C3" s="1"/>
      <c r="D3" s="1"/>
      <c r="E3" s="1"/>
      <c r="M3" s="108"/>
      <c r="N3" s="108"/>
      <c r="O3" s="108"/>
      <c r="U3" s="27" t="str">
        <f>Contents!A2</f>
        <v>Case No. 2016-00371</v>
      </c>
    </row>
    <row r="4" spans="1:22">
      <c r="A4" s="1" t="s">
        <v>287</v>
      </c>
      <c r="B4" s="1"/>
      <c r="C4" s="1"/>
      <c r="D4" s="1"/>
      <c r="E4" s="1"/>
      <c r="U4" s="27" t="s">
        <v>182</v>
      </c>
    </row>
    <row r="6" spans="1:22">
      <c r="U6" s="16" t="s">
        <v>256</v>
      </c>
    </row>
    <row r="7" spans="1:22">
      <c r="A7" s="16"/>
      <c r="B7" s="16"/>
      <c r="C7" s="16"/>
      <c r="D7" s="16"/>
      <c r="E7" s="16"/>
      <c r="F7" s="16"/>
      <c r="G7" s="16" t="s">
        <v>203</v>
      </c>
      <c r="H7" s="16"/>
      <c r="I7" s="16"/>
      <c r="J7" s="16"/>
      <c r="K7" s="16"/>
      <c r="L7" s="16"/>
      <c r="M7" s="16"/>
      <c r="N7" s="16"/>
      <c r="O7" s="16" t="s">
        <v>200</v>
      </c>
      <c r="P7" s="16"/>
      <c r="Q7" s="16"/>
      <c r="R7" s="16"/>
      <c r="S7" s="16"/>
      <c r="T7" s="16"/>
      <c r="U7" s="16" t="s">
        <v>257</v>
      </c>
      <c r="V7" s="16"/>
    </row>
    <row r="8" spans="1:22">
      <c r="A8" s="16" t="s">
        <v>0</v>
      </c>
      <c r="B8" s="16"/>
      <c r="C8" s="16"/>
      <c r="D8" s="16"/>
      <c r="E8" s="16" t="s">
        <v>201</v>
      </c>
      <c r="F8" s="16"/>
      <c r="G8" s="16" t="s">
        <v>49</v>
      </c>
      <c r="H8" s="16"/>
      <c r="I8" s="16" t="s">
        <v>203</v>
      </c>
      <c r="J8" s="16"/>
      <c r="K8" s="16" t="s">
        <v>34</v>
      </c>
      <c r="L8" s="16"/>
      <c r="M8" s="16" t="s">
        <v>203</v>
      </c>
      <c r="N8" s="16"/>
      <c r="O8" s="16" t="s">
        <v>203</v>
      </c>
      <c r="P8" s="16"/>
      <c r="Q8" s="16" t="s">
        <v>156</v>
      </c>
      <c r="R8" s="16"/>
      <c r="S8" s="16" t="s">
        <v>20</v>
      </c>
      <c r="T8" s="16"/>
      <c r="U8" s="16" t="s">
        <v>255</v>
      </c>
      <c r="V8" s="16"/>
    </row>
    <row r="9" spans="1:22">
      <c r="A9" s="23" t="s">
        <v>2</v>
      </c>
      <c r="B9" s="16"/>
      <c r="C9" s="111" t="s">
        <v>3</v>
      </c>
      <c r="D9" s="16"/>
      <c r="E9" s="23" t="s">
        <v>202</v>
      </c>
      <c r="F9" s="16"/>
      <c r="G9" s="23" t="s">
        <v>252</v>
      </c>
      <c r="H9" s="16"/>
      <c r="I9" s="23" t="s">
        <v>21</v>
      </c>
      <c r="J9" s="16"/>
      <c r="K9" s="23" t="s">
        <v>16</v>
      </c>
      <c r="L9" s="16"/>
      <c r="M9" s="23" t="s">
        <v>253</v>
      </c>
      <c r="N9" s="44"/>
      <c r="O9" s="23" t="s">
        <v>21</v>
      </c>
      <c r="P9" s="16"/>
      <c r="Q9" s="23" t="s">
        <v>254</v>
      </c>
      <c r="R9" s="16"/>
      <c r="S9" s="23" t="s">
        <v>23</v>
      </c>
      <c r="T9" s="16"/>
      <c r="U9" s="23" t="s">
        <v>22</v>
      </c>
      <c r="V9" s="16"/>
    </row>
    <row r="10" spans="1:22">
      <c r="E10" s="16" t="s">
        <v>6</v>
      </c>
      <c r="F10" s="16"/>
      <c r="G10" s="16" t="s">
        <v>7</v>
      </c>
      <c r="H10" s="16"/>
      <c r="I10" s="16" t="s">
        <v>281</v>
      </c>
      <c r="J10" s="16"/>
      <c r="K10" s="16" t="s">
        <v>38</v>
      </c>
      <c r="L10" s="16"/>
      <c r="M10" s="16" t="s">
        <v>282</v>
      </c>
      <c r="N10" s="16"/>
      <c r="O10" s="16" t="s">
        <v>51</v>
      </c>
      <c r="P10" s="16"/>
      <c r="Q10" s="16" t="s">
        <v>52</v>
      </c>
      <c r="R10" s="16"/>
      <c r="S10" s="16" t="s">
        <v>70</v>
      </c>
      <c r="T10" s="16"/>
      <c r="U10" s="16" t="s">
        <v>307</v>
      </c>
      <c r="V10" s="16"/>
    </row>
    <row r="11" spans="1:22">
      <c r="C11" s="125" t="s">
        <v>121</v>
      </c>
    </row>
    <row r="12" spans="1:22">
      <c r="A12" s="112">
        <v>1</v>
      </c>
      <c r="C12" s="4" t="s">
        <v>26</v>
      </c>
      <c r="E12" s="4">
        <v>1790485620.5170054</v>
      </c>
      <c r="G12" s="140">
        <v>0.17419999999999999</v>
      </c>
      <c r="I12" s="109">
        <f>E12*G12</f>
        <v>311902595.09406233</v>
      </c>
      <c r="K12" s="109">
        <v>-8557128.8345199786</v>
      </c>
      <c r="M12" s="109">
        <f>I12+K12</f>
        <v>303345466.25954235</v>
      </c>
      <c r="N12" s="109"/>
      <c r="O12" s="109"/>
      <c r="Q12" s="133">
        <f>I12/$I$15</f>
        <v>0.42912203130581394</v>
      </c>
      <c r="R12" s="133"/>
      <c r="S12" s="132">
        <v>4.1173858867490497E-2</v>
      </c>
      <c r="T12" s="133"/>
      <c r="U12" s="133">
        <f>Q12*S12</f>
        <v>1.7668609953916423E-2</v>
      </c>
    </row>
    <row r="13" spans="1:22">
      <c r="A13" s="112">
        <v>2</v>
      </c>
      <c r="C13" s="4" t="s">
        <v>25</v>
      </c>
      <c r="E13" s="4">
        <v>159467796.15777439</v>
      </c>
      <c r="G13" s="140">
        <v>0.17419999999999999</v>
      </c>
      <c r="I13" s="109">
        <f t="shared" ref="I13:I14" si="0">E13*G13</f>
        <v>27779290.090684298</v>
      </c>
      <c r="K13" s="109">
        <v>-762132.05012225616</v>
      </c>
      <c r="M13" s="109">
        <f>I13+K13</f>
        <v>27017158.040562041</v>
      </c>
      <c r="N13" s="109"/>
      <c r="O13" s="109"/>
      <c r="Q13" s="133">
        <f t="shared" ref="Q13:Q14" si="1">I13/$I$15</f>
        <v>3.8219320965742258E-2</v>
      </c>
      <c r="R13" s="133"/>
      <c r="S13" s="132">
        <v>7.1687229005509704E-3</v>
      </c>
      <c r="T13" s="133"/>
      <c r="U13" s="133">
        <f>Q13*S13</f>
        <v>2.7398372145062433E-4</v>
      </c>
    </row>
    <row r="14" spans="1:22">
      <c r="A14" s="112">
        <v>3</v>
      </c>
      <c r="C14" s="4" t="s">
        <v>27</v>
      </c>
      <c r="E14" s="4">
        <v>2222485866.0825648</v>
      </c>
      <c r="G14" s="140">
        <v>0.17419999999999999</v>
      </c>
      <c r="I14" s="109">
        <f t="shared" si="0"/>
        <v>387157037.87158281</v>
      </c>
      <c r="K14" s="109">
        <v>-10621754.048757298</v>
      </c>
      <c r="M14" s="109">
        <f t="shared" ref="M14" si="2">I14+K14</f>
        <v>376535283.82282549</v>
      </c>
      <c r="N14" s="109"/>
      <c r="O14" s="109"/>
      <c r="Q14" s="133">
        <f t="shared" si="1"/>
        <v>0.53265864772844373</v>
      </c>
      <c r="R14" s="133"/>
      <c r="S14" s="135">
        <v>0.1023</v>
      </c>
      <c r="T14" s="133"/>
      <c r="U14" s="133">
        <f>Q14*S14</f>
        <v>5.4490979662619794E-2</v>
      </c>
    </row>
    <row r="15" spans="1:22" ht="13.5" thickBot="1">
      <c r="A15" s="112">
        <v>4</v>
      </c>
      <c r="C15" s="4" t="s">
        <v>28</v>
      </c>
      <c r="E15" s="18">
        <f>SUM(E12:E14)</f>
        <v>4172439282.7573447</v>
      </c>
      <c r="F15" s="16"/>
      <c r="G15" s="16"/>
      <c r="H15" s="16"/>
      <c r="I15" s="18">
        <f t="shared" ref="I15:M15" si="3">SUM(I12:I14)</f>
        <v>726838923.05632949</v>
      </c>
      <c r="J15" s="16"/>
      <c r="K15" s="18">
        <f>SUM(K12:K14)</f>
        <v>-19941014.933399532</v>
      </c>
      <c r="L15" s="16"/>
      <c r="M15" s="18">
        <f t="shared" si="3"/>
        <v>706897908.12292981</v>
      </c>
      <c r="N15" s="19"/>
      <c r="O15" s="19"/>
      <c r="P15" s="16"/>
      <c r="Q15" s="134">
        <f>SUM(Q12:Q14)</f>
        <v>1</v>
      </c>
      <c r="R15" s="16"/>
      <c r="S15" s="44"/>
      <c r="T15" s="16"/>
      <c r="U15" s="134">
        <f>SUM(U12:U14)</f>
        <v>7.2433573337986834E-2</v>
      </c>
      <c r="V15" s="16"/>
    </row>
    <row r="16" spans="1:22" ht="13.5" thickTop="1">
      <c r="A16" s="112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32">
      <c r="A17" s="112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32">
      <c r="A18" s="16"/>
      <c r="C18" s="125" t="s">
        <v>234</v>
      </c>
      <c r="G18" s="16"/>
      <c r="O18" s="23" t="s">
        <v>586</v>
      </c>
      <c r="Y18"/>
      <c r="Z18"/>
      <c r="AA18"/>
      <c r="AB18"/>
      <c r="AC18"/>
      <c r="AD18"/>
      <c r="AE18"/>
      <c r="AF18"/>
    </row>
    <row r="19" spans="1:32">
      <c r="A19" s="112">
        <v>5</v>
      </c>
      <c r="C19" s="4" t="s">
        <v>26</v>
      </c>
      <c r="E19" s="4">
        <v>1790485620.5170054</v>
      </c>
      <c r="G19" s="140">
        <v>0.17419999999999999</v>
      </c>
      <c r="I19" s="109">
        <f>E19*G19</f>
        <v>311902595.09406233</v>
      </c>
      <c r="K19" s="109">
        <v>-8557128.8345199786</v>
      </c>
      <c r="M19" s="109">
        <f>I19+K19</f>
        <v>303345466.25954235</v>
      </c>
      <c r="N19" s="109"/>
      <c r="O19" s="109">
        <f>'D P3'!S13</f>
        <v>327848534.09890002</v>
      </c>
      <c r="Q19" s="133">
        <f>O19/O22</f>
        <v>0.45910000000000001</v>
      </c>
      <c r="R19" s="133"/>
      <c r="S19" s="224">
        <v>4.1000000000000002E-2</v>
      </c>
      <c r="T19" s="133"/>
      <c r="U19" s="133">
        <f>Q19*S19</f>
        <v>1.8823100000000002E-2</v>
      </c>
      <c r="Y19"/>
      <c r="Z19"/>
      <c r="AA19"/>
      <c r="AB19"/>
      <c r="AC19"/>
      <c r="AD19"/>
      <c r="AE19"/>
      <c r="AF19"/>
    </row>
    <row r="20" spans="1:32">
      <c r="A20" s="112">
        <v>6</v>
      </c>
      <c r="C20" s="4" t="s">
        <v>25</v>
      </c>
      <c r="E20" s="4">
        <v>159467796.15777439</v>
      </c>
      <c r="G20" s="140">
        <v>0.17419999999999999</v>
      </c>
      <c r="I20" s="109">
        <f t="shared" ref="I20:I21" si="4">E20*G20</f>
        <v>27779290.090684298</v>
      </c>
      <c r="K20" s="109">
        <v>-762132.05012225616</v>
      </c>
      <c r="M20" s="109">
        <f>I20+K20</f>
        <v>27017158.040562041</v>
      </c>
      <c r="N20" s="109"/>
      <c r="O20" s="109">
        <f>'D P3'!S14</f>
        <v>29207155.401099999</v>
      </c>
      <c r="Q20" s="133">
        <f>O20/O22</f>
        <v>4.0899999999999999E-2</v>
      </c>
      <c r="R20" s="133"/>
      <c r="S20" s="132">
        <v>7.1999999999999998E-3</v>
      </c>
      <c r="T20" s="133"/>
      <c r="U20" s="133">
        <f>Q20*S20</f>
        <v>2.9447999999999996E-4</v>
      </c>
      <c r="Y20"/>
      <c r="Z20"/>
      <c r="AA20"/>
      <c r="AB20"/>
      <c r="AC20"/>
      <c r="AD20"/>
      <c r="AE20"/>
      <c r="AF20"/>
    </row>
    <row r="21" spans="1:32">
      <c r="A21" s="112">
        <v>7</v>
      </c>
      <c r="C21" s="4" t="s">
        <v>27</v>
      </c>
      <c r="E21" s="4">
        <v>2222485866.0825648</v>
      </c>
      <c r="G21" s="140">
        <v>0.17419999999999999</v>
      </c>
      <c r="I21" s="109">
        <f t="shared" si="4"/>
        <v>387157037.87158281</v>
      </c>
      <c r="K21" s="109">
        <v>-10621754.048757298</v>
      </c>
      <c r="M21" s="109">
        <f>I21+K21</f>
        <v>376535283.82282549</v>
      </c>
      <c r="N21" s="109"/>
      <c r="O21" s="109">
        <f>'D P3'!S15</f>
        <v>357055689.5</v>
      </c>
      <c r="Q21" s="133">
        <f>O21/O22</f>
        <v>0.5</v>
      </c>
      <c r="R21" s="133"/>
      <c r="S21" s="135">
        <v>8.6999999999999994E-2</v>
      </c>
      <c r="T21" s="133"/>
      <c r="U21" s="133">
        <f>Q21*S21</f>
        <v>4.3499999999999997E-2</v>
      </c>
      <c r="Y21"/>
      <c r="Z21"/>
      <c r="AA21"/>
      <c r="AB21"/>
      <c r="AC21"/>
      <c r="AD21"/>
      <c r="AE21"/>
      <c r="AF21"/>
    </row>
    <row r="22" spans="1:32" ht="13.5" thickBot="1">
      <c r="A22" s="112">
        <v>8</v>
      </c>
      <c r="C22" s="4" t="s">
        <v>28</v>
      </c>
      <c r="E22" s="18">
        <f>SUM(E19:E21)</f>
        <v>4172439282.7573447</v>
      </c>
      <c r="F22" s="16"/>
      <c r="G22" s="16"/>
      <c r="H22" s="16"/>
      <c r="I22" s="18">
        <f>SUM(I19:I21)</f>
        <v>726838923.05632949</v>
      </c>
      <c r="J22" s="16"/>
      <c r="K22" s="18">
        <f>SUM(K19:K21)</f>
        <v>-19941014.933399532</v>
      </c>
      <c r="L22" s="16"/>
      <c r="M22" s="18">
        <f>SUM(M19:M21)</f>
        <v>706897908.12292981</v>
      </c>
      <c r="N22" s="19"/>
      <c r="O22" s="18">
        <f>SUM(O19:O21)</f>
        <v>714111379</v>
      </c>
      <c r="P22" s="16"/>
      <c r="Q22" s="134">
        <f>SUM(Q19:Q21)</f>
        <v>1</v>
      </c>
      <c r="R22" s="16"/>
      <c r="S22" s="44"/>
      <c r="T22" s="16"/>
      <c r="U22" s="134">
        <f>SUM(U19:U21)</f>
        <v>6.2617580000000006E-2</v>
      </c>
      <c r="V22" s="107"/>
      <c r="Y22"/>
      <c r="Z22"/>
      <c r="AA22"/>
      <c r="AB22"/>
      <c r="AC22"/>
      <c r="AD22"/>
      <c r="AE22"/>
      <c r="AF22"/>
    </row>
    <row r="23" spans="1:32" ht="13.5" thickTop="1">
      <c r="A23" s="16"/>
    </row>
    <row r="24" spans="1:32">
      <c r="A24" s="16"/>
    </row>
    <row r="25" spans="1:32">
      <c r="A25" s="111" t="s">
        <v>9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</row>
    <row r="26" spans="1:32">
      <c r="A26" s="4" t="s">
        <v>573</v>
      </c>
    </row>
    <row r="27" spans="1:32">
      <c r="A27" s="4" t="s">
        <v>574</v>
      </c>
    </row>
    <row r="29" spans="1:32">
      <c r="A29" s="4" t="s">
        <v>575</v>
      </c>
      <c r="I29" s="124"/>
    </row>
    <row r="32" spans="1:32">
      <c r="A32" s="4" t="s">
        <v>233</v>
      </c>
    </row>
    <row r="33" spans="1:3">
      <c r="A33" s="4" t="s">
        <v>232</v>
      </c>
    </row>
    <row r="37" spans="1:3">
      <c r="A37" s="4" t="s">
        <v>233</v>
      </c>
    </row>
    <row r="38" spans="1:3">
      <c r="C38" s="4" t="s">
        <v>26</v>
      </c>
    </row>
    <row r="39" spans="1:3">
      <c r="C39" s="4" t="s">
        <v>27</v>
      </c>
    </row>
    <row r="40" spans="1:3">
      <c r="C40" s="4" t="s">
        <v>28</v>
      </c>
    </row>
    <row r="72" spans="23:23">
      <c r="W72" s="251"/>
    </row>
    <row r="73" spans="23:23">
      <c r="W73" s="251"/>
    </row>
    <row r="74" spans="23:23">
      <c r="W74" s="251"/>
    </row>
    <row r="75" spans="23:23">
      <c r="W75" s="251"/>
    </row>
    <row r="76" spans="23:23">
      <c r="W76" s="251"/>
    </row>
    <row r="77" spans="23:23">
      <c r="W77" s="251"/>
    </row>
    <row r="78" spans="23:23">
      <c r="W78" s="251"/>
    </row>
    <row r="79" spans="23:23">
      <c r="W79" s="251"/>
    </row>
  </sheetData>
  <mergeCells count="1">
    <mergeCell ref="W72:W79"/>
  </mergeCells>
  <pageMargins left="0.7" right="0.7" top="0.75" bottom="0.75" header="0.3" footer="0.3"/>
  <pageSetup scale="7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zoomScaleSheetLayoutView="90" workbookViewId="0">
      <selection activeCell="M37" sqref="M37"/>
    </sheetView>
  </sheetViews>
  <sheetFormatPr defaultRowHeight="12.75"/>
  <cols>
    <col min="1" max="1" width="6.28515625" style="1" customWidth="1"/>
    <col min="2" max="2" width="1.5703125" style="1" customWidth="1"/>
    <col min="3" max="3" width="27" style="1" bestFit="1" customWidth="1"/>
    <col min="4" max="4" width="1.28515625" style="1" customWidth="1"/>
    <col min="5" max="5" width="16.42578125" style="1" bestFit="1" customWidth="1"/>
    <col min="6" max="6" width="1.42578125" style="1" customWidth="1"/>
    <col min="7" max="7" width="15" style="1" bestFit="1" customWidth="1"/>
    <col min="8" max="8" width="1.28515625" style="1" customWidth="1"/>
    <col min="9" max="9" width="11.85546875" style="1" bestFit="1" customWidth="1"/>
    <col min="10" max="10" width="1.140625" style="1" customWidth="1"/>
    <col min="11" max="11" width="13.85546875" style="1" customWidth="1"/>
    <col min="12" max="12" width="1.140625" style="1" customWidth="1"/>
    <col min="13" max="13" width="13.85546875" style="1" customWidth="1"/>
    <col min="14" max="14" width="1" style="1" customWidth="1"/>
    <col min="15" max="15" width="15.28515625" style="1" bestFit="1" customWidth="1"/>
    <col min="16" max="16" width="1" style="1" customWidth="1"/>
    <col min="17" max="17" width="15" style="1" customWidth="1"/>
    <col min="18" max="18" width="1" style="1" customWidth="1"/>
    <col min="19" max="19" width="16.85546875" style="1" bestFit="1" customWidth="1"/>
    <col min="20" max="20" width="2.28515625" style="1" customWidth="1"/>
    <col min="21" max="21" width="17.28515625" style="1" customWidth="1"/>
    <col min="22" max="16384" width="9.140625" style="1"/>
  </cols>
  <sheetData>
    <row r="1" spans="1:21">
      <c r="A1" s="1" t="str">
        <f>Contents!A1</f>
        <v>Louisville Gas and Electric Company</v>
      </c>
      <c r="H1" s="10"/>
      <c r="O1" s="10"/>
      <c r="U1" s="27" t="str">
        <f>Contents!A4</f>
        <v>Exhibit RCS-2</v>
      </c>
    </row>
    <row r="2" spans="1:21">
      <c r="A2" s="1" t="s">
        <v>17</v>
      </c>
      <c r="H2" s="10"/>
      <c r="O2" s="10"/>
      <c r="U2" s="27" t="s">
        <v>102</v>
      </c>
    </row>
    <row r="3" spans="1:21">
      <c r="H3" s="10"/>
      <c r="O3" s="10"/>
      <c r="U3" s="27" t="str">
        <f>Contents!A2</f>
        <v>Case No. 2016-00371</v>
      </c>
    </row>
    <row r="4" spans="1:21">
      <c r="A4" s="1" t="s">
        <v>287</v>
      </c>
      <c r="H4" s="10"/>
      <c r="O4" s="10"/>
      <c r="U4" s="27" t="s">
        <v>183</v>
      </c>
    </row>
    <row r="5" spans="1:21" ht="12" customHeight="1">
      <c r="E5" s="16"/>
      <c r="H5" s="10"/>
      <c r="O5" s="10"/>
    </row>
    <row r="6" spans="1:21">
      <c r="H6" s="10"/>
      <c r="O6" s="10"/>
      <c r="S6" s="16" t="s">
        <v>200</v>
      </c>
    </row>
    <row r="7" spans="1:21">
      <c r="E7" s="93" t="s">
        <v>585</v>
      </c>
      <c r="G7" s="93"/>
      <c r="I7" s="93" t="s">
        <v>180</v>
      </c>
      <c r="J7" s="93"/>
      <c r="K7" s="93" t="s">
        <v>479</v>
      </c>
      <c r="L7" s="93"/>
      <c r="M7" s="93"/>
      <c r="O7" s="10"/>
      <c r="Q7" s="93" t="s">
        <v>586</v>
      </c>
      <c r="S7" s="16" t="s">
        <v>199</v>
      </c>
    </row>
    <row r="8" spans="1:21">
      <c r="E8" s="93" t="s">
        <v>203</v>
      </c>
      <c r="G8" s="93"/>
      <c r="I8" s="93" t="s">
        <v>226</v>
      </c>
      <c r="J8" s="93"/>
      <c r="K8" s="93" t="s">
        <v>480</v>
      </c>
      <c r="L8" s="93"/>
      <c r="M8" s="93" t="s">
        <v>401</v>
      </c>
      <c r="O8" s="93"/>
      <c r="Q8" s="44" t="s">
        <v>205</v>
      </c>
      <c r="S8" s="44" t="s">
        <v>203</v>
      </c>
    </row>
    <row r="9" spans="1:21">
      <c r="A9" s="16" t="s">
        <v>0</v>
      </c>
      <c r="B9" s="16"/>
      <c r="C9" s="16"/>
      <c r="D9" s="16"/>
      <c r="E9" s="93" t="s">
        <v>181</v>
      </c>
      <c r="G9" s="12" t="s">
        <v>341</v>
      </c>
      <c r="H9" s="13"/>
      <c r="I9" s="93" t="s">
        <v>21</v>
      </c>
      <c r="J9" s="93"/>
      <c r="K9" s="93" t="s">
        <v>481</v>
      </c>
      <c r="L9" s="93"/>
      <c r="M9" s="93" t="s">
        <v>402</v>
      </c>
      <c r="O9" s="93" t="s">
        <v>221</v>
      </c>
      <c r="Q9" s="93" t="s">
        <v>305</v>
      </c>
      <c r="S9" s="44" t="s">
        <v>205</v>
      </c>
    </row>
    <row r="10" spans="1:21">
      <c r="A10" s="23" t="s">
        <v>2</v>
      </c>
      <c r="B10" s="16"/>
      <c r="C10" s="111" t="s">
        <v>3</v>
      </c>
      <c r="D10" s="16"/>
      <c r="E10" s="235" t="s">
        <v>205</v>
      </c>
      <c r="G10" s="235" t="s">
        <v>224</v>
      </c>
      <c r="I10" s="235" t="s">
        <v>227</v>
      </c>
      <c r="J10" s="12"/>
      <c r="K10" s="235" t="s">
        <v>422</v>
      </c>
      <c r="L10" s="12"/>
      <c r="M10" s="235" t="s">
        <v>489</v>
      </c>
      <c r="O10" s="235" t="s">
        <v>4</v>
      </c>
      <c r="Q10" s="235" t="s">
        <v>306</v>
      </c>
      <c r="S10" s="235" t="s">
        <v>153</v>
      </c>
    </row>
    <row r="11" spans="1:21">
      <c r="A11" s="4"/>
      <c r="B11" s="4"/>
      <c r="C11" s="4"/>
      <c r="D11" s="4"/>
      <c r="E11" s="16" t="s">
        <v>6</v>
      </c>
      <c r="G11" s="93" t="s">
        <v>7</v>
      </c>
      <c r="H11" s="93"/>
      <c r="I11" s="93" t="s">
        <v>18</v>
      </c>
      <c r="J11" s="93"/>
      <c r="K11" s="93" t="s">
        <v>38</v>
      </c>
      <c r="L11" s="93"/>
      <c r="M11" s="93" t="s">
        <v>50</v>
      </c>
      <c r="N11" s="93"/>
      <c r="O11" s="93" t="s">
        <v>51</v>
      </c>
      <c r="Q11" s="93" t="s">
        <v>587</v>
      </c>
      <c r="S11" s="12" t="s">
        <v>588</v>
      </c>
    </row>
    <row r="12" spans="1:21">
      <c r="A12" s="4"/>
      <c r="B12" s="4"/>
      <c r="C12" s="45" t="s">
        <v>589</v>
      </c>
      <c r="D12" s="4"/>
    </row>
    <row r="13" spans="1:21">
      <c r="A13" s="112">
        <v>1</v>
      </c>
      <c r="B13" s="4"/>
      <c r="C13" s="4" t="s">
        <v>26</v>
      </c>
      <c r="D13" s="4"/>
      <c r="E13" s="4">
        <f>'D P2'!M12</f>
        <v>303345466.25954235</v>
      </c>
      <c r="G13" s="109">
        <f>K27*E44</f>
        <v>-2517158.5164405159</v>
      </c>
      <c r="H13" s="4"/>
      <c r="I13" s="109">
        <f>K27*E48</f>
        <v>-50314.6054</v>
      </c>
      <c r="J13" s="4"/>
      <c r="K13" s="4">
        <f>E53*K27</f>
        <v>-3293304.3833523002</v>
      </c>
      <c r="L13" s="4"/>
      <c r="M13" s="4">
        <f>K27*E57</f>
        <v>9172482.0494852476</v>
      </c>
      <c r="N13" s="4"/>
      <c r="O13" s="4">
        <f>SUM(G13:M13)</f>
        <v>3311704.5442924313</v>
      </c>
      <c r="Q13" s="42">
        <f>E13+O13</f>
        <v>306657170.8038348</v>
      </c>
      <c r="S13" s="42">
        <f>S27</f>
        <v>327848534.09890002</v>
      </c>
    </row>
    <row r="14" spans="1:21">
      <c r="A14" s="112">
        <v>2</v>
      </c>
      <c r="B14" s="4"/>
      <c r="C14" s="4" t="s">
        <v>25</v>
      </c>
      <c r="D14" s="4"/>
      <c r="E14" s="4">
        <f>'D P2'!M13</f>
        <v>27017158.040562041</v>
      </c>
      <c r="G14" s="4">
        <f>K28*E44</f>
        <v>-224246.96868311282</v>
      </c>
      <c r="H14" s="4"/>
      <c r="I14" s="4">
        <f>K28*E48</f>
        <v>-4482.3945999999996</v>
      </c>
      <c r="J14" s="4"/>
      <c r="K14" s="4">
        <f>E53*K28</f>
        <v>-293391.74314770004</v>
      </c>
      <c r="L14" s="4"/>
      <c r="M14" s="4">
        <f>K28*E57</f>
        <v>817152.07106065471</v>
      </c>
      <c r="N14" s="4"/>
      <c r="O14" s="4">
        <f>SUM(G14:M14)</f>
        <v>295030.96462984185</v>
      </c>
      <c r="Q14" s="42">
        <f t="shared" ref="Q14:Q15" si="0">E14+O14</f>
        <v>27312189.005191881</v>
      </c>
      <c r="S14" s="42">
        <f>S28</f>
        <v>29207155.401099999</v>
      </c>
    </row>
    <row r="15" spans="1:21">
      <c r="A15" s="112">
        <v>3</v>
      </c>
      <c r="B15" s="4"/>
      <c r="C15" s="4" t="s">
        <v>27</v>
      </c>
      <c r="D15" s="4"/>
      <c r="E15" s="4">
        <f>'D P2'!M14</f>
        <v>376535283.82282549</v>
      </c>
      <c r="G15" s="45">
        <f>K30*E44</f>
        <v>-2741405.4851236288</v>
      </c>
      <c r="H15" s="4"/>
      <c r="I15" s="45">
        <f>K30*E48</f>
        <v>-54797</v>
      </c>
      <c r="J15" s="4"/>
      <c r="K15" s="45">
        <f>E53*K30</f>
        <v>-3586696.1265000002</v>
      </c>
      <c r="L15" s="19"/>
      <c r="M15" s="19">
        <f>K30*E57</f>
        <v>9989634.1205459014</v>
      </c>
      <c r="N15" s="4"/>
      <c r="O15" s="4">
        <f>SUM(G15:M15)</f>
        <v>3606735.5089222724</v>
      </c>
      <c r="Q15" s="42">
        <f t="shared" si="0"/>
        <v>380142019.33174777</v>
      </c>
      <c r="S15" s="42">
        <f>S30</f>
        <v>357055689.5</v>
      </c>
    </row>
    <row r="16" spans="1:21" ht="13.5" thickBot="1">
      <c r="A16" s="112">
        <v>4</v>
      </c>
      <c r="B16" s="4"/>
      <c r="C16" s="4" t="s">
        <v>28</v>
      </c>
      <c r="D16" s="4"/>
      <c r="E16" s="43">
        <f>SUM(E13:E15)</f>
        <v>706897908.12292981</v>
      </c>
      <c r="G16" s="18">
        <f>SUM(G13:G15)</f>
        <v>-5482810.9702472575</v>
      </c>
      <c r="H16" s="4"/>
      <c r="I16" s="18">
        <f>SUM(I13:I15)</f>
        <v>-109594</v>
      </c>
      <c r="J16" s="4"/>
      <c r="K16" s="18">
        <f>SUM(K13:K15)</f>
        <v>-7173392.2530000005</v>
      </c>
      <c r="L16" s="19"/>
      <c r="M16" s="18">
        <f>SUM(M13:M15)</f>
        <v>19979268.241091803</v>
      </c>
      <c r="N16" s="4"/>
      <c r="O16" s="18">
        <f>SUM(O13:O15)</f>
        <v>7213471.0178445457</v>
      </c>
      <c r="Q16" s="18">
        <f>ROUND(SUM(Q13:Q15),0)</f>
        <v>714111379</v>
      </c>
      <c r="S16" s="18">
        <f>ROUND(SUM(S13:S15),0)</f>
        <v>714111379</v>
      </c>
    </row>
    <row r="17" spans="1:21" ht="13.5" thickTop="1">
      <c r="A17" s="112"/>
      <c r="B17" s="4"/>
      <c r="C17" s="4"/>
      <c r="D17" s="4"/>
    </row>
    <row r="20" spans="1:21">
      <c r="A20" s="2" t="s">
        <v>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13" t="s">
        <v>10</v>
      </c>
      <c r="B21" s="13"/>
      <c r="C21" s="13" t="s">
        <v>590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2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93" t="s">
        <v>297</v>
      </c>
      <c r="P22" s="13"/>
      <c r="Q22" s="93" t="s">
        <v>586</v>
      </c>
      <c r="R22" s="13"/>
      <c r="S22" s="93" t="s">
        <v>297</v>
      </c>
      <c r="U22" s="44" t="s">
        <v>203</v>
      </c>
    </row>
    <row r="23" spans="1:21">
      <c r="A23" s="1" t="s">
        <v>591</v>
      </c>
      <c r="G23" s="246" t="s">
        <v>592</v>
      </c>
      <c r="H23" s="246"/>
      <c r="I23" s="246"/>
      <c r="O23" s="93" t="s">
        <v>306</v>
      </c>
      <c r="Q23" s="238" t="str">
        <f>Q8</f>
        <v>Capitalization</v>
      </c>
      <c r="S23" s="93" t="s">
        <v>306</v>
      </c>
      <c r="U23" s="44" t="s">
        <v>205</v>
      </c>
    </row>
    <row r="24" spans="1:21">
      <c r="E24" s="93" t="s">
        <v>593</v>
      </c>
      <c r="G24" s="93" t="s">
        <v>594</v>
      </c>
      <c r="I24" s="1" t="s">
        <v>595</v>
      </c>
      <c r="K24" s="246" t="s">
        <v>596</v>
      </c>
      <c r="L24" s="246"/>
      <c r="M24" s="246"/>
      <c r="N24"/>
      <c r="O24" s="12" t="s">
        <v>597</v>
      </c>
      <c r="Q24" s="93" t="str">
        <f>Q9</f>
        <v>Before</v>
      </c>
      <c r="S24" s="12" t="s">
        <v>597</v>
      </c>
      <c r="U24" s="93" t="s">
        <v>304</v>
      </c>
    </row>
    <row r="25" spans="1:21">
      <c r="E25" s="235" t="s">
        <v>298</v>
      </c>
      <c r="G25" s="236" t="s">
        <v>205</v>
      </c>
      <c r="H25" s="93"/>
      <c r="I25" s="236" t="s">
        <v>299</v>
      </c>
      <c r="K25" s="236" t="s">
        <v>299</v>
      </c>
      <c r="L25" s="12"/>
      <c r="M25" s="236" t="s">
        <v>205</v>
      </c>
      <c r="N25"/>
      <c r="O25" s="2" t="s">
        <v>598</v>
      </c>
      <c r="Q25" s="235" t="str">
        <f>Q10</f>
        <v>Reapportionment</v>
      </c>
      <c r="S25" s="235" t="s">
        <v>599</v>
      </c>
      <c r="U25" s="23" t="s">
        <v>34</v>
      </c>
    </row>
    <row r="26" spans="1:21">
      <c r="E26" s="12" t="s">
        <v>125</v>
      </c>
      <c r="F26" s="93"/>
      <c r="G26" s="12" t="s">
        <v>196</v>
      </c>
      <c r="H26" s="93"/>
      <c r="I26" s="12" t="s">
        <v>197</v>
      </c>
      <c r="J26" s="93"/>
      <c r="K26" s="12" t="s">
        <v>600</v>
      </c>
      <c r="L26" s="12"/>
      <c r="M26" s="12" t="s">
        <v>198</v>
      </c>
      <c r="N26" s="93"/>
      <c r="O26" s="12" t="s">
        <v>300</v>
      </c>
      <c r="P26" s="93"/>
      <c r="Q26" s="93" t="s">
        <v>601</v>
      </c>
      <c r="R26" s="93"/>
      <c r="S26" s="93" t="s">
        <v>602</v>
      </c>
      <c r="U26" s="16" t="s">
        <v>603</v>
      </c>
    </row>
    <row r="27" spans="1:21">
      <c r="A27" s="93">
        <f>A16+1</f>
        <v>5</v>
      </c>
      <c r="C27" s="4" t="s">
        <v>26</v>
      </c>
      <c r="E27" s="5">
        <v>0.45910000000000001</v>
      </c>
      <c r="G27" s="4">
        <f>'D P2'!M12</f>
        <v>303345466.25954235</v>
      </c>
      <c r="I27" s="26">
        <f>G27/$G$31</f>
        <v>0.42912203130581406</v>
      </c>
      <c r="K27" s="26">
        <f>E27</f>
        <v>0.45910000000000001</v>
      </c>
      <c r="L27" s="26"/>
      <c r="M27" s="42">
        <f>$G$31*K27</f>
        <v>324536829.61923707</v>
      </c>
      <c r="O27" s="42">
        <f>M27-G27</f>
        <v>21191363.359694719</v>
      </c>
      <c r="Q27" s="42">
        <f>Q13</f>
        <v>306657170.8038348</v>
      </c>
      <c r="S27" s="42">
        <f>$Q$16*K27</f>
        <v>327848534.09890002</v>
      </c>
      <c r="U27" s="4">
        <f>S27-Q27</f>
        <v>21191363.295065224</v>
      </c>
    </row>
    <row r="28" spans="1:21">
      <c r="A28" s="93">
        <f>A27+1</f>
        <v>6</v>
      </c>
      <c r="C28" s="4" t="s">
        <v>25</v>
      </c>
      <c r="E28" s="239">
        <v>4.0899999999999999E-2</v>
      </c>
      <c r="G28" s="4">
        <f>'D P2'!M13</f>
        <v>27017158.040562041</v>
      </c>
      <c r="I28" s="26">
        <f>G28/$G$31</f>
        <v>3.8219320965742265E-2</v>
      </c>
      <c r="K28" s="26">
        <f>E28</f>
        <v>4.0899999999999999E-2</v>
      </c>
      <c r="L28" s="26"/>
      <c r="M28" s="42">
        <f>$G$31*K28</f>
        <v>28912124.442227829</v>
      </c>
      <c r="O28" s="42">
        <f>M28-G28</f>
        <v>1894966.4016657881</v>
      </c>
      <c r="Q28" s="42">
        <f>Q14</f>
        <v>27312189.005191881</v>
      </c>
      <c r="S28" s="42">
        <f>$Q$16*K28</f>
        <v>29207155.401099999</v>
      </c>
      <c r="U28" s="4">
        <f>S28-Q28</f>
        <v>1894966.3959081173</v>
      </c>
    </row>
    <row r="29" spans="1:21">
      <c r="A29" s="93">
        <f t="shared" ref="A29:A31" si="1">A28+1</f>
        <v>7</v>
      </c>
      <c r="C29" s="4" t="s">
        <v>301</v>
      </c>
      <c r="E29" s="5">
        <f>SUM(E27:E28)</f>
        <v>0.5</v>
      </c>
      <c r="G29" s="4"/>
      <c r="U29" s="4"/>
    </row>
    <row r="30" spans="1:21">
      <c r="A30" s="93">
        <f t="shared" si="1"/>
        <v>8</v>
      </c>
      <c r="C30" s="4" t="s">
        <v>27</v>
      </c>
      <c r="E30" s="5">
        <v>0.5</v>
      </c>
      <c r="G30" s="4">
        <f>'D P2'!M14</f>
        <v>376535283.82282549</v>
      </c>
      <c r="I30" s="26">
        <f>G30/$G$31</f>
        <v>0.53265864772844373</v>
      </c>
      <c r="K30" s="5">
        <f>E30</f>
        <v>0.5</v>
      </c>
      <c r="L30" s="5"/>
      <c r="M30" s="42">
        <f>$G$31*K30</f>
        <v>353448954.06146491</v>
      </c>
      <c r="O30" s="42">
        <f>M30-G30</f>
        <v>-23086329.761360586</v>
      </c>
      <c r="Q30" s="42">
        <f>Q15</f>
        <v>380142019.33174777</v>
      </c>
      <c r="S30" s="42">
        <f>$Q$16*K30</f>
        <v>357055689.5</v>
      </c>
      <c r="U30" s="45">
        <f>S30-Q30</f>
        <v>-23086329.83174777</v>
      </c>
    </row>
    <row r="31" spans="1:21" ht="13.5" thickBot="1">
      <c r="A31" s="93">
        <f t="shared" si="1"/>
        <v>9</v>
      </c>
      <c r="C31" s="4" t="s">
        <v>28</v>
      </c>
      <c r="E31" s="32">
        <f>SUM(E29:E30)</f>
        <v>1</v>
      </c>
      <c r="G31" s="18">
        <f>SUM(G27:G30)</f>
        <v>706897908.12292981</v>
      </c>
      <c r="I31" s="32">
        <f>SUM(I27:I30)</f>
        <v>1</v>
      </c>
      <c r="K31" s="32">
        <f>SUM(K27:K30)</f>
        <v>1</v>
      </c>
      <c r="L31" s="33"/>
      <c r="M31" s="18">
        <f>SUM(M27:M30)</f>
        <v>706897908.12292981</v>
      </c>
      <c r="O31" s="18">
        <f>ROUND(SUM(O27:O30),0)</f>
        <v>0</v>
      </c>
      <c r="Q31" s="43">
        <f>SUM(Q27:Q30)</f>
        <v>714111379.14077449</v>
      </c>
      <c r="S31" s="43">
        <f>SUM(S27:S30)</f>
        <v>714111379</v>
      </c>
      <c r="U31" s="18">
        <f>ROUND(SUM(U27:U30),0)</f>
        <v>0</v>
      </c>
    </row>
    <row r="32" spans="1:21" ht="13.5" thickTop="1">
      <c r="A32"/>
      <c r="B32"/>
      <c r="C32"/>
      <c r="D32"/>
      <c r="E32"/>
      <c r="F32"/>
      <c r="G32" s="149"/>
      <c r="H32"/>
      <c r="I32"/>
      <c r="J32"/>
      <c r="K32"/>
      <c r="L32"/>
      <c r="M32"/>
    </row>
    <row r="33" spans="1:21">
      <c r="A33" s="1" t="s">
        <v>604</v>
      </c>
      <c r="B33"/>
      <c r="C33"/>
      <c r="D33"/>
      <c r="E33"/>
      <c r="F33"/>
      <c r="G33" s="149"/>
      <c r="H33"/>
      <c r="I33"/>
      <c r="J33"/>
      <c r="K33"/>
      <c r="L33"/>
      <c r="M33"/>
      <c r="U33" s="16"/>
    </row>
    <row r="34" spans="1:21">
      <c r="A34"/>
      <c r="B34"/>
      <c r="C34"/>
      <c r="D34"/>
      <c r="E34"/>
      <c r="F34"/>
      <c r="G34" s="149"/>
      <c r="H34"/>
      <c r="I34"/>
      <c r="J34"/>
      <c r="K34"/>
      <c r="L34"/>
      <c r="M34"/>
    </row>
    <row r="35" spans="1:21">
      <c r="A35" t="s">
        <v>302</v>
      </c>
      <c r="B35"/>
      <c r="C35"/>
      <c r="D35"/>
      <c r="E35"/>
      <c r="F35"/>
      <c r="G35" s="149"/>
      <c r="H35"/>
      <c r="I35"/>
      <c r="J35"/>
    </row>
    <row r="36" spans="1:21">
      <c r="A36"/>
      <c r="B36"/>
      <c r="C36"/>
      <c r="D36"/>
      <c r="E36"/>
      <c r="F36"/>
      <c r="G36" s="149"/>
      <c r="H36"/>
      <c r="I36"/>
      <c r="J36"/>
      <c r="K36" t="s">
        <v>303</v>
      </c>
      <c r="L36"/>
      <c r="M36"/>
    </row>
    <row r="37" spans="1:21">
      <c r="A37"/>
      <c r="B37"/>
      <c r="C37"/>
      <c r="D37"/>
      <c r="E37"/>
      <c r="F37"/>
      <c r="G37" s="149"/>
      <c r="H37"/>
      <c r="I37"/>
      <c r="J37"/>
      <c r="K37" s="150">
        <f>I30-K30</f>
        <v>3.2658647728443735E-2</v>
      </c>
      <c r="L37" s="150"/>
      <c r="M37" s="150"/>
    </row>
    <row r="38" spans="1:21">
      <c r="A38"/>
      <c r="B38"/>
      <c r="C38" s="4" t="s">
        <v>26</v>
      </c>
      <c r="D38"/>
      <c r="E38"/>
      <c r="F38"/>
      <c r="G38" s="149">
        <f>G27</f>
        <v>303345466.25954235</v>
      </c>
      <c r="H38"/>
      <c r="I38">
        <f>G38/$G$40</f>
        <v>0.91821968935559917</v>
      </c>
      <c r="J38"/>
      <c r="K38">
        <f>$K$37*I38</f>
        <v>2.9987813371985552E-2</v>
      </c>
      <c r="L38"/>
      <c r="M38"/>
      <c r="O38" s="99">
        <v>1.0699764605178688</v>
      </c>
    </row>
    <row r="39" spans="1:21">
      <c r="A39"/>
      <c r="B39"/>
      <c r="C39" s="4" t="s">
        <v>25</v>
      </c>
      <c r="D39"/>
      <c r="E39"/>
      <c r="F39"/>
      <c r="G39" s="149">
        <f>G28</f>
        <v>27017158.040562041</v>
      </c>
      <c r="H39"/>
      <c r="I39">
        <f>G39/$G$40</f>
        <v>8.1780310644400903E-2</v>
      </c>
      <c r="J39"/>
      <c r="K39">
        <f>$K$37*I39</f>
        <v>2.6708343564581867E-3</v>
      </c>
      <c r="L39"/>
      <c r="M39"/>
      <c r="O39" s="99">
        <v>1.0699764605178688</v>
      </c>
    </row>
    <row r="40" spans="1:21">
      <c r="A40"/>
      <c r="B40"/>
      <c r="C40" t="s">
        <v>301</v>
      </c>
      <c r="D40"/>
      <c r="E40"/>
      <c r="F40"/>
      <c r="G40" s="149">
        <f>SUM(G38:G39)</f>
        <v>330362624.30010438</v>
      </c>
      <c r="H40"/>
      <c r="I40">
        <f>SUM(I38:I39)</f>
        <v>1</v>
      </c>
      <c r="J40"/>
      <c r="K40">
        <f>SUM(K38:K39)</f>
        <v>3.2658647728443742E-2</v>
      </c>
      <c r="L40"/>
      <c r="M40"/>
      <c r="O40" s="99">
        <v>0.93861460484325132</v>
      </c>
    </row>
    <row r="41" spans="1:21">
      <c r="A41"/>
      <c r="B41"/>
      <c r="C41"/>
      <c r="D41"/>
      <c r="E41"/>
      <c r="F41"/>
      <c r="G41" s="149"/>
      <c r="H41"/>
      <c r="I41"/>
      <c r="J41"/>
      <c r="K41"/>
      <c r="L41"/>
      <c r="M41"/>
    </row>
    <row r="43" spans="1:21">
      <c r="C43" s="1" t="s">
        <v>605</v>
      </c>
    </row>
    <row r="44" spans="1:21">
      <c r="C44" s="1" t="s">
        <v>606</v>
      </c>
      <c r="E44" s="4">
        <f>B.1!G38</f>
        <v>-5482810.9702472575</v>
      </c>
    </row>
    <row r="45" spans="1:21">
      <c r="C45" s="1" t="s">
        <v>607</v>
      </c>
      <c r="E45" s="42">
        <f>G16</f>
        <v>-5482810.9702472575</v>
      </c>
    </row>
    <row r="46" spans="1:21">
      <c r="E46" s="161">
        <f>E44-E45</f>
        <v>0</v>
      </c>
    </row>
    <row r="47" spans="1:21">
      <c r="C47" s="1" t="s">
        <v>608</v>
      </c>
    </row>
    <row r="48" spans="1:21">
      <c r="C48" s="1" t="s">
        <v>609</v>
      </c>
      <c r="E48" s="4">
        <f>B.1!I38</f>
        <v>-109594</v>
      </c>
    </row>
    <row r="49" spans="3:5">
      <c r="C49" s="1" t="s">
        <v>610</v>
      </c>
      <c r="E49" s="4">
        <f>$I$16</f>
        <v>-109594</v>
      </c>
    </row>
    <row r="50" spans="3:5">
      <c r="E50" s="161">
        <f>E48-E49</f>
        <v>0</v>
      </c>
    </row>
    <row r="52" spans="3:5">
      <c r="C52" s="1" t="s">
        <v>424</v>
      </c>
    </row>
    <row r="53" spans="3:5">
      <c r="C53" s="1" t="s">
        <v>477</v>
      </c>
      <c r="E53" s="4">
        <f>B.1!J38</f>
        <v>-7173392.2530000005</v>
      </c>
    </row>
    <row r="54" spans="3:5">
      <c r="C54" s="1" t="s">
        <v>478</v>
      </c>
      <c r="E54" s="45">
        <f>$K$16</f>
        <v>-7173392.2530000005</v>
      </c>
    </row>
    <row r="55" spans="3:5">
      <c r="E55" s="4">
        <f>E53-E54</f>
        <v>0</v>
      </c>
    </row>
    <row r="56" spans="3:5">
      <c r="E56" s="4"/>
    </row>
    <row r="57" spans="3:5">
      <c r="C57" s="1" t="s">
        <v>371</v>
      </c>
      <c r="E57" s="4">
        <f>B.1!K38</f>
        <v>19979268.241091803</v>
      </c>
    </row>
    <row r="58" spans="3:5">
      <c r="C58" s="1" t="s">
        <v>568</v>
      </c>
      <c r="E58" s="45">
        <f>M16</f>
        <v>19979268.241091803</v>
      </c>
    </row>
    <row r="59" spans="3:5">
      <c r="C59" s="1" t="s">
        <v>611</v>
      </c>
      <c r="E59" s="4">
        <f>E57-E58</f>
        <v>0</v>
      </c>
    </row>
  </sheetData>
  <mergeCells count="2">
    <mergeCell ref="G23:I23"/>
    <mergeCell ref="K24:M24"/>
  </mergeCells>
  <pageMargins left="0.7" right="0.7" top="0.75" bottom="0.75" header="0.3" footer="0.3"/>
  <pageSetup scale="6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O34"/>
  <sheetViews>
    <sheetView workbookViewId="0">
      <selection activeCell="E64" sqref="E64"/>
    </sheetView>
  </sheetViews>
  <sheetFormatPr defaultRowHeight="12.75"/>
  <cols>
    <col min="1" max="1" width="5.42578125" style="1" customWidth="1"/>
    <col min="2" max="2" width="3.7109375" style="1" customWidth="1"/>
    <col min="3" max="3" width="45.42578125" style="1" customWidth="1"/>
    <col min="4" max="4" width="2.85546875" style="1" customWidth="1"/>
    <col min="5" max="5" width="15.85546875" style="1" customWidth="1"/>
    <col min="6" max="6" width="2.85546875" style="1" customWidth="1"/>
    <col min="7" max="7" width="16.140625" style="1" customWidth="1"/>
    <col min="8" max="8" width="3.7109375" style="1" customWidth="1"/>
    <col min="9" max="9" width="15.140625" style="1" customWidth="1"/>
    <col min="10" max="10" width="3" style="1" customWidth="1"/>
    <col min="11" max="11" width="12.85546875" style="1" bestFit="1" customWidth="1"/>
    <col min="12" max="12" width="3.140625" style="1" customWidth="1"/>
    <col min="13" max="13" width="17.7109375" style="1" bestFit="1" customWidth="1"/>
    <col min="14" max="14" width="2.85546875" style="1" customWidth="1"/>
    <col min="15" max="15" width="13.5703125" style="1" customWidth="1"/>
    <col min="16" max="16384" width="9.140625" style="1"/>
  </cols>
  <sheetData>
    <row r="1" spans="1:15">
      <c r="A1" s="1" t="s">
        <v>273</v>
      </c>
      <c r="O1" s="27" t="s">
        <v>195</v>
      </c>
    </row>
    <row r="2" spans="1:15">
      <c r="A2" s="1" t="s">
        <v>312</v>
      </c>
      <c r="O2" s="27" t="s">
        <v>207</v>
      </c>
    </row>
    <row r="3" spans="1:15">
      <c r="O3" s="27" t="s">
        <v>274</v>
      </c>
    </row>
    <row r="4" spans="1:15">
      <c r="A4" s="1" t="s">
        <v>287</v>
      </c>
      <c r="O4" s="27" t="s">
        <v>37</v>
      </c>
    </row>
    <row r="5" spans="1:15">
      <c r="A5" s="206"/>
      <c r="B5" s="206"/>
    </row>
    <row r="6" spans="1:15">
      <c r="I6" s="93" t="s">
        <v>313</v>
      </c>
    </row>
    <row r="7" spans="1:15" ht="25.5">
      <c r="A7" s="61" t="s">
        <v>40</v>
      </c>
      <c r="B7" s="207"/>
      <c r="C7" s="2" t="s">
        <v>314</v>
      </c>
      <c r="E7" s="198" t="s">
        <v>315</v>
      </c>
      <c r="G7" s="61" t="s">
        <v>316</v>
      </c>
      <c r="I7" s="61" t="s">
        <v>317</v>
      </c>
      <c r="K7" s="61" t="s">
        <v>318</v>
      </c>
      <c r="M7" s="61" t="s">
        <v>319</v>
      </c>
      <c r="O7" s="61" t="s">
        <v>312</v>
      </c>
    </row>
    <row r="8" spans="1:15">
      <c r="A8" s="93"/>
      <c r="E8" s="208" t="s">
        <v>6</v>
      </c>
      <c r="F8" s="208"/>
      <c r="G8" s="208" t="s">
        <v>7</v>
      </c>
      <c r="I8" s="93" t="s">
        <v>8</v>
      </c>
      <c r="K8" s="93" t="s">
        <v>38</v>
      </c>
      <c r="M8" s="93" t="s">
        <v>320</v>
      </c>
      <c r="O8" s="93" t="s">
        <v>321</v>
      </c>
    </row>
    <row r="9" spans="1:15">
      <c r="A9" s="93"/>
      <c r="C9" s="1" t="s">
        <v>322</v>
      </c>
      <c r="E9" s="209"/>
      <c r="F9" s="209"/>
      <c r="G9" s="209"/>
    </row>
    <row r="10" spans="1:15">
      <c r="A10" s="210">
        <v>1</v>
      </c>
      <c r="B10" s="211"/>
      <c r="C10" s="1" t="s">
        <v>323</v>
      </c>
      <c r="E10" s="4">
        <v>972396710.28999996</v>
      </c>
      <c r="F10" s="4"/>
      <c r="G10" s="4">
        <v>1244613620.6835377</v>
      </c>
      <c r="I10" s="209">
        <f>G10-E10</f>
        <v>272216910.39353776</v>
      </c>
      <c r="K10" s="212">
        <v>0.98111000000000004</v>
      </c>
      <c r="M10" s="4">
        <f>I10*K10</f>
        <v>267074732.95620385</v>
      </c>
      <c r="O10" s="42">
        <f>M10-I10</f>
        <v>-5142177.4373339117</v>
      </c>
    </row>
    <row r="11" spans="1:15">
      <c r="A11" s="210">
        <v>2</v>
      </c>
      <c r="B11" s="211"/>
      <c r="C11" s="1" t="s">
        <v>324</v>
      </c>
      <c r="E11" s="4">
        <v>0</v>
      </c>
      <c r="F11" s="4"/>
      <c r="G11" s="4">
        <v>0</v>
      </c>
    </row>
    <row r="12" spans="1:15">
      <c r="A12" s="210">
        <v>3</v>
      </c>
      <c r="B12" s="211"/>
      <c r="C12" s="1" t="s">
        <v>325</v>
      </c>
      <c r="E12" s="45">
        <v>-341634828.74138117</v>
      </c>
      <c r="F12" s="4"/>
      <c r="G12" s="45">
        <v>-373470159.87169391</v>
      </c>
      <c r="I12" s="45"/>
      <c r="M12" s="45"/>
      <c r="O12" s="45"/>
    </row>
    <row r="13" spans="1:15">
      <c r="A13" s="210">
        <v>4</v>
      </c>
      <c r="B13" s="211"/>
      <c r="C13" s="1" t="s">
        <v>326</v>
      </c>
      <c r="E13" s="4">
        <f>SUM(E10:E12)</f>
        <v>630761881.54861879</v>
      </c>
      <c r="F13" s="4"/>
      <c r="G13" s="4">
        <f>SUM(G10:G12)</f>
        <v>871143460.81184387</v>
      </c>
      <c r="I13" s="4">
        <f>SUM(I10:I12)</f>
        <v>272216910.39353776</v>
      </c>
      <c r="M13" s="4">
        <f>SUM(M10:M12)</f>
        <v>267074732.95620385</v>
      </c>
      <c r="O13" s="4">
        <f>SUM(O10:O12)</f>
        <v>-5142177.4373339117</v>
      </c>
    </row>
    <row r="14" spans="1:15">
      <c r="A14" s="210">
        <v>5</v>
      </c>
      <c r="B14" s="211"/>
      <c r="C14" s="1" t="s">
        <v>327</v>
      </c>
      <c r="E14" s="45">
        <v>6873393.7740000002</v>
      </c>
      <c r="F14" s="4"/>
      <c r="G14" s="45">
        <v>24905873.017692305</v>
      </c>
      <c r="I14" s="45">
        <f>G14-E14</f>
        <v>18032479.243692305</v>
      </c>
      <c r="K14" s="212">
        <v>0.98111000000000004</v>
      </c>
      <c r="M14" s="45">
        <f>I14*K14</f>
        <v>17691845.710778959</v>
      </c>
      <c r="O14" s="45">
        <f>M14-I14</f>
        <v>-340633.53291334584</v>
      </c>
    </row>
    <row r="15" spans="1:15">
      <c r="A15" s="210">
        <v>6</v>
      </c>
      <c r="B15" s="211"/>
      <c r="C15" s="1" t="s">
        <v>328</v>
      </c>
      <c r="E15" s="4">
        <f>SUM(E13:E14)</f>
        <v>637635275.32261884</v>
      </c>
      <c r="F15" s="4"/>
      <c r="G15" s="4">
        <f>SUM(G13:G14)</f>
        <v>896049333.8295362</v>
      </c>
      <c r="I15" s="4">
        <f>SUM(I13:I14)</f>
        <v>290249389.63723004</v>
      </c>
      <c r="M15" s="4">
        <f>SUM(M13:M14)</f>
        <v>284766578.66698283</v>
      </c>
      <c r="O15" s="4">
        <f>SUM(O13:O14)</f>
        <v>-5482810.9702472575</v>
      </c>
    </row>
    <row r="16" spans="1:15">
      <c r="A16" s="210"/>
      <c r="B16" s="211"/>
      <c r="E16" s="4"/>
      <c r="F16" s="4"/>
      <c r="G16" s="4"/>
      <c r="I16" s="4"/>
      <c r="M16" s="4"/>
      <c r="O16" s="4"/>
    </row>
    <row r="17" spans="1:15">
      <c r="A17" s="210">
        <v>7</v>
      </c>
      <c r="B17" s="211"/>
      <c r="C17" s="1" t="s">
        <v>329</v>
      </c>
      <c r="E17" s="4">
        <v>9147384.1849676184</v>
      </c>
      <c r="F17" s="4"/>
      <c r="G17" s="4">
        <v>9932408.8288240321</v>
      </c>
      <c r="I17" s="4"/>
      <c r="M17" s="4"/>
      <c r="O17" s="4"/>
    </row>
    <row r="18" spans="1:15">
      <c r="A18" s="210">
        <v>8</v>
      </c>
      <c r="B18" s="211"/>
      <c r="C18" s="1" t="s">
        <v>330</v>
      </c>
      <c r="E18" s="4">
        <v>29355027.956129562</v>
      </c>
      <c r="F18" s="4"/>
      <c r="G18" s="4">
        <v>27741112.995517291</v>
      </c>
      <c r="I18" s="4"/>
      <c r="M18" s="4"/>
      <c r="O18" s="4"/>
    </row>
    <row r="19" spans="1:15">
      <c r="A19" s="210">
        <v>9</v>
      </c>
      <c r="B19" s="211"/>
      <c r="C19" s="1" t="s">
        <v>262</v>
      </c>
      <c r="E19" s="4">
        <v>51880.390759477239</v>
      </c>
      <c r="F19" s="4"/>
      <c r="G19" s="4">
        <v>-53440.570000000036</v>
      </c>
      <c r="I19" s="4"/>
      <c r="M19" s="4"/>
      <c r="O19" s="4"/>
    </row>
    <row r="20" spans="1:15">
      <c r="A20" s="210">
        <v>10</v>
      </c>
      <c r="B20" s="211"/>
      <c r="C20" s="1" t="s">
        <v>331</v>
      </c>
      <c r="E20" s="4">
        <v>-174281670.68055716</v>
      </c>
      <c r="F20" s="4"/>
      <c r="G20" s="4">
        <v>-221284687.9888722</v>
      </c>
      <c r="I20" s="4"/>
      <c r="M20" s="4"/>
      <c r="O20" s="4"/>
    </row>
    <row r="21" spans="1:15">
      <c r="A21" s="210">
        <v>11</v>
      </c>
      <c r="B21" s="211"/>
      <c r="C21" s="1" t="s">
        <v>332</v>
      </c>
      <c r="E21" s="4">
        <v>0</v>
      </c>
      <c r="F21" s="4"/>
      <c r="G21" s="4">
        <v>0</v>
      </c>
      <c r="I21" s="4"/>
      <c r="M21" s="4"/>
      <c r="O21" s="4"/>
    </row>
    <row r="22" spans="1:15">
      <c r="A22" s="210">
        <v>12</v>
      </c>
      <c r="B22" s="211"/>
      <c r="C22" s="1" t="s">
        <v>333</v>
      </c>
      <c r="E22" s="4">
        <v>0</v>
      </c>
      <c r="F22" s="4"/>
      <c r="G22" s="4">
        <v>0</v>
      </c>
      <c r="I22" s="4"/>
      <c r="M22" s="4"/>
      <c r="O22" s="4"/>
    </row>
    <row r="23" spans="1:15">
      <c r="A23" s="210"/>
      <c r="B23" s="211"/>
      <c r="E23" s="4"/>
      <c r="F23" s="4"/>
      <c r="G23" s="4"/>
      <c r="I23" s="4"/>
      <c r="M23" s="4"/>
      <c r="O23" s="4"/>
    </row>
    <row r="24" spans="1:15" ht="13.5" thickBot="1">
      <c r="A24" s="210">
        <v>13</v>
      </c>
      <c r="B24" s="211"/>
      <c r="C24" s="1" t="s">
        <v>334</v>
      </c>
      <c r="E24" s="18">
        <f>SUM(E15:E22)</f>
        <v>501907897.17391837</v>
      </c>
      <c r="F24" s="4"/>
      <c r="G24" s="18">
        <f>SUM(G15:G22)</f>
        <v>712384727.09500527</v>
      </c>
      <c r="I24" s="18">
        <f>SUM(I15:I22)</f>
        <v>290249389.63723004</v>
      </c>
      <c r="M24" s="18">
        <f>SUM(M15:M22)</f>
        <v>284766578.66698283</v>
      </c>
      <c r="O24" s="18">
        <f>SUM(O15:O22)</f>
        <v>-5482810.9702472575</v>
      </c>
    </row>
    <row r="25" spans="1:15" ht="13.5" thickTop="1">
      <c r="A25" s="211"/>
      <c r="B25" s="211"/>
      <c r="E25" s="209"/>
      <c r="F25" s="209"/>
      <c r="G25" s="209"/>
    </row>
    <row r="26" spans="1:15">
      <c r="A26" s="2" t="s">
        <v>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>
      <c r="A27" s="1" t="s">
        <v>335</v>
      </c>
    </row>
    <row r="28" spans="1:15">
      <c r="A28" s="1" t="s">
        <v>336</v>
      </c>
    </row>
    <row r="29" spans="1:15">
      <c r="A29" s="1" t="s">
        <v>337</v>
      </c>
    </row>
    <row r="32" spans="1:15">
      <c r="A32" s="1" t="s">
        <v>338</v>
      </c>
    </row>
    <row r="33" spans="3:7">
      <c r="C33" s="1" t="s">
        <v>339</v>
      </c>
      <c r="E33" s="4">
        <v>501907897.17391837</v>
      </c>
      <c r="F33" s="4"/>
      <c r="G33" s="4">
        <v>712384727.09500527</v>
      </c>
    </row>
    <row r="34" spans="3:7">
      <c r="C34" s="1" t="s">
        <v>340</v>
      </c>
      <c r="E34" s="42">
        <f>E24-E33</f>
        <v>0</v>
      </c>
      <c r="G34" s="42">
        <f>G24-G33</f>
        <v>0</v>
      </c>
    </row>
  </sheetData>
  <pageMargins left="0.75" right="0.5" top="1" bottom="1" header="0.5" footer="0.5"/>
  <pageSetup scale="76" fitToHeight="3" orientation="landscape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workbookViewId="0">
      <selection activeCell="E64" sqref="E64"/>
    </sheetView>
  </sheetViews>
  <sheetFormatPr defaultRowHeight="12.75"/>
  <cols>
    <col min="1" max="1" width="5" style="1" customWidth="1"/>
    <col min="2" max="2" width="1" style="1" customWidth="1"/>
    <col min="3" max="3" width="76.85546875" style="1" customWidth="1"/>
    <col min="4" max="4" width="1.28515625" style="1" customWidth="1"/>
    <col min="5" max="5" width="11.140625" style="1" bestFit="1" customWidth="1"/>
    <col min="6" max="6" width="1.28515625" style="1" customWidth="1"/>
    <col min="7" max="7" width="12.28515625" style="1" customWidth="1"/>
    <col min="8" max="8" width="1" style="1" customWidth="1"/>
    <col min="9" max="9" width="11.140625" style="1" bestFit="1" customWidth="1"/>
    <col min="10" max="10" width="1.140625" style="1" customWidth="1"/>
    <col min="11" max="11" width="11.28515625" style="1" bestFit="1" customWidth="1"/>
    <col min="12" max="16384" width="9.140625" style="1"/>
  </cols>
  <sheetData>
    <row r="1" spans="1:7">
      <c r="A1" s="1" t="str">
        <f>Contents!A1</f>
        <v>Louisville Gas and Electric Company</v>
      </c>
      <c r="G1" s="27" t="str">
        <f>Contents!A4</f>
        <v>Exhibit RCS-2</v>
      </c>
    </row>
    <row r="2" spans="1:7">
      <c r="A2" s="1" t="s">
        <v>488</v>
      </c>
      <c r="G2" s="27" t="s">
        <v>208</v>
      </c>
    </row>
    <row r="3" spans="1:7">
      <c r="G3" s="27" t="str">
        <f>Contents!A2</f>
        <v>Case No. 2016-00371</v>
      </c>
    </row>
    <row r="4" spans="1:7">
      <c r="A4" s="1" t="s">
        <v>287</v>
      </c>
      <c r="G4" s="27" t="s">
        <v>37</v>
      </c>
    </row>
    <row r="6" spans="1:7">
      <c r="E6" s="93" t="s">
        <v>199</v>
      </c>
      <c r="F6" s="93"/>
      <c r="G6" s="93"/>
    </row>
    <row r="7" spans="1:7">
      <c r="A7" s="93" t="s">
        <v>0</v>
      </c>
      <c r="E7" s="93" t="s">
        <v>203</v>
      </c>
      <c r="F7" s="93"/>
      <c r="G7" s="93"/>
    </row>
    <row r="8" spans="1:7">
      <c r="A8" s="221" t="s">
        <v>2</v>
      </c>
      <c r="C8" s="2" t="s">
        <v>3</v>
      </c>
      <c r="D8" s="13"/>
      <c r="E8" s="221" t="s">
        <v>16</v>
      </c>
      <c r="F8" s="93"/>
      <c r="G8" s="221" t="s">
        <v>15</v>
      </c>
    </row>
    <row r="9" spans="1:7">
      <c r="E9" s="93" t="s">
        <v>6</v>
      </c>
    </row>
    <row r="10" spans="1:7">
      <c r="C10" s="1" t="s">
        <v>567</v>
      </c>
      <c r="E10" s="13"/>
    </row>
  </sheetData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28"/>
  <sheetViews>
    <sheetView workbookViewId="0">
      <selection activeCell="C21" sqref="C21"/>
    </sheetView>
  </sheetViews>
  <sheetFormatPr defaultRowHeight="12.75"/>
  <cols>
    <col min="1" max="1" width="4.5703125" style="1" customWidth="1"/>
    <col min="2" max="2" width="2.5703125" style="1" customWidth="1"/>
    <col min="3" max="3" width="42" style="1" customWidth="1"/>
    <col min="4" max="4" width="0.85546875" style="1" customWidth="1"/>
    <col min="5" max="5" width="14.85546875" style="1" bestFit="1" customWidth="1"/>
    <col min="6" max="6" width="1" style="1" customWidth="1"/>
    <col min="7" max="7" width="13.42578125" style="1" bestFit="1" customWidth="1"/>
    <col min="8" max="8" width="1.140625" style="1" customWidth="1"/>
    <col min="9" max="9" width="15.42578125" style="1" customWidth="1"/>
    <col min="10" max="10" width="1.28515625" style="1" customWidth="1"/>
    <col min="11" max="16384" width="9.140625" style="1"/>
  </cols>
  <sheetData>
    <row r="1" spans="1:10">
      <c r="A1" s="1" t="str">
        <f>[1]Contents!A1</f>
        <v>Louisville Gas and Electric Company</v>
      </c>
      <c r="F1" s="10"/>
      <c r="H1" s="10"/>
      <c r="I1" s="27" t="s">
        <v>195</v>
      </c>
    </row>
    <row r="2" spans="1:10">
      <c r="A2" s="83" t="s">
        <v>128</v>
      </c>
      <c r="F2" s="10"/>
      <c r="H2" s="10"/>
      <c r="I2" s="27" t="s">
        <v>168</v>
      </c>
    </row>
    <row r="3" spans="1:10">
      <c r="A3" s="39"/>
      <c r="F3" s="10"/>
      <c r="H3" s="10"/>
      <c r="I3" s="27" t="s">
        <v>274</v>
      </c>
    </row>
    <row r="4" spans="1:10">
      <c r="A4" s="1" t="s">
        <v>287</v>
      </c>
      <c r="F4" s="10"/>
      <c r="H4" s="10"/>
      <c r="I4" s="27" t="s">
        <v>71</v>
      </c>
    </row>
    <row r="5" spans="1:10">
      <c r="E5" s="93"/>
    </row>
    <row r="6" spans="1:10">
      <c r="E6" s="93"/>
    </row>
    <row r="7" spans="1:10">
      <c r="E7" s="93" t="s">
        <v>342</v>
      </c>
      <c r="G7" s="93"/>
      <c r="H7" s="93"/>
      <c r="I7" s="93" t="s">
        <v>155</v>
      </c>
    </row>
    <row r="8" spans="1:10">
      <c r="A8" s="93" t="s">
        <v>0</v>
      </c>
      <c r="E8" s="93" t="s">
        <v>343</v>
      </c>
      <c r="G8" s="93" t="s">
        <v>155</v>
      </c>
      <c r="H8" s="93"/>
      <c r="I8" s="93" t="s">
        <v>181</v>
      </c>
    </row>
    <row r="9" spans="1:10">
      <c r="A9" s="162" t="s">
        <v>2</v>
      </c>
      <c r="C9" s="2" t="s">
        <v>3</v>
      </c>
      <c r="E9" s="162" t="s">
        <v>16</v>
      </c>
      <c r="G9" s="162" t="s">
        <v>4</v>
      </c>
      <c r="H9" s="12"/>
      <c r="I9" s="162" t="s">
        <v>16</v>
      </c>
    </row>
    <row r="10" spans="1:10">
      <c r="E10" s="93" t="s">
        <v>6</v>
      </c>
      <c r="G10" s="93" t="s">
        <v>7</v>
      </c>
      <c r="H10" s="13"/>
      <c r="I10" s="93" t="s">
        <v>18</v>
      </c>
    </row>
    <row r="11" spans="1:10">
      <c r="H11" s="13"/>
    </row>
    <row r="12" spans="1:10">
      <c r="A12" s="93">
        <v>1</v>
      </c>
      <c r="C12" s="1" t="s">
        <v>344</v>
      </c>
      <c r="E12" s="4">
        <v>214351285.52134946</v>
      </c>
      <c r="F12" s="4"/>
      <c r="G12" s="225">
        <f>'B-3, P2'!I23</f>
        <v>-876754.83864666708</v>
      </c>
      <c r="H12" s="19"/>
      <c r="I12" s="4">
        <f>E12+G12</f>
        <v>213474530.68270278</v>
      </c>
      <c r="J12" s="4"/>
    </row>
    <row r="13" spans="1:10">
      <c r="A13" s="93"/>
      <c r="C13" s="1" t="s">
        <v>345</v>
      </c>
      <c r="E13" s="4"/>
      <c r="F13" s="4"/>
      <c r="G13" s="4"/>
      <c r="H13" s="19"/>
      <c r="I13" s="4">
        <f t="shared" ref="I13:I17" si="0">E13+G13</f>
        <v>0</v>
      </c>
      <c r="J13" s="4"/>
    </row>
    <row r="14" spans="1:10">
      <c r="A14" s="93">
        <f>A12+1</f>
        <v>2</v>
      </c>
      <c r="C14" s="1" t="s">
        <v>346</v>
      </c>
      <c r="E14" s="19"/>
      <c r="F14" s="19"/>
      <c r="G14" s="19"/>
      <c r="H14" s="19"/>
      <c r="I14" s="4">
        <f t="shared" si="0"/>
        <v>0</v>
      </c>
      <c r="J14" s="4"/>
    </row>
    <row r="15" spans="1:10">
      <c r="A15" s="93">
        <f>A14+1</f>
        <v>3</v>
      </c>
      <c r="C15" s="1" t="s">
        <v>347</v>
      </c>
      <c r="E15" s="4">
        <f>-134892014.890757</f>
        <v>-134892014.89075699</v>
      </c>
      <c r="F15" s="4"/>
      <c r="G15" s="4"/>
      <c r="H15" s="4"/>
      <c r="I15" s="4">
        <f t="shared" si="0"/>
        <v>-134892014.89075699</v>
      </c>
      <c r="J15" s="4"/>
    </row>
    <row r="16" spans="1:10">
      <c r="A16" s="93">
        <f t="shared" ref="A16:A20" si="1">A15+1</f>
        <v>4</v>
      </c>
      <c r="E16" s="19"/>
      <c r="F16" s="19"/>
      <c r="G16" s="19"/>
      <c r="H16" s="19"/>
      <c r="I16" s="19">
        <f t="shared" si="0"/>
        <v>0</v>
      </c>
      <c r="J16" s="4"/>
    </row>
    <row r="17" spans="1:10">
      <c r="A17" s="93">
        <f t="shared" si="1"/>
        <v>5</v>
      </c>
      <c r="E17" s="45"/>
      <c r="F17" s="4"/>
      <c r="G17" s="45">
        <f>'[1]B-3, P2'!I26</f>
        <v>0</v>
      </c>
      <c r="H17" s="4"/>
      <c r="I17" s="45">
        <f t="shared" si="0"/>
        <v>0</v>
      </c>
      <c r="J17" s="4"/>
    </row>
    <row r="18" spans="1:10">
      <c r="A18" s="93">
        <f t="shared" si="1"/>
        <v>6</v>
      </c>
      <c r="C18" s="1" t="s">
        <v>190</v>
      </c>
      <c r="E18" s="42">
        <f>SUM(E12:E17)</f>
        <v>79459270.630592465</v>
      </c>
      <c r="G18" s="42">
        <f t="shared" ref="G18:I18" si="2">SUM(G12:G17)</f>
        <v>-876754.83864666708</v>
      </c>
      <c r="H18" s="42">
        <f t="shared" si="2"/>
        <v>0</v>
      </c>
      <c r="I18" s="42">
        <f t="shared" si="2"/>
        <v>78582515.791945785</v>
      </c>
    </row>
    <row r="19" spans="1:10">
      <c r="A19" s="93">
        <f t="shared" si="1"/>
        <v>7</v>
      </c>
      <c r="C19" s="1" t="s">
        <v>217</v>
      </c>
      <c r="E19" s="113">
        <v>0.125</v>
      </c>
      <c r="G19" s="113">
        <v>0.125</v>
      </c>
      <c r="I19" s="113">
        <v>0.125</v>
      </c>
    </row>
    <row r="20" spans="1:10" ht="13.5" thickBot="1">
      <c r="A20" s="93">
        <f t="shared" si="1"/>
        <v>8</v>
      </c>
      <c r="C20" s="1" t="s">
        <v>128</v>
      </c>
      <c r="E20" s="18">
        <f>ROUND(E18*E19,0)</f>
        <v>9932409</v>
      </c>
      <c r="G20" s="18">
        <f>ROUND(G18*G19,0)</f>
        <v>-109594</v>
      </c>
      <c r="I20" s="18">
        <f>ROUND(I18*I19,0)</f>
        <v>9822814</v>
      </c>
    </row>
    <row r="21" spans="1:10" ht="13.5" thickTop="1"/>
    <row r="22" spans="1:10">
      <c r="I22" s="42"/>
    </row>
    <row r="25" spans="1:10">
      <c r="A25" s="2" t="s">
        <v>9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>
      <c r="A26" s="1" t="s">
        <v>348</v>
      </c>
      <c r="B26" s="49"/>
    </row>
    <row r="27" spans="1:10">
      <c r="A27" s="1" t="s">
        <v>240</v>
      </c>
      <c r="B27" s="49"/>
    </row>
    <row r="28" spans="1:10">
      <c r="B28" s="49"/>
    </row>
  </sheetData>
  <pageMargins left="0.75" right="0.75" top="1" bottom="0.63" header="0.5" footer="0.5"/>
  <pageSetup fitToHeight="3" orientation="landscape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>
      <selection activeCell="E64" sqref="E64"/>
    </sheetView>
  </sheetViews>
  <sheetFormatPr defaultRowHeight="12.75"/>
  <cols>
    <col min="1" max="1" width="4" style="1" customWidth="1"/>
    <col min="2" max="2" width="1" style="1" customWidth="1"/>
    <col min="3" max="3" width="67.28515625" style="1" bestFit="1" customWidth="1"/>
    <col min="4" max="4" width="1.140625" style="1" customWidth="1"/>
    <col min="5" max="5" width="10.42578125" style="1" bestFit="1" customWidth="1"/>
    <col min="6" max="6" width="1.140625" style="1" customWidth="1"/>
    <col min="7" max="7" width="14" style="1" bestFit="1" customWidth="1"/>
    <col min="8" max="8" width="0.85546875" style="1" customWidth="1"/>
    <col min="9" max="9" width="14.140625" style="1" bestFit="1" customWidth="1"/>
    <col min="10" max="10" width="10.28515625" style="1" bestFit="1" customWidth="1"/>
    <col min="11" max="11" width="9.140625" style="1"/>
    <col min="12" max="12" width="14.140625" style="1" bestFit="1" customWidth="1"/>
    <col min="13" max="16384" width="9.140625" style="1"/>
  </cols>
  <sheetData>
    <row r="1" spans="1:10">
      <c r="A1" s="1" t="str">
        <f>Contents!A1</f>
        <v>Louisville Gas and Electric Company</v>
      </c>
      <c r="F1" s="10"/>
      <c r="I1" s="27" t="str">
        <f>Contents!A4</f>
        <v>Exhibit RCS-2</v>
      </c>
    </row>
    <row r="2" spans="1:10">
      <c r="A2" s="1" t="s">
        <v>213</v>
      </c>
      <c r="F2" s="10"/>
      <c r="I2" s="27" t="s">
        <v>168</v>
      </c>
    </row>
    <row r="3" spans="1:10">
      <c r="A3" s="39"/>
      <c r="F3" s="10"/>
      <c r="I3" s="27" t="str">
        <f>Contents!A2</f>
        <v>Case No. 2016-00371</v>
      </c>
    </row>
    <row r="4" spans="1:10">
      <c r="A4" s="1" t="s">
        <v>287</v>
      </c>
      <c r="E4" s="10"/>
      <c r="G4" s="10"/>
      <c r="I4" s="27" t="s">
        <v>53</v>
      </c>
    </row>
    <row r="5" spans="1:10">
      <c r="G5" s="10"/>
    </row>
    <row r="7" spans="1:10">
      <c r="G7" s="93"/>
      <c r="I7" s="93" t="s">
        <v>209</v>
      </c>
    </row>
    <row r="8" spans="1:10">
      <c r="A8" s="1" t="s">
        <v>0</v>
      </c>
      <c r="E8" s="93" t="s">
        <v>34</v>
      </c>
      <c r="G8" s="93" t="s">
        <v>210</v>
      </c>
      <c r="H8" s="93"/>
      <c r="I8" s="12" t="s">
        <v>210</v>
      </c>
      <c r="J8" s="12"/>
    </row>
    <row r="9" spans="1:10">
      <c r="A9" s="2" t="s">
        <v>2</v>
      </c>
      <c r="C9" s="2" t="s">
        <v>3</v>
      </c>
      <c r="E9" s="11" t="s">
        <v>2</v>
      </c>
      <c r="G9" s="11" t="s">
        <v>4</v>
      </c>
      <c r="I9" s="11" t="s">
        <v>230</v>
      </c>
      <c r="J9" s="12"/>
    </row>
    <row r="10" spans="1:10">
      <c r="G10" s="40" t="s">
        <v>6</v>
      </c>
      <c r="I10" s="93" t="s">
        <v>7</v>
      </c>
      <c r="J10" s="12"/>
    </row>
    <row r="11" spans="1:10">
      <c r="G11" s="40"/>
      <c r="I11" s="93"/>
      <c r="J11" s="12"/>
    </row>
    <row r="12" spans="1:10">
      <c r="A12" s="93">
        <v>1</v>
      </c>
      <c r="C12" s="1" t="str">
        <f>Contents!B26</f>
        <v>Interest Synchronization</v>
      </c>
      <c r="E12" s="93" t="str">
        <f>Contents!A26</f>
        <v>C-1</v>
      </c>
      <c r="G12" s="4">
        <f>C.1!H21</f>
        <v>-375535.48724999931</v>
      </c>
      <c r="I12" s="93"/>
      <c r="J12" s="12"/>
    </row>
    <row r="13" spans="1:10">
      <c r="A13" s="93">
        <f t="shared" ref="A13:A18" si="0">A12+1</f>
        <v>2</v>
      </c>
      <c r="C13" s="1" t="str">
        <f>Contents!B27</f>
        <v>Incentive Compensation Expense</v>
      </c>
      <c r="E13" s="93" t="str">
        <f>Contents!A27</f>
        <v>C-2</v>
      </c>
      <c r="G13" s="4">
        <f>C.1!I21</f>
        <v>-412145.25</v>
      </c>
      <c r="I13" s="4">
        <f>C.1!I15</f>
        <v>-673164.25</v>
      </c>
      <c r="J13" s="13"/>
    </row>
    <row r="14" spans="1:10">
      <c r="A14" s="93">
        <f t="shared" si="0"/>
        <v>3</v>
      </c>
      <c r="C14" s="1" t="str">
        <f>Contents!B28</f>
        <v>Advanced Metering Services</v>
      </c>
      <c r="E14" s="93" t="str">
        <f>Contents!A28</f>
        <v>C-3</v>
      </c>
      <c r="G14" s="4">
        <f>C.1!J21</f>
        <v>-322666.02</v>
      </c>
      <c r="I14" s="4">
        <f>C.1!J15</f>
        <v>-324217.01999999996</v>
      </c>
      <c r="J14" s="13"/>
    </row>
    <row r="15" spans="1:10">
      <c r="A15" s="93">
        <f t="shared" si="0"/>
        <v>4</v>
      </c>
      <c r="C15" s="1" t="str">
        <f>Contents!B29</f>
        <v>Transmission Vegetation Management Expense</v>
      </c>
      <c r="E15" s="93" t="str">
        <f>Contents!A29</f>
        <v>C-4</v>
      </c>
      <c r="G15" s="4">
        <f>C.1!K21</f>
        <v>0</v>
      </c>
      <c r="I15" s="4">
        <f t="shared" ref="I15" si="1">G15</f>
        <v>0</v>
      </c>
      <c r="J15" s="13"/>
    </row>
    <row r="16" spans="1:10">
      <c r="A16" s="93">
        <f t="shared" si="0"/>
        <v>5</v>
      </c>
      <c r="C16" s="1" t="str">
        <f>Contents!B30</f>
        <v>Uncollectibles Expense</v>
      </c>
      <c r="E16" s="93" t="str">
        <f>Contents!A30</f>
        <v>C-5</v>
      </c>
      <c r="G16" s="4">
        <f>C.1!L21</f>
        <v>-46622.808979999973</v>
      </c>
      <c r="I16" s="4">
        <f>C.1!L15</f>
        <v>-76149.808979999973</v>
      </c>
      <c r="J16" s="13"/>
    </row>
    <row r="17" spans="1:12">
      <c r="A17" s="93">
        <f t="shared" si="0"/>
        <v>6</v>
      </c>
      <c r="C17" s="1" t="str">
        <f>Contents!B31</f>
        <v>Depreciation Expense - Impacts of Slippage</v>
      </c>
      <c r="E17" s="93" t="str">
        <f>Contents!A31</f>
        <v>C-6</v>
      </c>
      <c r="G17" s="4">
        <f>C.1!M21</f>
        <v>-97920</v>
      </c>
      <c r="I17" s="4">
        <v>0</v>
      </c>
      <c r="J17" s="13"/>
    </row>
    <row r="18" spans="1:12">
      <c r="A18" s="93">
        <f t="shared" si="0"/>
        <v>7</v>
      </c>
      <c r="C18" s="1" t="str">
        <f>Contents!B32</f>
        <v>Depreciation Expense Related to Distribution Automation</v>
      </c>
      <c r="E18" s="93" t="str">
        <f>Contents!A32</f>
        <v>C-7</v>
      </c>
      <c r="G18" s="4">
        <f>C.1!N21</f>
        <v>0</v>
      </c>
      <c r="I18" s="4">
        <v>0</v>
      </c>
      <c r="J18" s="13"/>
    </row>
    <row r="19" spans="1:12">
      <c r="A19" s="93">
        <v>8</v>
      </c>
      <c r="C19" s="1" t="str">
        <f>Contents!B33</f>
        <v>Payroll and Employee Benefits Expense - Remove Vacant Positions</v>
      </c>
      <c r="E19" s="93" t="str">
        <f>Contents!A33</f>
        <v>C-8</v>
      </c>
      <c r="G19" s="4">
        <f>C.1!O21</f>
        <v>-446994.55099999998</v>
      </c>
      <c r="I19" s="4">
        <f>C.1!O15</f>
        <v>-686098.55099999998</v>
      </c>
      <c r="J19" s="13"/>
    </row>
    <row r="20" spans="1:12">
      <c r="A20" s="93">
        <v>9</v>
      </c>
      <c r="C20" s="1" t="str">
        <f>Contents!B34</f>
        <v>PPL Services Corporation Affiliate Charges to LG&amp;E</v>
      </c>
      <c r="E20" s="93" t="str">
        <f>Contents!A34</f>
        <v>C-9</v>
      </c>
      <c r="G20" s="4">
        <f>C.1!P21</f>
        <v>-286538.39999999997</v>
      </c>
      <c r="I20" s="4">
        <f>C.1!P15</f>
        <v>-468008.39999999997</v>
      </c>
      <c r="J20" s="13"/>
    </row>
    <row r="21" spans="1:12">
      <c r="A21" s="93">
        <v>10</v>
      </c>
      <c r="C21" s="1" t="str">
        <f>Contents!B35</f>
        <v>Reverse LG&amp;E Adjustment to Remove Gas Line Tracker Mechanism from Base Rates</v>
      </c>
      <c r="E21" s="93" t="str">
        <f>Contents!A35</f>
        <v>C-10</v>
      </c>
      <c r="G21" s="4">
        <f>C.1!Q21</f>
        <v>1317543.0599808721</v>
      </c>
      <c r="I21" s="4">
        <f>C.1!Q15</f>
        <v>1356586</v>
      </c>
      <c r="J21" s="13"/>
    </row>
    <row r="22" spans="1:12">
      <c r="A22" s="93">
        <v>11</v>
      </c>
      <c r="C22" s="1" t="str">
        <f>Contents!B36</f>
        <v>Rescheduling of Expiring Regulatory Asset Amortizations</v>
      </c>
      <c r="E22" s="93" t="str">
        <f>Contents!A36</f>
        <v>C-11</v>
      </c>
      <c r="G22" s="45">
        <f>C.1!R21</f>
        <v>-3491.8086666669988</v>
      </c>
      <c r="I22" s="4">
        <f>C.1!R15</f>
        <v>-5702.8086666669988</v>
      </c>
      <c r="J22" s="13"/>
    </row>
    <row r="23" spans="1:12">
      <c r="A23" s="93">
        <v>12</v>
      </c>
      <c r="C23" s="1" t="s">
        <v>211</v>
      </c>
      <c r="G23" s="42">
        <f>SUM(G12:G22)</f>
        <v>-674371.26591579407</v>
      </c>
      <c r="I23" s="48">
        <f>SUM(I12:I22)</f>
        <v>-876754.83864666708</v>
      </c>
      <c r="J23" s="38"/>
    </row>
    <row r="24" spans="1:12">
      <c r="A24" s="93">
        <v>13</v>
      </c>
      <c r="C24" s="1" t="s">
        <v>576</v>
      </c>
      <c r="G24" s="42">
        <f>C.1!F21</f>
        <v>-674371.26591579453</v>
      </c>
      <c r="J24" s="13"/>
    </row>
    <row r="25" spans="1:12" ht="13.5" thickBot="1">
      <c r="A25" s="93">
        <v>14</v>
      </c>
      <c r="C25" s="1" t="s">
        <v>212</v>
      </c>
      <c r="G25" s="43">
        <f>G23-G24</f>
        <v>0</v>
      </c>
      <c r="J25" s="13"/>
      <c r="L25" s="42"/>
    </row>
    <row r="26" spans="1:12" ht="13.5" thickTop="1">
      <c r="A26" s="93"/>
      <c r="G26" s="38"/>
      <c r="J26" s="13"/>
      <c r="L26" s="42"/>
    </row>
    <row r="27" spans="1:12">
      <c r="A27" s="93">
        <f>A25+1</f>
        <v>15</v>
      </c>
      <c r="C27" s="1" t="s">
        <v>613</v>
      </c>
      <c r="G27" s="38"/>
      <c r="I27" s="4">
        <f>'C'!$G$17</f>
        <v>-876754.83864666708</v>
      </c>
      <c r="J27" s="13"/>
      <c r="L27" s="42"/>
    </row>
    <row r="28" spans="1:12" ht="13.5" thickBot="1">
      <c r="A28" s="93">
        <f>A27+1</f>
        <v>16</v>
      </c>
      <c r="C28" s="1" t="s">
        <v>212</v>
      </c>
      <c r="G28" s="38"/>
      <c r="I28" s="43">
        <f>I23-I27</f>
        <v>0</v>
      </c>
      <c r="J28" s="13"/>
      <c r="L28" s="42"/>
    </row>
    <row r="29" spans="1:12" ht="13.5" thickTop="1"/>
    <row r="30" spans="1:12">
      <c r="A30" s="1" t="s">
        <v>236</v>
      </c>
    </row>
  </sheetData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>
      <selection activeCell="E64" sqref="E64"/>
    </sheetView>
  </sheetViews>
  <sheetFormatPr defaultRowHeight="12.75"/>
  <cols>
    <col min="1" max="1" width="5.28515625" style="1" customWidth="1"/>
    <col min="2" max="2" width="1.28515625" style="1" customWidth="1"/>
    <col min="3" max="3" width="51" style="1" customWidth="1"/>
    <col min="4" max="4" width="1" style="1" customWidth="1"/>
    <col min="5" max="5" width="12" style="1" bestFit="1" customWidth="1"/>
    <col min="6" max="6" width="1.42578125" style="1" customWidth="1"/>
    <col min="7" max="7" width="11" style="1" customWidth="1"/>
    <col min="8" max="8" width="1.42578125" style="1" customWidth="1"/>
    <col min="9" max="9" width="11.140625" style="1" bestFit="1" customWidth="1"/>
    <col min="10" max="10" width="9.140625" style="1"/>
    <col min="11" max="11" width="10.7109375" style="1" bestFit="1" customWidth="1"/>
    <col min="12" max="16384" width="9.140625" style="1"/>
  </cols>
  <sheetData>
    <row r="1" spans="1:9">
      <c r="A1" s="1" t="str">
        <f>Contents!A1</f>
        <v>Louisville Gas and Electric Company</v>
      </c>
      <c r="G1" s="27"/>
      <c r="I1" s="27" t="str">
        <f>Contents!A4</f>
        <v>Exhibit RCS-2</v>
      </c>
    </row>
    <row r="2" spans="1:9">
      <c r="A2" s="83" t="s">
        <v>424</v>
      </c>
      <c r="G2" s="27"/>
      <c r="I2" s="27" t="s">
        <v>425</v>
      </c>
    </row>
    <row r="3" spans="1:9">
      <c r="A3" s="39"/>
      <c r="G3" s="27"/>
      <c r="I3" s="27" t="str">
        <f>Contents!A2</f>
        <v>Case No. 2016-00371</v>
      </c>
    </row>
    <row r="4" spans="1:9">
      <c r="A4" s="1" t="s">
        <v>287</v>
      </c>
      <c r="G4" s="27"/>
      <c r="I4" s="27" t="s">
        <v>37</v>
      </c>
    </row>
    <row r="7" spans="1:9">
      <c r="E7" s="93"/>
    </row>
    <row r="8" spans="1:9">
      <c r="A8" s="93" t="s">
        <v>0</v>
      </c>
      <c r="E8" s="93"/>
    </row>
    <row r="9" spans="1:9">
      <c r="A9" s="200" t="s">
        <v>2</v>
      </c>
      <c r="C9" s="2" t="s">
        <v>3</v>
      </c>
      <c r="E9" s="200" t="s">
        <v>16</v>
      </c>
      <c r="G9" s="200" t="s">
        <v>15</v>
      </c>
    </row>
    <row r="10" spans="1:9">
      <c r="A10" s="93"/>
      <c r="E10" s="93" t="s">
        <v>6</v>
      </c>
    </row>
    <row r="11" spans="1:9">
      <c r="A11" s="93"/>
    </row>
    <row r="12" spans="1:9">
      <c r="A12" s="93">
        <v>1</v>
      </c>
      <c r="C12" s="1" t="s">
        <v>426</v>
      </c>
      <c r="E12" s="42">
        <f>-G29</f>
        <v>-7723592.2530000005</v>
      </c>
      <c r="G12" s="93" t="s">
        <v>43</v>
      </c>
    </row>
    <row r="13" spans="1:9">
      <c r="A13" s="93"/>
    </row>
    <row r="14" spans="1:9">
      <c r="A14" s="93">
        <v>2</v>
      </c>
      <c r="C14" s="1" t="s">
        <v>427</v>
      </c>
      <c r="E14" s="62">
        <f>G31</f>
        <v>550200</v>
      </c>
      <c r="G14" s="93" t="s">
        <v>44</v>
      </c>
    </row>
    <row r="16" spans="1:9" ht="13.5" thickBot="1">
      <c r="A16" s="93">
        <v>3</v>
      </c>
      <c r="C16" s="1" t="s">
        <v>428</v>
      </c>
      <c r="E16" s="41">
        <f>E12+E14</f>
        <v>-7173392.2530000005</v>
      </c>
    </row>
    <row r="17" spans="1:13" ht="13.5" thickTop="1"/>
    <row r="19" spans="1:13">
      <c r="A19" s="2" t="s">
        <v>9</v>
      </c>
      <c r="B19" s="2"/>
      <c r="C19" s="2"/>
      <c r="D19" s="2"/>
      <c r="E19" s="2"/>
      <c r="F19" s="2"/>
      <c r="G19" s="2"/>
      <c r="H19" s="2"/>
      <c r="I19" s="2"/>
    </row>
    <row r="20" spans="1:13">
      <c r="A20" s="1" t="s">
        <v>431</v>
      </c>
    </row>
    <row r="21" spans="1:13">
      <c r="I21" s="93"/>
      <c r="M21" s="93"/>
    </row>
    <row r="22" spans="1:13">
      <c r="E22" s="93"/>
      <c r="I22" s="93"/>
      <c r="K22" s="93"/>
      <c r="L22" s="93"/>
      <c r="M22" s="93"/>
    </row>
    <row r="23" spans="1:13">
      <c r="E23" s="93"/>
      <c r="G23" s="93"/>
      <c r="H23" s="93"/>
      <c r="I23" s="93"/>
      <c r="M23" s="93"/>
    </row>
    <row r="24" spans="1:13">
      <c r="E24" s="93" t="s">
        <v>377</v>
      </c>
      <c r="F24" s="93"/>
      <c r="G24" s="16" t="s">
        <v>343</v>
      </c>
      <c r="H24" s="93"/>
      <c r="I24" s="93"/>
      <c r="K24" s="93"/>
      <c r="L24" s="93"/>
      <c r="M24" s="93"/>
    </row>
    <row r="25" spans="1:13">
      <c r="C25" s="2" t="s">
        <v>3</v>
      </c>
      <c r="E25" s="200" t="s">
        <v>421</v>
      </c>
      <c r="F25" s="93"/>
      <c r="G25" s="23" t="s">
        <v>421</v>
      </c>
      <c r="H25" s="12"/>
      <c r="I25" s="200" t="s">
        <v>28</v>
      </c>
      <c r="K25" s="93"/>
      <c r="L25" s="93"/>
      <c r="M25" s="93"/>
    </row>
    <row r="26" spans="1:13">
      <c r="I26" s="12"/>
      <c r="J26" s="12"/>
      <c r="K26" s="12"/>
      <c r="L26" s="12"/>
      <c r="M26" s="12"/>
    </row>
    <row r="27" spans="1:13">
      <c r="A27" s="93">
        <v>4</v>
      </c>
      <c r="C27" s="1" t="s">
        <v>429</v>
      </c>
      <c r="E27" s="4">
        <f>ROUND(I27*0.7,0)</f>
        <v>18368700</v>
      </c>
      <c r="G27" s="16">
        <f>ROUND(I27*0.3,0)</f>
        <v>7872300</v>
      </c>
      <c r="I27" s="19">
        <v>26241000</v>
      </c>
      <c r="J27" s="13"/>
      <c r="K27" s="38"/>
      <c r="L27" s="13"/>
      <c r="M27" s="13"/>
    </row>
    <row r="28" spans="1:13">
      <c r="A28" s="93">
        <v>5</v>
      </c>
      <c r="C28" s="1" t="s">
        <v>432</v>
      </c>
      <c r="E28" s="45">
        <f>-E27*(1-0.98111)</f>
        <v>-346984.74299999932</v>
      </c>
      <c r="G28" s="45">
        <f>-G27*(1-0.98111)</f>
        <v>-148707.74699999971</v>
      </c>
      <c r="I28" s="45">
        <f>-I27*(1-0.98111)</f>
        <v>-495692.489999999</v>
      </c>
      <c r="J28" s="13"/>
      <c r="K28" s="38"/>
      <c r="L28" s="13"/>
      <c r="M28" s="13"/>
    </row>
    <row r="29" spans="1:13" ht="13.5" thickBot="1">
      <c r="A29" s="93">
        <v>6</v>
      </c>
      <c r="C29" s="1" t="s">
        <v>433</v>
      </c>
      <c r="E29" s="18">
        <f>E27+E28</f>
        <v>18021715.256999999</v>
      </c>
      <c r="G29" s="219">
        <f>G27+G28</f>
        <v>7723592.2530000005</v>
      </c>
      <c r="I29" s="18">
        <f>I27+I28</f>
        <v>25745307.510000002</v>
      </c>
      <c r="J29" s="13"/>
      <c r="K29" s="38"/>
      <c r="L29" s="13"/>
      <c r="M29" s="13"/>
    </row>
    <row r="30" spans="1:13" ht="13.5" thickTop="1">
      <c r="A30" s="93"/>
      <c r="G30" s="16"/>
      <c r="I30" s="4"/>
    </row>
    <row r="31" spans="1:13" ht="13.5" thickBot="1">
      <c r="A31" s="93">
        <v>7</v>
      </c>
      <c r="C31" s="1" t="s">
        <v>430</v>
      </c>
      <c r="E31" s="20">
        <f>ROUND(I31*0.7,0)</f>
        <v>1283800</v>
      </c>
      <c r="G31" s="220">
        <f>ROUND(I31*0.3,0)</f>
        <v>550200</v>
      </c>
      <c r="I31" s="20">
        <v>1834000</v>
      </c>
      <c r="K31" s="42"/>
    </row>
    <row r="32" spans="1:13" ht="13.5" thickTop="1">
      <c r="A32" s="93"/>
    </row>
    <row r="33" spans="1:1">
      <c r="A33" s="93"/>
    </row>
    <row r="34" spans="1:1">
      <c r="A34" s="1" t="s">
        <v>420</v>
      </c>
    </row>
  </sheetData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>
      <selection activeCell="E64" sqref="E64"/>
    </sheetView>
  </sheetViews>
  <sheetFormatPr defaultRowHeight="12.75"/>
  <cols>
    <col min="1" max="1" width="9.140625" style="1"/>
    <col min="2" max="2" width="1.85546875" style="1" customWidth="1"/>
    <col min="3" max="3" width="49" style="1" customWidth="1"/>
    <col min="4" max="4" width="1.85546875" style="1" customWidth="1"/>
    <col min="5" max="5" width="14" style="1" bestFit="1" customWidth="1"/>
    <col min="6" max="6" width="1.7109375" style="1" customWidth="1"/>
    <col min="7" max="7" width="11.28515625" style="1" bestFit="1" customWidth="1"/>
    <col min="8" max="8" width="1.85546875" style="1" customWidth="1"/>
    <col min="9" max="9" width="14.5703125" style="1" bestFit="1" customWidth="1"/>
    <col min="10" max="16384" width="9.140625" style="1"/>
  </cols>
  <sheetData>
    <row r="1" spans="1:9">
      <c r="A1" s="1" t="str">
        <f>[1]Contents!A1</f>
        <v>Louisville Gas and Electric Company</v>
      </c>
      <c r="I1" s="27" t="s">
        <v>195</v>
      </c>
    </row>
    <row r="2" spans="1:9">
      <c r="A2" s="83" t="s">
        <v>399</v>
      </c>
      <c r="B2" s="83"/>
      <c r="I2" s="213" t="s">
        <v>487</v>
      </c>
    </row>
    <row r="3" spans="1:9">
      <c r="A3" s="39"/>
      <c r="B3" s="39"/>
      <c r="I3" s="27" t="s">
        <v>274</v>
      </c>
    </row>
    <row r="4" spans="1:9">
      <c r="A4" s="1" t="s">
        <v>287</v>
      </c>
      <c r="I4" s="27" t="s">
        <v>37</v>
      </c>
    </row>
    <row r="6" spans="1:9">
      <c r="E6" s="93" t="s">
        <v>403</v>
      </c>
      <c r="F6" s="93"/>
      <c r="G6" s="93" t="s">
        <v>404</v>
      </c>
      <c r="I6" s="93" t="s">
        <v>155</v>
      </c>
    </row>
    <row r="7" spans="1:9">
      <c r="A7" s="198" t="s">
        <v>40</v>
      </c>
      <c r="C7" s="199" t="s">
        <v>3</v>
      </c>
      <c r="E7" s="198" t="s">
        <v>34</v>
      </c>
      <c r="G7" s="198" t="s">
        <v>34</v>
      </c>
      <c r="I7" s="198" t="s">
        <v>181</v>
      </c>
    </row>
    <row r="8" spans="1:9">
      <c r="E8" s="12" t="s">
        <v>6</v>
      </c>
      <c r="G8" s="93" t="s">
        <v>7</v>
      </c>
      <c r="I8" s="93" t="s">
        <v>370</v>
      </c>
    </row>
    <row r="9" spans="1:9">
      <c r="E9" s="12"/>
    </row>
    <row r="10" spans="1:9">
      <c r="A10" s="194">
        <f>1</f>
        <v>1</v>
      </c>
      <c r="B10" s="190"/>
      <c r="C10" s="187" t="s">
        <v>396</v>
      </c>
      <c r="E10" s="185">
        <v>-25938373.856922999</v>
      </c>
      <c r="G10" s="185">
        <v>0</v>
      </c>
      <c r="I10" s="185">
        <f>G10-E10</f>
        <v>25938373.856922999</v>
      </c>
    </row>
    <row r="11" spans="1:9">
      <c r="A11" s="195"/>
      <c r="B11" s="191"/>
      <c r="C11" s="187"/>
      <c r="E11" s="186"/>
      <c r="G11" s="186"/>
      <c r="I11" s="186"/>
    </row>
    <row r="12" spans="1:9">
      <c r="A12" s="194">
        <v>2</v>
      </c>
      <c r="B12" s="190"/>
      <c r="C12" s="192" t="s">
        <v>397</v>
      </c>
      <c r="E12" s="110">
        <v>-289085.33237541298</v>
      </c>
      <c r="G12" s="110">
        <v>0</v>
      </c>
      <c r="I12" s="185">
        <f>G12-E12</f>
        <v>289085.33237541298</v>
      </c>
    </row>
    <row r="13" spans="1:9">
      <c r="A13" s="196"/>
      <c r="B13" s="193"/>
      <c r="C13" s="187"/>
      <c r="E13" s="202"/>
      <c r="G13" s="202"/>
      <c r="I13" s="188"/>
    </row>
    <row r="14" spans="1:9">
      <c r="A14" s="194">
        <f>1+A12</f>
        <v>3</v>
      </c>
      <c r="B14" s="190"/>
      <c r="C14" s="187" t="s">
        <v>369</v>
      </c>
      <c r="E14" s="203">
        <f>E10+E12</f>
        <v>-26227459.189298414</v>
      </c>
      <c r="F14" s="189"/>
      <c r="G14" s="203">
        <f>G10-G12</f>
        <v>0</v>
      </c>
      <c r="I14" s="203">
        <f>I10+I12</f>
        <v>26227459.189298414</v>
      </c>
    </row>
    <row r="15" spans="1:9">
      <c r="A15" s="194"/>
      <c r="B15" s="190"/>
      <c r="C15" s="187"/>
      <c r="E15" s="110"/>
      <c r="G15" s="110"/>
      <c r="I15" s="187"/>
    </row>
    <row r="16" spans="1:9">
      <c r="A16" s="194">
        <v>4</v>
      </c>
      <c r="B16" s="190"/>
      <c r="C16" s="192" t="s">
        <v>398</v>
      </c>
      <c r="E16" s="202">
        <v>-6248190.94820661</v>
      </c>
      <c r="G16" s="202">
        <v>0</v>
      </c>
      <c r="I16" s="205">
        <f>G16-E16</f>
        <v>6248190.94820661</v>
      </c>
    </row>
    <row r="17" spans="1:9">
      <c r="A17" s="196"/>
      <c r="B17" s="193"/>
      <c r="C17" s="187"/>
      <c r="E17" s="110"/>
      <c r="G17" s="110"/>
      <c r="I17" s="187"/>
    </row>
    <row r="18" spans="1:9" ht="13.5" thickBot="1">
      <c r="A18" s="194">
        <v>5</v>
      </c>
      <c r="B18" s="190"/>
      <c r="C18" s="187" t="s">
        <v>405</v>
      </c>
      <c r="E18" s="204">
        <f>E14-E16</f>
        <v>-19979268.241091803</v>
      </c>
      <c r="G18" s="204">
        <f>G14+G16</f>
        <v>0</v>
      </c>
      <c r="H18" s="4"/>
      <c r="I18" s="204">
        <f>I14-I16</f>
        <v>19979268.241091803</v>
      </c>
    </row>
    <row r="19" spans="1:9" ht="13.5" thickTop="1">
      <c r="A19" s="196"/>
      <c r="B19" s="193"/>
      <c r="C19" s="187"/>
      <c r="E19" s="187"/>
      <c r="G19" s="187"/>
      <c r="I19" s="187"/>
    </row>
    <row r="20" spans="1:9" ht="15.75">
      <c r="A20" s="183"/>
      <c r="B20" s="183"/>
      <c r="C20" s="184"/>
    </row>
    <row r="21" spans="1:9">
      <c r="A21" s="2" t="s">
        <v>372</v>
      </c>
      <c r="B21" s="2"/>
      <c r="C21" s="2"/>
      <c r="D21" s="2"/>
      <c r="E21" s="2"/>
      <c r="F21" s="2"/>
      <c r="G21" s="2"/>
      <c r="H21" s="2"/>
      <c r="I21" s="2"/>
    </row>
    <row r="22" spans="1:9">
      <c r="A22" s="1" t="s">
        <v>400</v>
      </c>
    </row>
  </sheetData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workbookViewId="0">
      <selection activeCell="E64" sqref="E64"/>
    </sheetView>
  </sheetViews>
  <sheetFormatPr defaultRowHeight="12.75"/>
  <cols>
    <col min="1" max="1" width="5" style="1" customWidth="1"/>
    <col min="2" max="2" width="1.140625" style="1" customWidth="1"/>
    <col min="3" max="3" width="63.7109375" style="1" bestFit="1" customWidth="1"/>
    <col min="4" max="4" width="1.28515625" style="1" customWidth="1"/>
    <col min="5" max="5" width="15" style="1" bestFit="1" customWidth="1"/>
    <col min="6" max="6" width="1.42578125" style="1" customWidth="1"/>
    <col min="7" max="7" width="16" style="1" bestFit="1" customWidth="1"/>
    <col min="8" max="8" width="1.28515625" style="1" customWidth="1"/>
    <col min="9" max="9" width="14.140625" style="1" customWidth="1"/>
    <col min="10" max="10" width="9.140625" style="1"/>
    <col min="11" max="11" width="10.7109375" style="1" customWidth="1"/>
    <col min="12" max="12" width="10.85546875" style="1" customWidth="1"/>
    <col min="13" max="13" width="9.140625" style="1"/>
    <col min="14" max="14" width="19.5703125" style="1" bestFit="1" customWidth="1"/>
    <col min="15" max="16384" width="9.140625" style="1"/>
  </cols>
  <sheetData>
    <row r="1" spans="1:14">
      <c r="A1" s="1" t="s">
        <v>273</v>
      </c>
      <c r="I1" s="27" t="str">
        <f>Contents!A4</f>
        <v>Exhibit RCS-2</v>
      </c>
    </row>
    <row r="2" spans="1:14">
      <c r="A2" s="1" t="s">
        <v>69</v>
      </c>
      <c r="I2" s="27" t="s">
        <v>615</v>
      </c>
    </row>
    <row r="3" spans="1:14">
      <c r="A3" s="39"/>
      <c r="I3" s="27" t="str">
        <f>A!K3</f>
        <v>Case No. 2016-00371</v>
      </c>
    </row>
    <row r="4" spans="1:14">
      <c r="A4" s="1" t="s">
        <v>241</v>
      </c>
      <c r="I4" s="27" t="s">
        <v>37</v>
      </c>
    </row>
    <row r="5" spans="1:14">
      <c r="H5" s="93"/>
    </row>
    <row r="7" spans="1:14">
      <c r="A7" s="93" t="s">
        <v>216</v>
      </c>
      <c r="E7" s="93" t="s">
        <v>45</v>
      </c>
      <c r="G7" s="93" t="s">
        <v>155</v>
      </c>
      <c r="H7" s="93"/>
      <c r="I7" s="93" t="s">
        <v>155</v>
      </c>
    </row>
    <row r="8" spans="1:14">
      <c r="A8" s="11" t="s">
        <v>2</v>
      </c>
      <c r="C8" s="2" t="s">
        <v>3</v>
      </c>
      <c r="E8" s="235" t="s">
        <v>16</v>
      </c>
      <c r="G8" s="11" t="s">
        <v>16</v>
      </c>
      <c r="H8" s="93"/>
      <c r="I8" s="11" t="s">
        <v>34</v>
      </c>
    </row>
    <row r="9" spans="1:14" ht="12.75" customHeight="1">
      <c r="A9" s="93"/>
      <c r="E9" s="93" t="s">
        <v>6</v>
      </c>
      <c r="F9" s="93"/>
      <c r="G9" s="93" t="s">
        <v>7</v>
      </c>
      <c r="H9" s="93"/>
      <c r="I9" s="93" t="s">
        <v>18</v>
      </c>
      <c r="N9" s="1">
        <v>12683582</v>
      </c>
    </row>
    <row r="10" spans="1:14" ht="12.75" customHeight="1">
      <c r="A10" s="93"/>
      <c r="N10" s="158">
        <f>N9/E11</f>
        <v>1.7942593766728646E-2</v>
      </c>
    </row>
    <row r="11" spans="1:14" ht="15.75" customHeight="1">
      <c r="A11" s="93">
        <v>1</v>
      </c>
      <c r="C11" s="1" t="s">
        <v>292</v>
      </c>
      <c r="E11" s="4">
        <f>'D P3'!E16</f>
        <v>706897908.12292981</v>
      </c>
      <c r="G11" s="110">
        <f>'D P3'!S16</f>
        <v>714111379</v>
      </c>
      <c r="N11" s="159">
        <f>E12</f>
        <v>1.7942593675367047E-2</v>
      </c>
    </row>
    <row r="12" spans="1:14">
      <c r="A12" s="93">
        <v>2</v>
      </c>
      <c r="C12" s="1" t="s">
        <v>293</v>
      </c>
      <c r="E12" s="151">
        <f>'D P1'!K11+'D P1'!K12</f>
        <v>1.7942593675367047E-2</v>
      </c>
      <c r="F12" s="80"/>
      <c r="G12" s="151">
        <f>'D P2'!$U$19+'D P2'!$U$20</f>
        <v>1.9117580000000002E-2</v>
      </c>
      <c r="N12" s="160">
        <f>N10-N11</f>
        <v>9.136159884182149E-11</v>
      </c>
    </row>
    <row r="13" spans="1:14" ht="15.75" customHeight="1">
      <c r="A13" s="93">
        <v>3</v>
      </c>
      <c r="C13" s="1" t="s">
        <v>294</v>
      </c>
      <c r="E13" s="47">
        <f>ROUND(+E11*E12,0)</f>
        <v>12683582</v>
      </c>
      <c r="G13" s="47">
        <f>ROUND(G11*G12,0)</f>
        <v>13652081</v>
      </c>
    </row>
    <row r="14" spans="1:14" ht="16.5" customHeight="1">
      <c r="A14" s="93"/>
    </row>
    <row r="15" spans="1:14">
      <c r="A15" s="93">
        <v>4</v>
      </c>
      <c r="C15" s="1" t="s">
        <v>295</v>
      </c>
      <c r="E15" s="152">
        <v>0.38774999999999998</v>
      </c>
      <c r="F15" s="147"/>
      <c r="G15" s="153">
        <f>E15</f>
        <v>0.38774999999999998</v>
      </c>
    </row>
    <row r="16" spans="1:14" ht="13.5" thickBot="1">
      <c r="A16" s="93">
        <v>5</v>
      </c>
      <c r="C16" s="1" t="s">
        <v>310</v>
      </c>
      <c r="E16" s="154">
        <f>-E13*E15</f>
        <v>-4918058.9205</v>
      </c>
      <c r="F16" s="155"/>
      <c r="G16" s="156">
        <f>-G13*G15</f>
        <v>-5293594.4077499993</v>
      </c>
      <c r="H16" s="155"/>
      <c r="I16" s="157">
        <f>G16-E16</f>
        <v>-375535.48724999931</v>
      </c>
    </row>
    <row r="17" spans="1:12" ht="13.5" thickTop="1">
      <c r="A17" s="93"/>
      <c r="K17" s="4"/>
    </row>
    <row r="18" spans="1:12">
      <c r="A18" s="93"/>
    </row>
    <row r="19" spans="1:12">
      <c r="G19" s="42"/>
    </row>
    <row r="20" spans="1:12">
      <c r="A20" s="2" t="s">
        <v>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>
      <c r="A21" s="1" t="s">
        <v>286</v>
      </c>
    </row>
    <row r="22" spans="1:12">
      <c r="A22" s="1" t="s">
        <v>311</v>
      </c>
    </row>
    <row r="28" spans="1:12">
      <c r="I28" s="42"/>
    </row>
  </sheetData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workbookViewId="0">
      <selection activeCell="E64" sqref="E64"/>
    </sheetView>
  </sheetViews>
  <sheetFormatPr defaultRowHeight="12.75"/>
  <cols>
    <col min="1" max="1" width="5" style="163" customWidth="1"/>
    <col min="2" max="2" width="1.140625" style="163" customWidth="1"/>
    <col min="3" max="3" width="74.28515625" style="163" bestFit="1" customWidth="1"/>
    <col min="4" max="4" width="1" style="163" customWidth="1"/>
    <col min="5" max="5" width="12" style="163" bestFit="1" customWidth="1"/>
    <col min="6" max="6" width="1.28515625" style="163" customWidth="1"/>
    <col min="7" max="7" width="10.140625" style="163" customWidth="1"/>
    <col min="8" max="8" width="1.7109375" style="163" customWidth="1"/>
    <col min="9" max="9" width="12.85546875" style="163" bestFit="1" customWidth="1"/>
    <col min="10" max="10" width="1.42578125" style="163" customWidth="1"/>
    <col min="11" max="11" width="7.28515625" style="163" bestFit="1" customWidth="1"/>
    <col min="12" max="12" width="12" style="163" bestFit="1" customWidth="1"/>
    <col min="13" max="14" width="10.7109375" style="163" bestFit="1" customWidth="1"/>
    <col min="15" max="16384" width="9.140625" style="163"/>
  </cols>
  <sheetData>
    <row r="1" spans="1:11">
      <c r="A1" s="163" t="s">
        <v>273</v>
      </c>
      <c r="G1" s="164" t="str">
        <f>Contents!A4</f>
        <v>Exhibit RCS-2</v>
      </c>
    </row>
    <row r="2" spans="1:11">
      <c r="A2" s="163" t="s">
        <v>220</v>
      </c>
      <c r="G2" s="164" t="s">
        <v>126</v>
      </c>
    </row>
    <row r="3" spans="1:11">
      <c r="G3" s="164" t="str">
        <f>Contents!A2</f>
        <v>Case No. 2016-00371</v>
      </c>
    </row>
    <row r="4" spans="1:11">
      <c r="A4" s="163" t="s">
        <v>287</v>
      </c>
      <c r="G4" s="164" t="s">
        <v>184</v>
      </c>
    </row>
    <row r="8" spans="1:11">
      <c r="A8" s="165" t="s">
        <v>0</v>
      </c>
    </row>
    <row r="9" spans="1:11">
      <c r="A9" s="166" t="s">
        <v>2</v>
      </c>
      <c r="C9" s="167" t="s">
        <v>3</v>
      </c>
      <c r="E9" s="166" t="s">
        <v>16</v>
      </c>
      <c r="G9" s="166" t="s">
        <v>15</v>
      </c>
      <c r="H9" s="168"/>
      <c r="I9" s="168"/>
      <c r="J9" s="168"/>
    </row>
    <row r="10" spans="1:11">
      <c r="A10" s="165"/>
      <c r="G10" s="165"/>
      <c r="H10" s="165"/>
      <c r="I10" s="165"/>
      <c r="J10" s="165"/>
    </row>
    <row r="11" spans="1:11" ht="13.5" thickBot="1">
      <c r="A11" s="165">
        <v>1</v>
      </c>
      <c r="C11" s="1" t="s">
        <v>219</v>
      </c>
      <c r="E11" s="169">
        <f>-E28</f>
        <v>-673164.25</v>
      </c>
      <c r="G11" s="165" t="s">
        <v>577</v>
      </c>
      <c r="H11" s="165"/>
      <c r="I11" s="165"/>
      <c r="J11" s="165"/>
    </row>
    <row r="12" spans="1:11" ht="13.5" thickTop="1">
      <c r="A12" s="165"/>
      <c r="G12" s="165"/>
      <c r="H12" s="165"/>
      <c r="I12" s="165"/>
      <c r="J12" s="165"/>
    </row>
    <row r="13" spans="1:11">
      <c r="A13" s="165"/>
      <c r="G13" s="165"/>
      <c r="H13" s="165"/>
      <c r="I13" s="165"/>
      <c r="J13" s="165"/>
    </row>
    <row r="15" spans="1:11">
      <c r="A15" s="167" t="s">
        <v>9</v>
      </c>
      <c r="B15" s="167"/>
      <c r="C15" s="167"/>
      <c r="D15" s="167"/>
      <c r="E15" s="167"/>
      <c r="F15" s="167"/>
      <c r="G15" s="167"/>
      <c r="H15" s="170"/>
      <c r="I15" s="170"/>
      <c r="J15" s="170"/>
      <c r="K15" s="170"/>
    </row>
    <row r="16" spans="1:11">
      <c r="A16" s="163" t="s">
        <v>389</v>
      </c>
    </row>
    <row r="18" spans="1:12">
      <c r="C18" s="167" t="s">
        <v>3</v>
      </c>
      <c r="E18" s="166" t="s">
        <v>16</v>
      </c>
      <c r="G18" s="166" t="s">
        <v>15</v>
      </c>
      <c r="L18" s="171"/>
    </row>
    <row r="19" spans="1:12">
      <c r="A19" s="165">
        <v>2</v>
      </c>
      <c r="C19" s="170" t="s">
        <v>349</v>
      </c>
      <c r="E19" s="172">
        <v>4839913</v>
      </c>
      <c r="G19" s="168" t="s">
        <v>350</v>
      </c>
      <c r="L19" s="171"/>
    </row>
    <row r="20" spans="1:12">
      <c r="A20" s="165">
        <v>3</v>
      </c>
      <c r="C20" s="170" t="s">
        <v>351</v>
      </c>
      <c r="E20" s="172">
        <v>5942713</v>
      </c>
      <c r="G20" s="168" t="s">
        <v>350</v>
      </c>
      <c r="L20" s="171"/>
    </row>
    <row r="21" spans="1:12">
      <c r="A21" s="165">
        <v>4</v>
      </c>
      <c r="C21" s="170" t="s">
        <v>352</v>
      </c>
      <c r="E21" s="173">
        <v>84126</v>
      </c>
      <c r="G21" s="168" t="s">
        <v>350</v>
      </c>
      <c r="L21" s="171"/>
    </row>
    <row r="22" spans="1:12">
      <c r="A22" s="165">
        <v>5</v>
      </c>
      <c r="C22" s="163" t="s">
        <v>353</v>
      </c>
      <c r="E22" s="174">
        <f>SUM(E19:E21)</f>
        <v>10866752</v>
      </c>
    </row>
    <row r="23" spans="1:12">
      <c r="A23" s="165">
        <v>6</v>
      </c>
      <c r="C23" s="163" t="s">
        <v>578</v>
      </c>
      <c r="E23" s="175">
        <v>0.25</v>
      </c>
      <c r="G23" s="165"/>
    </row>
    <row r="24" spans="1:12" ht="13.5" thickBot="1">
      <c r="A24" s="165">
        <v>7</v>
      </c>
      <c r="C24" s="163" t="s">
        <v>354</v>
      </c>
      <c r="E24" s="176">
        <f>E22*E23</f>
        <v>2716688</v>
      </c>
    </row>
    <row r="25" spans="1:12" ht="13.5" thickTop="1"/>
    <row r="26" spans="1:12">
      <c r="C26" s="177" t="s">
        <v>391</v>
      </c>
    </row>
    <row r="27" spans="1:12">
      <c r="A27" s="165">
        <v>8</v>
      </c>
      <c r="C27" s="163" t="s">
        <v>355</v>
      </c>
      <c r="E27" s="174">
        <f>E24*G32</f>
        <v>2043523.25</v>
      </c>
      <c r="G27" s="165" t="s">
        <v>390</v>
      </c>
    </row>
    <row r="28" spans="1:12">
      <c r="A28" s="165">
        <v>9</v>
      </c>
      <c r="C28" s="163" t="s">
        <v>356</v>
      </c>
      <c r="E28" s="174">
        <f>E24*G33</f>
        <v>673164.25</v>
      </c>
      <c r="G28" s="165" t="s">
        <v>390</v>
      </c>
    </row>
    <row r="29" spans="1:12" ht="13.5" thickBot="1">
      <c r="A29" s="165">
        <v>10</v>
      </c>
      <c r="C29" s="163" t="s">
        <v>357</v>
      </c>
      <c r="E29" s="176">
        <f>E27+E28</f>
        <v>2716687.5</v>
      </c>
    </row>
    <row r="30" spans="1:12" ht="13.5" thickTop="1"/>
    <row r="31" spans="1:12">
      <c r="C31" s="177" t="s">
        <v>579</v>
      </c>
    </row>
    <row r="32" spans="1:12">
      <c r="A32" s="165">
        <v>11</v>
      </c>
      <c r="C32" s="163" t="s">
        <v>580</v>
      </c>
      <c r="E32" s="19">
        <f>'C-2 P2'!E86</f>
        <v>8174093</v>
      </c>
      <c r="G32" s="178">
        <f>E32/E34</f>
        <v>0.75221124030437059</v>
      </c>
    </row>
    <row r="33" spans="1:7">
      <c r="A33" s="165">
        <v>12</v>
      </c>
      <c r="C33" s="163" t="s">
        <v>581</v>
      </c>
      <c r="E33" s="19">
        <f>'C-2 P2'!G86</f>
        <v>2692657</v>
      </c>
      <c r="G33" s="178">
        <f>E33/E34</f>
        <v>0.24778857564799492</v>
      </c>
    </row>
    <row r="34" spans="1:7" ht="13.5" thickBot="1">
      <c r="A34" s="165">
        <v>13</v>
      </c>
      <c r="C34" s="163" t="s">
        <v>582</v>
      </c>
      <c r="E34" s="181">
        <f>E32+E33+2</f>
        <v>10866752</v>
      </c>
      <c r="G34" s="179">
        <f>G32+G33</f>
        <v>0.99999981595236553</v>
      </c>
    </row>
    <row r="35" spans="1:7" ht="13.5" thickTop="1"/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39"/>
  <sheetViews>
    <sheetView tabSelected="1" workbookViewId="0">
      <selection activeCell="G41" sqref="G41"/>
    </sheetView>
  </sheetViews>
  <sheetFormatPr defaultRowHeight="12.75"/>
  <cols>
    <col min="1" max="1" width="5.28515625" style="1" customWidth="1"/>
    <col min="2" max="2" width="1" style="1" customWidth="1"/>
    <col min="3" max="3" width="41.5703125" style="1" bestFit="1" customWidth="1"/>
    <col min="4" max="4" width="1" style="1" customWidth="1"/>
    <col min="5" max="5" width="9.140625" style="1"/>
    <col min="6" max="6" width="0.7109375" style="1" customWidth="1"/>
    <col min="7" max="7" width="16.140625" style="1" bestFit="1" customWidth="1"/>
    <col min="8" max="8" width="0.85546875" style="1" customWidth="1"/>
    <col min="9" max="9" width="16.140625" style="1" bestFit="1" customWidth="1"/>
    <col min="10" max="10" width="0.7109375" style="1" customWidth="1"/>
    <col min="11" max="11" width="15.5703125" style="1" bestFit="1" customWidth="1"/>
    <col min="12" max="15" width="2.140625" style="1" customWidth="1"/>
    <col min="16" max="16" width="9.140625" style="1"/>
    <col min="17" max="17" width="15.28515625" style="1" customWidth="1"/>
    <col min="18" max="16384" width="9.140625" style="1"/>
  </cols>
  <sheetData>
    <row r="1" spans="1:11">
      <c r="A1" s="1" t="str">
        <f>Contents!A1</f>
        <v>Louisville Gas and Electric Company</v>
      </c>
      <c r="I1" s="10"/>
      <c r="K1" s="27" t="str">
        <f>Contents!A4</f>
        <v>Exhibit RCS-2</v>
      </c>
    </row>
    <row r="2" spans="1:11">
      <c r="A2" s="1" t="s">
        <v>54</v>
      </c>
      <c r="I2" s="10"/>
      <c r="K2" s="27" t="s">
        <v>97</v>
      </c>
    </row>
    <row r="3" spans="1:11">
      <c r="A3" s="39"/>
      <c r="I3" s="10"/>
      <c r="K3" s="27" t="str">
        <f>Contents!A2</f>
        <v>Case No. 2016-00371</v>
      </c>
    </row>
    <row r="4" spans="1:11">
      <c r="A4" s="1" t="s">
        <v>287</v>
      </c>
      <c r="I4" s="10"/>
      <c r="K4" s="27" t="s">
        <v>71</v>
      </c>
    </row>
    <row r="6" spans="1:11">
      <c r="A6" s="93" t="s">
        <v>0</v>
      </c>
      <c r="G6" s="93" t="s">
        <v>5</v>
      </c>
      <c r="H6" s="93"/>
      <c r="I6" s="93"/>
      <c r="J6" s="93"/>
    </row>
    <row r="7" spans="1:11">
      <c r="A7" s="11" t="s">
        <v>2</v>
      </c>
      <c r="C7" s="2" t="s">
        <v>3</v>
      </c>
      <c r="D7" s="13"/>
      <c r="E7" s="2" t="s">
        <v>15</v>
      </c>
      <c r="G7" s="11" t="s">
        <v>45</v>
      </c>
      <c r="H7" s="93"/>
      <c r="I7" s="11" t="s">
        <v>153</v>
      </c>
      <c r="J7" s="93"/>
      <c r="K7" s="11" t="s">
        <v>29</v>
      </c>
    </row>
    <row r="8" spans="1:11">
      <c r="G8" s="93" t="s">
        <v>6</v>
      </c>
      <c r="H8" s="93"/>
      <c r="I8" s="93" t="s">
        <v>7</v>
      </c>
      <c r="J8" s="93"/>
      <c r="K8" s="93" t="s">
        <v>18</v>
      </c>
    </row>
    <row r="10" spans="1:11" ht="13.5" thickBot="1">
      <c r="A10" s="93">
        <v>1</v>
      </c>
      <c r="C10" s="1" t="s">
        <v>276</v>
      </c>
      <c r="E10" s="93" t="s">
        <v>115</v>
      </c>
      <c r="G10" s="4">
        <f>B!E41</f>
        <v>706897908.12292981</v>
      </c>
      <c r="I10" s="4">
        <f>B!I41</f>
        <v>714111379.14077437</v>
      </c>
      <c r="K10" s="41">
        <f>I10-G10</f>
        <v>7213471.0178445578</v>
      </c>
    </row>
    <row r="11" spans="1:11" ht="13.5" thickTop="1">
      <c r="A11" s="93">
        <f t="shared" ref="A11:A20" si="0">A10+1</f>
        <v>2</v>
      </c>
      <c r="C11" s="1" t="s">
        <v>11</v>
      </c>
      <c r="E11" s="93" t="s">
        <v>115</v>
      </c>
      <c r="G11" s="139">
        <v>7.243100045852631E-2</v>
      </c>
      <c r="I11" s="98">
        <f>'D P1'!K20</f>
        <v>6.2617580000000006E-2</v>
      </c>
    </row>
    <row r="12" spans="1:11">
      <c r="A12" s="93">
        <f t="shared" si="0"/>
        <v>3</v>
      </c>
      <c r="C12" s="1" t="s">
        <v>12</v>
      </c>
      <c r="E12" s="93"/>
      <c r="G12" s="4">
        <f>G10*G11</f>
        <v>51201322.707383215</v>
      </c>
      <c r="I12" s="4">
        <f>I10*I11</f>
        <v>44715926.412257776</v>
      </c>
      <c r="K12" s="42">
        <f>I12-G12</f>
        <v>-6485396.2951254398</v>
      </c>
    </row>
    <row r="13" spans="1:11">
      <c r="A13" s="93">
        <f t="shared" si="0"/>
        <v>4</v>
      </c>
      <c r="C13" s="1" t="s">
        <v>13</v>
      </c>
      <c r="E13" s="93" t="s">
        <v>116</v>
      </c>
      <c r="G13" s="45">
        <f>'C'!E25</f>
        <v>42774086.281509489</v>
      </c>
      <c r="I13" s="45">
        <f>'C'!I25</f>
        <v>43448457.54742527</v>
      </c>
      <c r="K13" s="42">
        <f>I13-G13</f>
        <v>674371.26591578126</v>
      </c>
    </row>
    <row r="14" spans="1:11" ht="13.5" thickBot="1">
      <c r="A14" s="93">
        <f t="shared" si="0"/>
        <v>5</v>
      </c>
      <c r="C14" s="1" t="s">
        <v>229</v>
      </c>
      <c r="E14" s="93"/>
      <c r="G14" s="4">
        <f>G12-G13</f>
        <v>8427236.4258737266</v>
      </c>
      <c r="I14" s="4">
        <f>I12-I13</f>
        <v>1267468.8648325056</v>
      </c>
      <c r="K14" s="43">
        <f>I14-G14</f>
        <v>-7159767.561041221</v>
      </c>
    </row>
    <row r="15" spans="1:11" ht="13.5" thickTop="1">
      <c r="A15" s="93">
        <f t="shared" si="0"/>
        <v>6</v>
      </c>
      <c r="C15" s="1" t="s">
        <v>14</v>
      </c>
      <c r="E15" s="93" t="s">
        <v>117</v>
      </c>
      <c r="G15" s="243">
        <f>'A-1'!K22</f>
        <v>1.6409347988751752</v>
      </c>
      <c r="H15" s="244"/>
      <c r="I15" s="243">
        <f>'A-1'!O22</f>
        <v>1.6404084974767768</v>
      </c>
    </row>
    <row r="16" spans="1:11">
      <c r="A16" s="93">
        <f t="shared" si="0"/>
        <v>7</v>
      </c>
      <c r="C16" s="1" t="s">
        <v>55</v>
      </c>
      <c r="G16" s="19">
        <f>G14*G15</f>
        <v>13828545.509564655</v>
      </c>
      <c r="I16" s="19">
        <f>I14*I15</f>
        <v>2079166.6961584864</v>
      </c>
      <c r="K16" s="19">
        <f>I16-G16</f>
        <v>-11749378.813406169</v>
      </c>
    </row>
    <row r="17" spans="1:17" ht="13.5" thickBot="1">
      <c r="A17" s="93">
        <f>A16+1</f>
        <v>8</v>
      </c>
      <c r="C17" s="1" t="s">
        <v>191</v>
      </c>
      <c r="G17" s="18">
        <f>SUM(G16:G16)</f>
        <v>13828545.509564655</v>
      </c>
      <c r="I17" s="18">
        <f>SUM(I16:I16)</f>
        <v>2079166.6961584864</v>
      </c>
      <c r="K17" s="18">
        <f>SUM(K16:K16)</f>
        <v>-11749378.813406169</v>
      </c>
    </row>
    <row r="18" spans="1:17" ht="13.5" thickTop="1">
      <c r="A18" s="93"/>
      <c r="G18" s="19"/>
      <c r="I18" s="19"/>
      <c r="K18" s="19"/>
    </row>
    <row r="19" spans="1:17">
      <c r="A19" s="93">
        <f>A17+1</f>
        <v>9</v>
      </c>
      <c r="C19" s="1" t="s">
        <v>172</v>
      </c>
      <c r="E19" s="93" t="s">
        <v>116</v>
      </c>
      <c r="G19" s="19">
        <f>'C'!E14</f>
        <v>184116916.55141816</v>
      </c>
      <c r="I19" s="19">
        <f>'C'!I14</f>
        <v>184116916.55141816</v>
      </c>
      <c r="K19" s="19">
        <f>I19-G19</f>
        <v>0</v>
      </c>
    </row>
    <row r="20" spans="1:17" ht="13.5" thickBot="1">
      <c r="A20" s="93">
        <f t="shared" si="0"/>
        <v>10</v>
      </c>
      <c r="C20" s="1" t="s">
        <v>173</v>
      </c>
      <c r="E20" s="93" t="s">
        <v>116</v>
      </c>
      <c r="G20" s="141">
        <f>G17+G19</f>
        <v>197945462.06098282</v>
      </c>
      <c r="I20" s="18">
        <f>I17+I19</f>
        <v>186196083.24757665</v>
      </c>
      <c r="K20" s="18">
        <f>I20-G20</f>
        <v>-11749378.813406169</v>
      </c>
    </row>
    <row r="21" spans="1:17" ht="13.5" thickTop="1">
      <c r="A21" s="93"/>
      <c r="G21" s="19"/>
      <c r="I21" s="19"/>
      <c r="K21" s="38"/>
    </row>
    <row r="22" spans="1:17" ht="13.5" thickBot="1">
      <c r="A22" s="93">
        <f>A20+1</f>
        <v>11</v>
      </c>
      <c r="C22" s="1" t="s">
        <v>174</v>
      </c>
      <c r="G22" s="63">
        <f>G17/G19</f>
        <v>7.5107414183219659E-2</v>
      </c>
      <c r="H22" s="5"/>
      <c r="I22" s="63">
        <f>I17/I19</f>
        <v>1.1292643474060352E-2</v>
      </c>
      <c r="K22" s="38"/>
    </row>
    <row r="23" spans="1:17" ht="13.5" thickTop="1"/>
    <row r="24" spans="1:17">
      <c r="A24" s="2" t="s">
        <v>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13"/>
      <c r="M24" s="13"/>
      <c r="N24" s="13"/>
      <c r="O24" s="13"/>
    </row>
    <row r="25" spans="1:17">
      <c r="A25" s="1" t="s">
        <v>10</v>
      </c>
      <c r="C25" s="49" t="s">
        <v>272</v>
      </c>
      <c r="Q25" s="138"/>
    </row>
    <row r="26" spans="1:17">
      <c r="A26" s="10" t="s">
        <v>169</v>
      </c>
      <c r="G26" s="16"/>
      <c r="Q26" s="138"/>
    </row>
    <row r="27" spans="1:17">
      <c r="A27" s="12" t="s">
        <v>41</v>
      </c>
      <c r="B27" s="13"/>
      <c r="C27" s="13" t="s">
        <v>122</v>
      </c>
      <c r="D27" s="13"/>
      <c r="E27" s="13"/>
      <c r="F27" s="13"/>
      <c r="G27" s="12"/>
      <c r="H27" s="13"/>
      <c r="I27" s="12"/>
      <c r="J27" s="13"/>
    </row>
    <row r="30" spans="1:17">
      <c r="F30" s="1" t="s">
        <v>177</v>
      </c>
    </row>
    <row r="34" spans="1:10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>
      <c r="I35" s="13"/>
    </row>
    <row r="36" spans="1:10">
      <c r="G36" s="99"/>
      <c r="I36" s="13"/>
    </row>
    <row r="37" spans="1:10">
      <c r="I37" s="38"/>
    </row>
    <row r="38" spans="1:10">
      <c r="I38" s="13"/>
    </row>
    <row r="39" spans="1:10">
      <c r="I39" s="13"/>
    </row>
  </sheetData>
  <pageMargins left="0.75" right="0.75" top="1" bottom="0.75" header="0.5" footer="0.5"/>
  <pageSetup scale="105" fitToHeight="3" orientation="landscape" horizontalDpi="1200" verticalDpi="1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workbookViewId="0">
      <selection activeCell="A76" sqref="A76"/>
    </sheetView>
  </sheetViews>
  <sheetFormatPr defaultRowHeight="12.75"/>
  <cols>
    <col min="1" max="1" width="5.42578125" style="1" customWidth="1"/>
    <col min="2" max="2" width="1.42578125" style="1" customWidth="1"/>
    <col min="3" max="3" width="14.42578125" style="93" customWidth="1"/>
    <col min="4" max="4" width="1.42578125" style="93" customWidth="1"/>
    <col min="5" max="5" width="11.5703125" style="1" customWidth="1"/>
    <col min="6" max="6" width="1" style="1" customWidth="1"/>
    <col min="7" max="7" width="11.140625" style="1" bestFit="1" customWidth="1"/>
    <col min="8" max="8" width="1.28515625" style="1" customWidth="1"/>
    <col min="9" max="9" width="12.7109375" style="1" customWidth="1"/>
    <col min="10" max="16384" width="9.140625" style="1"/>
  </cols>
  <sheetData>
    <row r="1" spans="1:9">
      <c r="A1" s="163" t="s">
        <v>375</v>
      </c>
      <c r="B1" s="163"/>
      <c r="C1" s="165"/>
      <c r="D1" s="165"/>
      <c r="E1" s="163"/>
      <c r="F1" s="163"/>
      <c r="G1" s="164"/>
      <c r="I1" s="27" t="str">
        <f>Contents!A4</f>
        <v>Exhibit RCS-2</v>
      </c>
    </row>
    <row r="2" spans="1:9">
      <c r="A2" s="163" t="s">
        <v>220</v>
      </c>
      <c r="B2" s="163"/>
      <c r="C2" s="165"/>
      <c r="D2" s="165"/>
      <c r="E2" s="163"/>
      <c r="F2" s="163"/>
      <c r="G2" s="164"/>
      <c r="I2" s="27" t="s">
        <v>126</v>
      </c>
    </row>
    <row r="3" spans="1:9">
      <c r="A3" s="163"/>
      <c r="B3" s="163"/>
      <c r="C3" s="165"/>
      <c r="D3" s="165"/>
      <c r="E3" s="163"/>
      <c r="F3" s="163"/>
      <c r="G3" s="164"/>
      <c r="I3" s="27" t="str">
        <f>Contents!A2</f>
        <v>Case No. 2016-00371</v>
      </c>
    </row>
    <row r="4" spans="1:9">
      <c r="A4" s="163" t="s">
        <v>287</v>
      </c>
      <c r="B4" s="163"/>
      <c r="C4" s="165"/>
      <c r="D4" s="165"/>
      <c r="E4" s="163"/>
      <c r="F4" s="163"/>
      <c r="G4" s="164"/>
      <c r="I4" s="27" t="s">
        <v>182</v>
      </c>
    </row>
    <row r="5" spans="1:9">
      <c r="A5" s="163"/>
      <c r="B5" s="163"/>
      <c r="C5" s="165"/>
      <c r="D5" s="165"/>
      <c r="E5" s="163"/>
      <c r="F5" s="163"/>
      <c r="G5" s="164"/>
    </row>
    <row r="6" spans="1:9">
      <c r="A6" s="93" t="s">
        <v>0</v>
      </c>
      <c r="C6" s="93" t="s">
        <v>376</v>
      </c>
      <c r="E6" s="12" t="s">
        <v>377</v>
      </c>
      <c r="G6" s="12" t="s">
        <v>343</v>
      </c>
    </row>
    <row r="7" spans="1:9">
      <c r="A7" s="197" t="s">
        <v>2</v>
      </c>
      <c r="C7" s="197" t="s">
        <v>378</v>
      </c>
      <c r="D7" s="12"/>
      <c r="E7" s="197" t="s">
        <v>379</v>
      </c>
      <c r="G7" s="197" t="s">
        <v>379</v>
      </c>
      <c r="I7" s="197" t="s">
        <v>28</v>
      </c>
    </row>
    <row r="8" spans="1:9">
      <c r="A8" s="12"/>
      <c r="C8" s="12"/>
      <c r="D8" s="12"/>
      <c r="E8" s="12" t="s">
        <v>6</v>
      </c>
      <c r="G8" s="12" t="s">
        <v>7</v>
      </c>
      <c r="I8" s="93" t="s">
        <v>18</v>
      </c>
    </row>
    <row r="9" spans="1:9">
      <c r="A9" s="93">
        <v>1</v>
      </c>
      <c r="C9" s="93" t="s">
        <v>380</v>
      </c>
      <c r="E9" s="4">
        <v>372329</v>
      </c>
      <c r="F9" s="4"/>
      <c r="G9" s="4"/>
      <c r="I9" s="42">
        <f>E9+G9</f>
        <v>372329</v>
      </c>
    </row>
    <row r="10" spans="1:9">
      <c r="A10" s="93">
        <f>A9+1</f>
        <v>2</v>
      </c>
      <c r="C10" s="93" t="s">
        <v>381</v>
      </c>
      <c r="E10" s="4">
        <v>221722</v>
      </c>
      <c r="F10" s="4"/>
      <c r="G10" s="4"/>
      <c r="I10" s="42">
        <f t="shared" ref="I10:I85" si="0">E10+G10</f>
        <v>221722</v>
      </c>
    </row>
    <row r="11" spans="1:9">
      <c r="A11" s="93">
        <f t="shared" ref="A11:A74" si="1">A10+1</f>
        <v>3</v>
      </c>
      <c r="C11" s="93" t="s">
        <v>382</v>
      </c>
      <c r="E11" s="4">
        <v>869237</v>
      </c>
      <c r="F11" s="4"/>
      <c r="G11" s="4"/>
      <c r="I11" s="42">
        <f t="shared" si="0"/>
        <v>869237</v>
      </c>
    </row>
    <row r="12" spans="1:9">
      <c r="A12" s="93">
        <f t="shared" si="1"/>
        <v>4</v>
      </c>
      <c r="C12" s="93" t="s">
        <v>383</v>
      </c>
      <c r="E12" s="4">
        <v>190018</v>
      </c>
      <c r="F12" s="4"/>
      <c r="G12" s="4"/>
      <c r="I12" s="42">
        <f t="shared" si="0"/>
        <v>190018</v>
      </c>
    </row>
    <row r="13" spans="1:9">
      <c r="A13" s="93">
        <f t="shared" si="1"/>
        <v>5</v>
      </c>
      <c r="C13" s="93" t="s">
        <v>384</v>
      </c>
      <c r="E13" s="4">
        <v>112730</v>
      </c>
      <c r="F13" s="4"/>
      <c r="G13" s="4"/>
      <c r="I13" s="42">
        <f t="shared" si="0"/>
        <v>112730</v>
      </c>
    </row>
    <row r="14" spans="1:9">
      <c r="A14" s="93">
        <f t="shared" si="1"/>
        <v>6</v>
      </c>
      <c r="C14" s="93" t="s">
        <v>385</v>
      </c>
      <c r="E14" s="4">
        <v>318817</v>
      </c>
      <c r="F14" s="4"/>
      <c r="G14" s="4"/>
      <c r="I14" s="42">
        <f t="shared" si="0"/>
        <v>318817</v>
      </c>
    </row>
    <row r="15" spans="1:9">
      <c r="A15" s="93">
        <f t="shared" si="1"/>
        <v>7</v>
      </c>
      <c r="C15" s="93" t="s">
        <v>386</v>
      </c>
      <c r="E15" s="4">
        <v>278127</v>
      </c>
      <c r="F15" s="4"/>
      <c r="G15" s="4"/>
      <c r="I15" s="42">
        <f t="shared" si="0"/>
        <v>278127</v>
      </c>
    </row>
    <row r="16" spans="1:9">
      <c r="A16" s="93">
        <f t="shared" si="1"/>
        <v>8</v>
      </c>
      <c r="C16" s="93" t="s">
        <v>387</v>
      </c>
      <c r="E16" s="4">
        <v>218165</v>
      </c>
      <c r="F16" s="4"/>
      <c r="G16" s="4"/>
      <c r="I16" s="42">
        <f t="shared" si="0"/>
        <v>218165</v>
      </c>
    </row>
    <row r="17" spans="1:9">
      <c r="A17" s="93">
        <f t="shared" si="1"/>
        <v>9</v>
      </c>
      <c r="C17" s="93">
        <v>535</v>
      </c>
      <c r="E17" s="4">
        <v>8553</v>
      </c>
      <c r="F17" s="4"/>
      <c r="G17" s="4"/>
      <c r="I17" s="42">
        <f t="shared" si="0"/>
        <v>8553</v>
      </c>
    </row>
    <row r="18" spans="1:9">
      <c r="A18" s="93">
        <f t="shared" si="1"/>
        <v>10</v>
      </c>
      <c r="C18" s="93">
        <v>538</v>
      </c>
      <c r="E18" s="4">
        <v>16074</v>
      </c>
      <c r="F18" s="4"/>
      <c r="G18" s="4"/>
      <c r="I18" s="42">
        <f t="shared" si="0"/>
        <v>16074</v>
      </c>
    </row>
    <row r="19" spans="1:9">
      <c r="A19" s="93">
        <f t="shared" si="1"/>
        <v>11</v>
      </c>
      <c r="C19" s="93">
        <v>539</v>
      </c>
      <c r="E19" s="4">
        <v>5391</v>
      </c>
      <c r="F19" s="4"/>
      <c r="G19" s="4"/>
      <c r="I19" s="42">
        <f t="shared" si="0"/>
        <v>5391</v>
      </c>
    </row>
    <row r="20" spans="1:9">
      <c r="A20" s="93">
        <f t="shared" si="1"/>
        <v>12</v>
      </c>
      <c r="C20" s="93">
        <v>542</v>
      </c>
      <c r="E20" s="4">
        <v>4182</v>
      </c>
      <c r="F20" s="4"/>
      <c r="G20" s="4"/>
      <c r="I20" s="42">
        <f t="shared" si="0"/>
        <v>4182</v>
      </c>
    </row>
    <row r="21" spans="1:9">
      <c r="A21" s="93">
        <f t="shared" si="1"/>
        <v>13</v>
      </c>
      <c r="C21" s="93">
        <v>543</v>
      </c>
      <c r="E21" s="4">
        <v>4182</v>
      </c>
      <c r="F21" s="4"/>
      <c r="G21" s="4"/>
      <c r="I21" s="42">
        <f t="shared" si="0"/>
        <v>4182</v>
      </c>
    </row>
    <row r="22" spans="1:9">
      <c r="A22" s="93">
        <f t="shared" si="1"/>
        <v>14</v>
      </c>
      <c r="C22" s="93">
        <v>544</v>
      </c>
      <c r="E22" s="4">
        <v>13476</v>
      </c>
      <c r="F22" s="4"/>
      <c r="G22" s="4"/>
      <c r="I22" s="42">
        <f t="shared" si="0"/>
        <v>13476</v>
      </c>
    </row>
    <row r="23" spans="1:9">
      <c r="A23" s="93">
        <f t="shared" si="1"/>
        <v>15</v>
      </c>
      <c r="C23" s="93">
        <v>546</v>
      </c>
      <c r="E23" s="4">
        <v>80772</v>
      </c>
      <c r="F23" s="4"/>
      <c r="G23" s="4"/>
      <c r="I23" s="42">
        <f t="shared" si="0"/>
        <v>80772</v>
      </c>
    </row>
    <row r="24" spans="1:9">
      <c r="A24" s="93">
        <f t="shared" si="1"/>
        <v>16</v>
      </c>
      <c r="C24" s="93">
        <v>548</v>
      </c>
      <c r="E24" s="4">
        <v>42441</v>
      </c>
      <c r="F24" s="4"/>
      <c r="G24" s="4"/>
      <c r="I24" s="42">
        <f t="shared" si="0"/>
        <v>42441</v>
      </c>
    </row>
    <row r="25" spans="1:9">
      <c r="A25" s="93">
        <f t="shared" si="1"/>
        <v>17</v>
      </c>
      <c r="C25" s="93">
        <v>549</v>
      </c>
      <c r="E25" s="4">
        <v>168763</v>
      </c>
      <c r="F25" s="4"/>
      <c r="G25" s="4"/>
      <c r="I25" s="42">
        <f t="shared" si="0"/>
        <v>168763</v>
      </c>
    </row>
    <row r="26" spans="1:9">
      <c r="A26" s="93">
        <f t="shared" si="1"/>
        <v>18</v>
      </c>
      <c r="C26" s="93">
        <v>551</v>
      </c>
      <c r="E26" s="4">
        <v>26653</v>
      </c>
      <c r="F26" s="4"/>
      <c r="G26" s="4"/>
      <c r="I26" s="42">
        <f t="shared" si="0"/>
        <v>26653</v>
      </c>
    </row>
    <row r="27" spans="1:9">
      <c r="A27" s="93">
        <f t="shared" si="1"/>
        <v>19</v>
      </c>
      <c r="C27" s="93">
        <v>553</v>
      </c>
      <c r="E27" s="4">
        <v>69333</v>
      </c>
      <c r="F27" s="4"/>
      <c r="G27" s="4"/>
      <c r="I27" s="42">
        <f t="shared" si="0"/>
        <v>69333</v>
      </c>
    </row>
    <row r="28" spans="1:9">
      <c r="A28" s="93">
        <f t="shared" si="1"/>
        <v>20</v>
      </c>
      <c r="C28" s="93">
        <v>554</v>
      </c>
      <c r="E28" s="4">
        <v>124399</v>
      </c>
      <c r="F28" s="4"/>
      <c r="G28" s="4"/>
      <c r="I28" s="42">
        <f t="shared" si="0"/>
        <v>124399</v>
      </c>
    </row>
    <row r="29" spans="1:9">
      <c r="A29" s="93">
        <f t="shared" si="1"/>
        <v>21</v>
      </c>
      <c r="C29" s="93">
        <v>556</v>
      </c>
      <c r="E29" s="4">
        <v>117653</v>
      </c>
      <c r="F29" s="4"/>
      <c r="G29" s="4"/>
      <c r="I29" s="42">
        <f t="shared" si="0"/>
        <v>117653</v>
      </c>
    </row>
    <row r="30" spans="1:9">
      <c r="A30" s="93">
        <f t="shared" si="1"/>
        <v>22</v>
      </c>
      <c r="C30" s="93">
        <v>560</v>
      </c>
      <c r="E30" s="4">
        <v>120806</v>
      </c>
      <c r="F30" s="4"/>
      <c r="G30" s="4"/>
      <c r="I30" s="42">
        <f t="shared" si="0"/>
        <v>120806</v>
      </c>
    </row>
    <row r="31" spans="1:9">
      <c r="A31" s="93">
        <f t="shared" si="1"/>
        <v>23</v>
      </c>
      <c r="C31" s="93">
        <v>561</v>
      </c>
      <c r="E31" s="4">
        <v>178865</v>
      </c>
      <c r="F31" s="4"/>
      <c r="G31" s="4"/>
      <c r="I31" s="42">
        <f t="shared" si="0"/>
        <v>178865</v>
      </c>
    </row>
    <row r="32" spans="1:9">
      <c r="A32" s="93">
        <f t="shared" si="1"/>
        <v>24</v>
      </c>
      <c r="C32" s="93">
        <v>562</v>
      </c>
      <c r="E32" s="4">
        <v>29796</v>
      </c>
      <c r="F32" s="4"/>
      <c r="G32" s="4"/>
      <c r="I32" s="42">
        <f t="shared" si="0"/>
        <v>29796</v>
      </c>
    </row>
    <row r="33" spans="1:9">
      <c r="A33" s="93">
        <f t="shared" si="1"/>
        <v>25</v>
      </c>
      <c r="C33" s="93">
        <v>566</v>
      </c>
      <c r="E33" s="4">
        <v>688</v>
      </c>
      <c r="F33" s="4"/>
      <c r="G33" s="4"/>
      <c r="I33" s="42">
        <f t="shared" si="0"/>
        <v>688</v>
      </c>
    </row>
    <row r="34" spans="1:9">
      <c r="A34" s="93">
        <f t="shared" si="1"/>
        <v>26</v>
      </c>
      <c r="C34" s="93">
        <v>570</v>
      </c>
      <c r="E34" s="4">
        <v>61555</v>
      </c>
      <c r="F34" s="4"/>
      <c r="G34" s="4"/>
      <c r="I34" s="42">
        <f t="shared" si="0"/>
        <v>61555</v>
      </c>
    </row>
    <row r="35" spans="1:9">
      <c r="A35" s="93">
        <f t="shared" si="1"/>
        <v>27</v>
      </c>
      <c r="C35" s="93">
        <v>571</v>
      </c>
      <c r="E35" s="4">
        <v>699</v>
      </c>
      <c r="F35" s="4"/>
      <c r="G35" s="4"/>
      <c r="I35" s="42">
        <f t="shared" si="0"/>
        <v>699</v>
      </c>
    </row>
    <row r="36" spans="1:9">
      <c r="A36" s="93">
        <f t="shared" si="1"/>
        <v>28</v>
      </c>
      <c r="C36" s="93">
        <v>580</v>
      </c>
      <c r="E36" s="4">
        <v>105906</v>
      </c>
      <c r="F36" s="4"/>
      <c r="G36" s="4"/>
      <c r="I36" s="42">
        <f t="shared" si="0"/>
        <v>105906</v>
      </c>
    </row>
    <row r="37" spans="1:9">
      <c r="A37" s="93">
        <f t="shared" si="1"/>
        <v>29</v>
      </c>
      <c r="C37" s="93">
        <v>581</v>
      </c>
      <c r="E37" s="4">
        <v>70647</v>
      </c>
      <c r="F37" s="4"/>
      <c r="G37" s="4"/>
      <c r="I37" s="42">
        <f t="shared" si="0"/>
        <v>70647</v>
      </c>
    </row>
    <row r="38" spans="1:9">
      <c r="A38" s="93">
        <f t="shared" si="1"/>
        <v>30</v>
      </c>
      <c r="C38" s="93">
        <v>582</v>
      </c>
      <c r="E38" s="4">
        <v>75924</v>
      </c>
      <c r="F38" s="4"/>
      <c r="G38" s="4"/>
      <c r="I38" s="42">
        <f t="shared" si="0"/>
        <v>75924</v>
      </c>
    </row>
    <row r="39" spans="1:9">
      <c r="A39" s="93">
        <f t="shared" si="1"/>
        <v>31</v>
      </c>
      <c r="C39" s="93">
        <v>583</v>
      </c>
      <c r="E39" s="4">
        <v>186097</v>
      </c>
      <c r="F39" s="4"/>
      <c r="G39" s="4"/>
      <c r="I39" s="42">
        <f t="shared" si="0"/>
        <v>186097</v>
      </c>
    </row>
    <row r="40" spans="1:9">
      <c r="A40" s="93">
        <f t="shared" si="1"/>
        <v>32</v>
      </c>
      <c r="C40" s="93">
        <v>584</v>
      </c>
      <c r="E40" s="4">
        <v>15032</v>
      </c>
      <c r="F40" s="4"/>
      <c r="G40" s="4"/>
      <c r="I40" s="42">
        <f t="shared" si="0"/>
        <v>15032</v>
      </c>
    </row>
    <row r="41" spans="1:9">
      <c r="A41" s="93">
        <f t="shared" si="1"/>
        <v>33</v>
      </c>
      <c r="C41" s="93">
        <v>586</v>
      </c>
      <c r="E41" s="4">
        <v>382927</v>
      </c>
      <c r="F41" s="4"/>
      <c r="G41" s="4"/>
      <c r="I41" s="42">
        <f t="shared" si="0"/>
        <v>382927</v>
      </c>
    </row>
    <row r="42" spans="1:9">
      <c r="A42" s="93">
        <f t="shared" si="1"/>
        <v>34</v>
      </c>
      <c r="C42" s="93">
        <v>588</v>
      </c>
      <c r="E42" s="4">
        <v>171253</v>
      </c>
      <c r="F42" s="4"/>
      <c r="G42" s="4"/>
      <c r="I42" s="42">
        <f t="shared" si="0"/>
        <v>171253</v>
      </c>
    </row>
    <row r="43" spans="1:9">
      <c r="A43" s="93">
        <f t="shared" si="1"/>
        <v>35</v>
      </c>
      <c r="C43" s="93">
        <v>592</v>
      </c>
      <c r="E43" s="4">
        <v>17753</v>
      </c>
      <c r="F43" s="4"/>
      <c r="G43" s="4"/>
      <c r="I43" s="42">
        <f t="shared" si="0"/>
        <v>17753</v>
      </c>
    </row>
    <row r="44" spans="1:9">
      <c r="A44" s="93">
        <f t="shared" si="1"/>
        <v>36</v>
      </c>
      <c r="C44" s="93">
        <v>593</v>
      </c>
      <c r="E44" s="4">
        <v>233298</v>
      </c>
      <c r="F44" s="4"/>
      <c r="G44" s="4"/>
      <c r="I44" s="42">
        <f t="shared" si="0"/>
        <v>233298</v>
      </c>
    </row>
    <row r="45" spans="1:9">
      <c r="A45" s="93">
        <f t="shared" si="1"/>
        <v>37</v>
      </c>
      <c r="C45" s="93">
        <v>594</v>
      </c>
      <c r="E45" s="4">
        <v>36005</v>
      </c>
      <c r="F45" s="4"/>
      <c r="G45" s="4"/>
      <c r="I45" s="42">
        <f t="shared" si="0"/>
        <v>36005</v>
      </c>
    </row>
    <row r="46" spans="1:9">
      <c r="A46" s="93">
        <f t="shared" si="1"/>
        <v>38</v>
      </c>
      <c r="C46" s="93">
        <v>595</v>
      </c>
      <c r="E46" s="4">
        <v>6933</v>
      </c>
      <c r="F46" s="4"/>
      <c r="G46" s="4"/>
      <c r="I46" s="42">
        <f t="shared" si="0"/>
        <v>6933</v>
      </c>
    </row>
    <row r="47" spans="1:9">
      <c r="A47" s="93">
        <f t="shared" si="1"/>
        <v>39</v>
      </c>
      <c r="C47" s="93">
        <v>596</v>
      </c>
      <c r="E47" s="4">
        <v>607</v>
      </c>
      <c r="F47" s="4"/>
      <c r="G47" s="4"/>
      <c r="I47" s="42">
        <f t="shared" si="0"/>
        <v>607</v>
      </c>
    </row>
    <row r="48" spans="1:9">
      <c r="A48" s="93">
        <f t="shared" si="1"/>
        <v>40</v>
      </c>
      <c r="C48" s="93">
        <v>807</v>
      </c>
      <c r="E48" s="4"/>
      <c r="F48" s="4"/>
      <c r="G48" s="4">
        <v>54837</v>
      </c>
      <c r="I48" s="42">
        <f t="shared" si="0"/>
        <v>54837</v>
      </c>
    </row>
    <row r="49" spans="1:9">
      <c r="A49" s="93">
        <f t="shared" si="1"/>
        <v>41</v>
      </c>
      <c r="C49" s="93">
        <v>814</v>
      </c>
      <c r="E49" s="4"/>
      <c r="F49" s="4"/>
      <c r="G49" s="4">
        <v>30281</v>
      </c>
      <c r="I49" s="42">
        <f t="shared" si="0"/>
        <v>30281</v>
      </c>
    </row>
    <row r="50" spans="1:9">
      <c r="A50" s="93">
        <f t="shared" si="1"/>
        <v>42</v>
      </c>
      <c r="C50" s="93">
        <v>816</v>
      </c>
      <c r="E50" s="4"/>
      <c r="F50" s="4"/>
      <c r="G50" s="4">
        <v>2319</v>
      </c>
      <c r="I50" s="42">
        <f t="shared" si="0"/>
        <v>2319</v>
      </c>
    </row>
    <row r="51" spans="1:9">
      <c r="A51" s="93">
        <f t="shared" si="1"/>
        <v>43</v>
      </c>
      <c r="C51" s="93">
        <v>817</v>
      </c>
      <c r="E51" s="4"/>
      <c r="F51" s="4"/>
      <c r="G51" s="4">
        <v>60211</v>
      </c>
      <c r="I51" s="42">
        <f t="shared" si="0"/>
        <v>60211</v>
      </c>
    </row>
    <row r="52" spans="1:9">
      <c r="A52" s="93">
        <f t="shared" si="1"/>
        <v>44</v>
      </c>
      <c r="C52" s="93">
        <v>818</v>
      </c>
      <c r="E52" s="4"/>
      <c r="F52" s="4"/>
      <c r="G52" s="4">
        <v>129181</v>
      </c>
      <c r="I52" s="42">
        <f t="shared" si="0"/>
        <v>129181</v>
      </c>
    </row>
    <row r="53" spans="1:9">
      <c r="A53" s="93">
        <f t="shared" si="1"/>
        <v>45</v>
      </c>
      <c r="C53" s="93">
        <v>821</v>
      </c>
      <c r="E53" s="4"/>
      <c r="F53" s="4"/>
      <c r="G53" s="4">
        <v>43332</v>
      </c>
      <c r="I53" s="42">
        <f t="shared" si="0"/>
        <v>43332</v>
      </c>
    </row>
    <row r="54" spans="1:9">
      <c r="A54" s="93">
        <f t="shared" si="1"/>
        <v>46</v>
      </c>
      <c r="C54" s="93">
        <v>830</v>
      </c>
      <c r="E54" s="4"/>
      <c r="F54" s="4"/>
      <c r="G54" s="4">
        <v>16594</v>
      </c>
      <c r="I54" s="42">
        <f t="shared" si="0"/>
        <v>16594</v>
      </c>
    </row>
    <row r="55" spans="1:9">
      <c r="A55" s="93">
        <f t="shared" si="1"/>
        <v>47</v>
      </c>
      <c r="C55" s="93">
        <v>832</v>
      </c>
      <c r="E55" s="4"/>
      <c r="F55" s="4"/>
      <c r="G55" s="4">
        <v>3390</v>
      </c>
      <c r="I55" s="42">
        <f t="shared" si="0"/>
        <v>3390</v>
      </c>
    </row>
    <row r="56" spans="1:9">
      <c r="A56" s="93">
        <f t="shared" si="1"/>
        <v>48</v>
      </c>
      <c r="C56" s="93">
        <v>833</v>
      </c>
      <c r="E56" s="4"/>
      <c r="F56" s="4"/>
      <c r="G56" s="4">
        <v>6959</v>
      </c>
      <c r="I56" s="42">
        <f t="shared" si="0"/>
        <v>6959</v>
      </c>
    </row>
    <row r="57" spans="1:9">
      <c r="A57" s="93">
        <f t="shared" si="1"/>
        <v>49</v>
      </c>
      <c r="C57" s="93">
        <v>834</v>
      </c>
      <c r="E57" s="4"/>
      <c r="F57" s="4"/>
      <c r="G57" s="4">
        <v>8741</v>
      </c>
      <c r="I57" s="42">
        <f t="shared" si="0"/>
        <v>8741</v>
      </c>
    </row>
    <row r="58" spans="1:9">
      <c r="A58" s="93">
        <f t="shared" si="1"/>
        <v>50</v>
      </c>
      <c r="C58" s="93">
        <v>835</v>
      </c>
      <c r="E58" s="4"/>
      <c r="F58" s="4"/>
      <c r="G58" s="4">
        <v>1695</v>
      </c>
      <c r="I58" s="42">
        <f t="shared" si="0"/>
        <v>1695</v>
      </c>
    </row>
    <row r="59" spans="1:9">
      <c r="A59" s="93">
        <f t="shared" si="1"/>
        <v>51</v>
      </c>
      <c r="C59" s="93">
        <v>836</v>
      </c>
      <c r="E59" s="4"/>
      <c r="F59" s="4"/>
      <c r="G59" s="4">
        <v>17747</v>
      </c>
      <c r="I59" s="42">
        <f t="shared" si="0"/>
        <v>17747</v>
      </c>
    </row>
    <row r="60" spans="1:9">
      <c r="A60" s="93">
        <f t="shared" si="1"/>
        <v>52</v>
      </c>
      <c r="C60" s="93">
        <v>837</v>
      </c>
      <c r="E60" s="4"/>
      <c r="F60" s="4"/>
      <c r="G60" s="4">
        <v>17841</v>
      </c>
      <c r="I60" s="42">
        <f t="shared" si="0"/>
        <v>17841</v>
      </c>
    </row>
    <row r="61" spans="1:9">
      <c r="A61" s="93">
        <f t="shared" si="1"/>
        <v>53</v>
      </c>
      <c r="C61" s="93">
        <v>850</v>
      </c>
      <c r="E61" s="4"/>
      <c r="F61" s="4"/>
      <c r="G61" s="4">
        <v>54172</v>
      </c>
      <c r="I61" s="42">
        <f t="shared" si="0"/>
        <v>54172</v>
      </c>
    </row>
    <row r="62" spans="1:9">
      <c r="A62" s="93">
        <f t="shared" si="1"/>
        <v>54</v>
      </c>
      <c r="C62" s="93">
        <v>851</v>
      </c>
      <c r="E62" s="4"/>
      <c r="F62" s="4"/>
      <c r="G62" s="4">
        <v>31495</v>
      </c>
      <c r="I62" s="42">
        <f t="shared" si="0"/>
        <v>31495</v>
      </c>
    </row>
    <row r="63" spans="1:9">
      <c r="A63" s="93">
        <f t="shared" si="1"/>
        <v>55</v>
      </c>
      <c r="C63" s="93">
        <v>856</v>
      </c>
      <c r="E63" s="4"/>
      <c r="F63" s="4"/>
      <c r="G63" s="4">
        <v>39600</v>
      </c>
      <c r="I63" s="42">
        <f t="shared" si="0"/>
        <v>39600</v>
      </c>
    </row>
    <row r="64" spans="1:9">
      <c r="A64" s="93">
        <f t="shared" si="1"/>
        <v>56</v>
      </c>
      <c r="C64" s="93">
        <v>863</v>
      </c>
      <c r="E64" s="4"/>
      <c r="F64" s="4"/>
      <c r="G64" s="4">
        <v>80203</v>
      </c>
      <c r="I64" s="42">
        <f t="shared" si="0"/>
        <v>80203</v>
      </c>
    </row>
    <row r="65" spans="1:9">
      <c r="A65" s="93">
        <f t="shared" si="1"/>
        <v>57</v>
      </c>
      <c r="C65" s="93">
        <v>871</v>
      </c>
      <c r="E65" s="4"/>
      <c r="F65" s="4"/>
      <c r="G65" s="4">
        <v>60492</v>
      </c>
      <c r="I65" s="42">
        <f t="shared" si="0"/>
        <v>60492</v>
      </c>
    </row>
    <row r="66" spans="1:9">
      <c r="A66" s="93">
        <f t="shared" si="1"/>
        <v>58</v>
      </c>
      <c r="C66" s="93">
        <v>874</v>
      </c>
      <c r="E66" s="4"/>
      <c r="F66" s="4"/>
      <c r="G66" s="4">
        <v>84223</v>
      </c>
      <c r="I66" s="42">
        <f t="shared" si="0"/>
        <v>84223</v>
      </c>
    </row>
    <row r="67" spans="1:9">
      <c r="A67" s="93">
        <f t="shared" si="1"/>
        <v>59</v>
      </c>
      <c r="C67" s="93">
        <v>875</v>
      </c>
      <c r="E67" s="4"/>
      <c r="F67" s="4"/>
      <c r="G67" s="4">
        <v>62000</v>
      </c>
      <c r="I67" s="42">
        <f t="shared" si="0"/>
        <v>62000</v>
      </c>
    </row>
    <row r="68" spans="1:9">
      <c r="A68" s="93">
        <f t="shared" si="1"/>
        <v>60</v>
      </c>
      <c r="C68" s="93">
        <v>876</v>
      </c>
      <c r="E68" s="4"/>
      <c r="F68" s="4"/>
      <c r="G68" s="4">
        <v>30247</v>
      </c>
      <c r="I68" s="42">
        <f t="shared" si="0"/>
        <v>30247</v>
      </c>
    </row>
    <row r="69" spans="1:9">
      <c r="A69" s="93">
        <f t="shared" si="1"/>
        <v>61</v>
      </c>
      <c r="C69" s="93">
        <v>877</v>
      </c>
      <c r="E69" s="4"/>
      <c r="F69" s="4"/>
      <c r="G69" s="4">
        <v>4728</v>
      </c>
      <c r="I69" s="42">
        <f t="shared" si="0"/>
        <v>4728</v>
      </c>
    </row>
    <row r="70" spans="1:9">
      <c r="A70" s="93">
        <f t="shared" si="1"/>
        <v>62</v>
      </c>
      <c r="C70" s="93">
        <v>878</v>
      </c>
      <c r="E70" s="4"/>
      <c r="F70" s="4"/>
      <c r="G70" s="4">
        <v>58540</v>
      </c>
      <c r="I70" s="42">
        <f t="shared" si="0"/>
        <v>58540</v>
      </c>
    </row>
    <row r="71" spans="1:9">
      <c r="A71" s="93">
        <f t="shared" si="1"/>
        <v>63</v>
      </c>
      <c r="C71" s="93">
        <v>879</v>
      </c>
      <c r="E71" s="4"/>
      <c r="F71" s="4"/>
      <c r="G71" s="4">
        <v>5977</v>
      </c>
      <c r="I71" s="42">
        <f t="shared" si="0"/>
        <v>5977</v>
      </c>
    </row>
    <row r="72" spans="1:9">
      <c r="A72" s="93">
        <f t="shared" si="1"/>
        <v>64</v>
      </c>
      <c r="C72" s="93">
        <v>880</v>
      </c>
      <c r="E72" s="4"/>
      <c r="F72" s="4"/>
      <c r="G72" s="4">
        <v>144936</v>
      </c>
      <c r="I72" s="42">
        <f t="shared" si="0"/>
        <v>144936</v>
      </c>
    </row>
    <row r="73" spans="1:9">
      <c r="A73" s="93">
        <f t="shared" si="1"/>
        <v>65</v>
      </c>
      <c r="C73" s="93">
        <v>887</v>
      </c>
      <c r="E73" s="4"/>
      <c r="F73" s="4"/>
      <c r="G73" s="4">
        <v>348996</v>
      </c>
      <c r="I73" s="42">
        <f t="shared" si="0"/>
        <v>348996</v>
      </c>
    </row>
    <row r="74" spans="1:9">
      <c r="A74" s="93">
        <f t="shared" si="1"/>
        <v>66</v>
      </c>
      <c r="C74" s="93">
        <v>889</v>
      </c>
      <c r="E74" s="4"/>
      <c r="F74" s="4"/>
      <c r="G74" s="4">
        <v>5532</v>
      </c>
      <c r="I74" s="42">
        <f t="shared" si="0"/>
        <v>5532</v>
      </c>
    </row>
    <row r="75" spans="1:9">
      <c r="A75" s="93">
        <f t="shared" ref="A75:A86" si="2">A74+1</f>
        <v>67</v>
      </c>
      <c r="C75" s="93">
        <v>890</v>
      </c>
      <c r="E75" s="4"/>
      <c r="F75" s="4"/>
      <c r="G75" s="4">
        <v>14988</v>
      </c>
      <c r="I75" s="42">
        <f t="shared" si="0"/>
        <v>14988</v>
      </c>
    </row>
    <row r="76" spans="1:9">
      <c r="A76" s="93">
        <f t="shared" si="2"/>
        <v>68</v>
      </c>
      <c r="C76" s="93">
        <v>891</v>
      </c>
      <c r="E76" s="4"/>
      <c r="F76" s="4"/>
      <c r="G76" s="4">
        <v>15611</v>
      </c>
      <c r="I76" s="42">
        <f t="shared" si="0"/>
        <v>15611</v>
      </c>
    </row>
    <row r="77" spans="1:9">
      <c r="A77" s="93">
        <f t="shared" si="2"/>
        <v>69</v>
      </c>
      <c r="C77" s="93">
        <v>892</v>
      </c>
      <c r="E77" s="4"/>
      <c r="F77" s="4"/>
      <c r="G77" s="4">
        <v>50815</v>
      </c>
      <c r="I77" s="42">
        <f t="shared" si="0"/>
        <v>50815</v>
      </c>
    </row>
    <row r="78" spans="1:9">
      <c r="A78" s="93">
        <f t="shared" si="2"/>
        <v>70</v>
      </c>
      <c r="C78" s="93">
        <v>894</v>
      </c>
      <c r="E78" s="4"/>
      <c r="F78" s="4"/>
      <c r="G78" s="4">
        <v>11508</v>
      </c>
      <c r="I78" s="42">
        <f t="shared" si="0"/>
        <v>11508</v>
      </c>
    </row>
    <row r="79" spans="1:9">
      <c r="A79" s="93">
        <f t="shared" si="2"/>
        <v>71</v>
      </c>
      <c r="C79" s="93">
        <v>901</v>
      </c>
      <c r="E79" s="4">
        <v>110461</v>
      </c>
      <c r="F79" s="4"/>
      <c r="G79" s="4">
        <v>86790</v>
      </c>
      <c r="I79" s="42">
        <f t="shared" si="0"/>
        <v>197251</v>
      </c>
    </row>
    <row r="80" spans="1:9">
      <c r="A80" s="93">
        <f t="shared" si="2"/>
        <v>72</v>
      </c>
      <c r="C80" s="93">
        <v>902</v>
      </c>
      <c r="E80" s="4">
        <v>34545</v>
      </c>
      <c r="F80" s="4"/>
      <c r="G80" s="4">
        <v>27142</v>
      </c>
      <c r="I80" s="42">
        <f t="shared" si="0"/>
        <v>61687</v>
      </c>
    </row>
    <row r="81" spans="1:9">
      <c r="A81" s="93">
        <f t="shared" si="2"/>
        <v>73</v>
      </c>
      <c r="C81" s="93">
        <v>903</v>
      </c>
      <c r="E81" s="4">
        <v>393280</v>
      </c>
      <c r="F81" s="4"/>
      <c r="G81" s="4">
        <v>309006</v>
      </c>
      <c r="I81" s="42">
        <f t="shared" si="0"/>
        <v>702286</v>
      </c>
    </row>
    <row r="82" spans="1:9">
      <c r="A82" s="93">
        <f t="shared" si="2"/>
        <v>74</v>
      </c>
      <c r="C82" s="93">
        <v>907</v>
      </c>
      <c r="E82" s="4">
        <v>23177</v>
      </c>
      <c r="F82" s="4"/>
      <c r="G82" s="4">
        <v>18211</v>
      </c>
      <c r="I82" s="42">
        <f t="shared" si="0"/>
        <v>41388</v>
      </c>
    </row>
    <row r="83" spans="1:9">
      <c r="A83" s="93">
        <f t="shared" si="2"/>
        <v>75</v>
      </c>
      <c r="C83" s="93">
        <v>908</v>
      </c>
      <c r="E83" s="4">
        <v>16949</v>
      </c>
      <c r="F83" s="4"/>
      <c r="G83" s="4">
        <v>4781</v>
      </c>
      <c r="I83" s="42">
        <f t="shared" si="0"/>
        <v>21730</v>
      </c>
    </row>
    <row r="84" spans="1:9">
      <c r="A84" s="93">
        <f t="shared" si="2"/>
        <v>76</v>
      </c>
      <c r="C84" s="93">
        <v>920</v>
      </c>
      <c r="E84" s="4">
        <v>2600191</v>
      </c>
      <c r="F84" s="4"/>
      <c r="G84" s="4">
        <v>733387</v>
      </c>
      <c r="I84" s="42">
        <f t="shared" si="0"/>
        <v>3333578</v>
      </c>
    </row>
    <row r="85" spans="1:9">
      <c r="A85" s="93">
        <f t="shared" si="2"/>
        <v>77</v>
      </c>
      <c r="C85" s="93">
        <v>935</v>
      </c>
      <c r="E85" s="4">
        <v>37682</v>
      </c>
      <c r="F85" s="4"/>
      <c r="G85" s="4">
        <v>16149</v>
      </c>
      <c r="I85" s="42">
        <f t="shared" si="0"/>
        <v>53831</v>
      </c>
    </row>
    <row r="86" spans="1:9" ht="13.5" thickBot="1">
      <c r="A86" s="93">
        <f t="shared" si="2"/>
        <v>78</v>
      </c>
      <c r="C86" s="93" t="s">
        <v>28</v>
      </c>
      <c r="E86" s="18">
        <f>SUM(E9:E85)</f>
        <v>8174093</v>
      </c>
      <c r="F86" s="4"/>
      <c r="G86" s="18">
        <f>SUM(G9:G85)</f>
        <v>2692657</v>
      </c>
      <c r="I86" s="18">
        <f>SUM(I9:I85)+2</f>
        <v>10866752</v>
      </c>
    </row>
    <row r="87" spans="1:9" ht="13.5" thickTop="1"/>
    <row r="88" spans="1:9">
      <c r="A88" s="2" t="s">
        <v>9</v>
      </c>
      <c r="B88" s="2"/>
      <c r="C88" s="197"/>
      <c r="D88" s="197"/>
      <c r="E88" s="2"/>
      <c r="F88" s="2"/>
      <c r="G88" s="2"/>
      <c r="H88" s="2"/>
      <c r="I88" s="2"/>
    </row>
    <row r="89" spans="1:9">
      <c r="A89" s="1" t="s">
        <v>388</v>
      </c>
    </row>
  </sheetData>
  <pageMargins left="2.54" right="0.7" top="0.44" bottom="0.33" header="0.3" footer="0.3"/>
  <pageSetup scale="66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>
      <selection activeCell="E64" sqref="E64"/>
    </sheetView>
  </sheetViews>
  <sheetFormatPr defaultRowHeight="12.75"/>
  <cols>
    <col min="1" max="1" width="4.7109375" style="163" customWidth="1"/>
    <col min="2" max="2" width="1.42578125" style="163" customWidth="1"/>
    <col min="3" max="3" width="30.140625" style="163" bestFit="1" customWidth="1"/>
    <col min="4" max="4" width="1.28515625" style="163" customWidth="1"/>
    <col min="5" max="5" width="12.7109375" style="163" customWidth="1"/>
    <col min="6" max="6" width="9.140625" style="163"/>
    <col min="7" max="7" width="3.140625" style="163" customWidth="1"/>
    <col min="8" max="8" width="12.28515625" style="163" customWidth="1"/>
    <col min="9" max="9" width="9.140625" style="163"/>
    <col min="10" max="10" width="3.5703125" style="163" customWidth="1"/>
    <col min="11" max="11" width="12.85546875" style="163" customWidth="1"/>
    <col min="12" max="16384" width="9.140625" style="163"/>
  </cols>
  <sheetData>
    <row r="1" spans="1:12">
      <c r="A1" s="163" t="s">
        <v>273</v>
      </c>
      <c r="L1" s="164" t="str">
        <f>Contents!A4</f>
        <v>Exhibit RCS-2</v>
      </c>
    </row>
    <row r="2" spans="1:12">
      <c r="A2" s="163" t="s">
        <v>220</v>
      </c>
      <c r="L2" s="164" t="s">
        <v>126</v>
      </c>
    </row>
    <row r="3" spans="1:12">
      <c r="L3" s="164" t="str">
        <f>Contents!A2</f>
        <v>Case No. 2016-00371</v>
      </c>
    </row>
    <row r="4" spans="1:12">
      <c r="A4" s="163" t="s">
        <v>287</v>
      </c>
      <c r="L4" s="164" t="s">
        <v>183</v>
      </c>
    </row>
    <row r="8" spans="1:12">
      <c r="C8" s="170"/>
    </row>
    <row r="9" spans="1:12">
      <c r="K9" s="165" t="s">
        <v>342</v>
      </c>
      <c r="L9" s="165" t="s">
        <v>342</v>
      </c>
    </row>
    <row r="10" spans="1:12">
      <c r="A10" s="165" t="s">
        <v>0</v>
      </c>
      <c r="E10" s="165">
        <v>2015</v>
      </c>
      <c r="F10" s="165">
        <v>2015</v>
      </c>
      <c r="G10" s="165"/>
      <c r="H10" s="165">
        <v>2016</v>
      </c>
      <c r="I10" s="165">
        <v>2016</v>
      </c>
      <c r="K10" s="165" t="s">
        <v>358</v>
      </c>
      <c r="L10" s="165" t="s">
        <v>358</v>
      </c>
    </row>
    <row r="11" spans="1:12">
      <c r="A11" s="166" t="s">
        <v>2</v>
      </c>
      <c r="C11" s="167" t="s">
        <v>359</v>
      </c>
      <c r="E11" s="166" t="s">
        <v>16</v>
      </c>
      <c r="F11" s="166" t="s">
        <v>24</v>
      </c>
      <c r="H11" s="166" t="s">
        <v>16</v>
      </c>
      <c r="I11" s="166" t="s">
        <v>24</v>
      </c>
      <c r="K11" s="166" t="s">
        <v>16</v>
      </c>
      <c r="L11" s="166" t="s">
        <v>24</v>
      </c>
    </row>
    <row r="12" spans="1:12">
      <c r="A12" s="168"/>
      <c r="C12" s="170"/>
      <c r="E12" s="168" t="s">
        <v>6</v>
      </c>
      <c r="F12" s="168" t="s">
        <v>7</v>
      </c>
      <c r="H12" s="168" t="s">
        <v>18</v>
      </c>
      <c r="I12" s="168" t="s">
        <v>38</v>
      </c>
      <c r="K12" s="168" t="s">
        <v>50</v>
      </c>
      <c r="L12" s="168" t="s">
        <v>51</v>
      </c>
    </row>
    <row r="13" spans="1:12">
      <c r="A13" s="165">
        <v>1</v>
      </c>
      <c r="C13" s="163" t="s">
        <v>360</v>
      </c>
      <c r="E13" s="174">
        <v>6169284.9500000002</v>
      </c>
      <c r="F13" s="178">
        <f>E13/E19</f>
        <v>0.52935779110784265</v>
      </c>
      <c r="H13" s="174">
        <v>3155809</v>
      </c>
      <c r="I13" s="178">
        <f>H13/H19</f>
        <v>0.30069811731195056</v>
      </c>
      <c r="K13" s="174">
        <v>2475210</v>
      </c>
      <c r="L13" s="178">
        <f>K13/K19</f>
        <v>0.25321641967628489</v>
      </c>
    </row>
    <row r="14" spans="1:12">
      <c r="A14" s="165">
        <v>2</v>
      </c>
      <c r="C14" s="163" t="s">
        <v>361</v>
      </c>
      <c r="E14" s="174">
        <v>0</v>
      </c>
      <c r="F14" s="178">
        <f>E14/E19</f>
        <v>0</v>
      </c>
      <c r="H14" s="174">
        <v>0</v>
      </c>
      <c r="I14" s="178">
        <f>H14/H19</f>
        <v>0</v>
      </c>
      <c r="K14" s="174">
        <v>196134</v>
      </c>
      <c r="L14" s="178">
        <f>K14/K19</f>
        <v>2.0064701280613953E-2</v>
      </c>
    </row>
    <row r="15" spans="1:12">
      <c r="A15" s="165">
        <v>3</v>
      </c>
      <c r="C15" s="163" t="s">
        <v>362</v>
      </c>
      <c r="E15" s="174">
        <v>0</v>
      </c>
      <c r="F15" s="178">
        <f>E15/E19</f>
        <v>0</v>
      </c>
      <c r="H15" s="174">
        <v>0</v>
      </c>
      <c r="I15" s="178">
        <f>H15/H19</f>
        <v>0</v>
      </c>
      <c r="K15" s="174">
        <v>196134</v>
      </c>
      <c r="L15" s="178">
        <f>K15/K19</f>
        <v>2.0064701280613953E-2</v>
      </c>
    </row>
    <row r="16" spans="1:12">
      <c r="A16" s="165">
        <v>4</v>
      </c>
      <c r="C16" s="163" t="s">
        <v>363</v>
      </c>
      <c r="E16" s="174">
        <v>1683396</v>
      </c>
      <c r="F16" s="178">
        <f>E16/E19</f>
        <v>0.1444444202759313</v>
      </c>
      <c r="H16" s="174">
        <v>1720441</v>
      </c>
      <c r="I16" s="178">
        <f>H16/H19</f>
        <v>0.16393050708908224</v>
      </c>
      <c r="K16" s="174">
        <v>1619281</v>
      </c>
      <c r="L16" s="178">
        <f>K16/K19</f>
        <v>0.16565404037226511</v>
      </c>
    </row>
    <row r="17" spans="1:12">
      <c r="A17" s="165">
        <v>5</v>
      </c>
      <c r="C17" s="163" t="s">
        <v>364</v>
      </c>
      <c r="E17" s="174">
        <v>0</v>
      </c>
      <c r="F17" s="178">
        <f>E17/E19</f>
        <v>0</v>
      </c>
      <c r="H17" s="174">
        <v>1617665</v>
      </c>
      <c r="I17" s="178">
        <f>H17/H19</f>
        <v>0.15413759829616955</v>
      </c>
      <c r="K17" s="174">
        <v>1522548</v>
      </c>
      <c r="L17" s="178">
        <f>K17/K19</f>
        <v>0.1557581592451906</v>
      </c>
    </row>
    <row r="18" spans="1:12">
      <c r="A18" s="165">
        <v>6</v>
      </c>
      <c r="C18" s="163" t="s">
        <v>365</v>
      </c>
      <c r="E18" s="174">
        <v>3801601</v>
      </c>
      <c r="F18" s="178">
        <f>E18/E19</f>
        <v>0.32619778861622617</v>
      </c>
      <c r="H18" s="174">
        <v>4001026</v>
      </c>
      <c r="I18" s="178">
        <f>H18/H19</f>
        <v>0.38123377730279762</v>
      </c>
      <c r="K18" s="174">
        <v>3765770</v>
      </c>
      <c r="L18" s="178">
        <f>K18/K19</f>
        <v>0.38524197814503147</v>
      </c>
    </row>
    <row r="19" spans="1:12" ht="13.5" thickBot="1">
      <c r="A19" s="165">
        <v>7</v>
      </c>
      <c r="C19" s="163" t="s">
        <v>366</v>
      </c>
      <c r="E19" s="176">
        <f>SUM(E13:E18)</f>
        <v>11654281.949999999</v>
      </c>
      <c r="F19" s="179">
        <f>SUM(F13:F18)</f>
        <v>1</v>
      </c>
      <c r="H19" s="176">
        <f>SUM(H13:H18)</f>
        <v>10494941</v>
      </c>
      <c r="I19" s="179">
        <f>SUM(I13:I18)</f>
        <v>1</v>
      </c>
      <c r="K19" s="176">
        <f>SUM(K13:K18)</f>
        <v>9775077</v>
      </c>
      <c r="L19" s="179">
        <f>SUM(L13:L18)</f>
        <v>0.99999999999999989</v>
      </c>
    </row>
    <row r="20" spans="1:12" ht="13.5" thickTop="1"/>
    <row r="22" spans="1:12">
      <c r="A22" s="167" t="s">
        <v>9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</row>
    <row r="23" spans="1:12">
      <c r="A23" s="163" t="s">
        <v>367</v>
      </c>
    </row>
    <row r="24" spans="1:12">
      <c r="A24" s="163" t="s">
        <v>482</v>
      </c>
    </row>
  </sheetData>
  <pageMargins left="0.7" right="0.7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workbookViewId="0">
      <selection activeCell="E64" sqref="E64"/>
    </sheetView>
  </sheetViews>
  <sheetFormatPr defaultRowHeight="12.75"/>
  <cols>
    <col min="1" max="1" width="4.42578125" style="1" customWidth="1"/>
    <col min="2" max="2" width="1.140625" style="1" customWidth="1"/>
    <col min="3" max="3" width="48.140625" style="1" bestFit="1" customWidth="1"/>
    <col min="4" max="4" width="1.28515625" style="1" customWidth="1"/>
    <col min="5" max="5" width="11.140625" style="1" bestFit="1" customWidth="1"/>
    <col min="6" max="6" width="1.140625" style="1" customWidth="1"/>
    <col min="7" max="7" width="10.85546875" style="1" customWidth="1"/>
    <col min="8" max="8" width="1.28515625" style="1" customWidth="1"/>
    <col min="9" max="9" width="12" style="1" bestFit="1" customWidth="1"/>
    <col min="10" max="10" width="1.28515625" style="1" customWidth="1"/>
    <col min="11" max="11" width="11.140625" style="1" bestFit="1" customWidth="1"/>
    <col min="12" max="12" width="1.42578125" style="1" customWidth="1"/>
    <col min="13" max="16384" width="9.140625" style="1"/>
  </cols>
  <sheetData>
    <row r="1" spans="1:13">
      <c r="A1" s="163" t="str">
        <f>[2]Contents!A1</f>
        <v>Kentucky Utilities Company</v>
      </c>
      <c r="K1" s="27" t="str">
        <f>Contents!A4</f>
        <v>Exhibit RCS-2</v>
      </c>
    </row>
    <row r="2" spans="1:13">
      <c r="A2" s="163" t="s">
        <v>408</v>
      </c>
      <c r="K2" s="27" t="s">
        <v>56</v>
      </c>
    </row>
    <row r="3" spans="1:13">
      <c r="A3" s="163"/>
      <c r="K3" s="27" t="str">
        <f>Contents!A2</f>
        <v>Case No. 2016-00371</v>
      </c>
    </row>
    <row r="4" spans="1:13">
      <c r="A4" s="163" t="s">
        <v>287</v>
      </c>
      <c r="G4" s="93"/>
      <c r="K4" s="27" t="s">
        <v>37</v>
      </c>
    </row>
    <row r="5" spans="1:13">
      <c r="E5" s="93"/>
      <c r="G5" s="93"/>
      <c r="K5" s="93"/>
    </row>
    <row r="6" spans="1:13">
      <c r="E6" s="93"/>
      <c r="G6" s="93"/>
      <c r="I6" s="93"/>
      <c r="J6" s="93"/>
      <c r="K6" s="93"/>
    </row>
    <row r="7" spans="1:13">
      <c r="A7" s="93" t="s">
        <v>0</v>
      </c>
      <c r="E7" s="93" t="s">
        <v>409</v>
      </c>
      <c r="G7" s="93"/>
      <c r="I7" s="93"/>
      <c r="J7" s="93"/>
      <c r="K7" s="93"/>
    </row>
    <row r="8" spans="1:13">
      <c r="A8" s="200" t="s">
        <v>2</v>
      </c>
      <c r="C8" s="2" t="s">
        <v>3</v>
      </c>
      <c r="D8" s="13"/>
      <c r="E8" s="200" t="s">
        <v>16</v>
      </c>
      <c r="G8" s="200" t="s">
        <v>15</v>
      </c>
      <c r="H8" s="12"/>
      <c r="I8" s="12"/>
      <c r="J8" s="12"/>
      <c r="K8" s="12"/>
      <c r="L8" s="12"/>
      <c r="M8" s="12"/>
    </row>
    <row r="9" spans="1:13">
      <c r="A9" s="93"/>
      <c r="E9" s="93" t="s">
        <v>6</v>
      </c>
      <c r="G9" s="93"/>
      <c r="H9" s="93"/>
      <c r="I9" s="93"/>
      <c r="J9" s="93"/>
      <c r="K9" s="93"/>
      <c r="L9" s="93"/>
      <c r="M9" s="93"/>
    </row>
    <row r="10" spans="1:13">
      <c r="A10" s="93"/>
      <c r="E10" s="93"/>
    </row>
    <row r="11" spans="1:13" ht="13.5" thickBot="1">
      <c r="A11" s="93">
        <v>1</v>
      </c>
      <c r="C11" s="1" t="s">
        <v>410</v>
      </c>
      <c r="E11" s="216">
        <f>-I30</f>
        <v>-324217.01999999996</v>
      </c>
      <c r="G11" s="93" t="s">
        <v>43</v>
      </c>
    </row>
    <row r="12" spans="1:13" ht="13.5" thickTop="1">
      <c r="A12" s="93"/>
      <c r="E12" s="217"/>
      <c r="G12" s="93"/>
    </row>
    <row r="13" spans="1:13" ht="13.5" thickBot="1">
      <c r="A13" s="93">
        <v>2</v>
      </c>
      <c r="C13" s="1" t="s">
        <v>419</v>
      </c>
      <c r="E13" s="216">
        <f>-I37</f>
        <v>-202800</v>
      </c>
      <c r="G13" s="93" t="s">
        <v>44</v>
      </c>
    </row>
    <row r="14" spans="1:13" ht="13.5" thickTop="1">
      <c r="A14" s="93"/>
      <c r="E14" s="93"/>
    </row>
    <row r="15" spans="1:13">
      <c r="A15" s="93"/>
      <c r="E15" s="93"/>
    </row>
    <row r="17" spans="1:13">
      <c r="A17" s="2" t="s">
        <v>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13"/>
      <c r="M17" s="13"/>
    </row>
    <row r="18" spans="1:13">
      <c r="A18" s="1" t="s">
        <v>411</v>
      </c>
    </row>
    <row r="20" spans="1:13">
      <c r="E20" s="12" t="s">
        <v>376</v>
      </c>
      <c r="G20" s="93" t="s">
        <v>377</v>
      </c>
      <c r="I20" s="93" t="s">
        <v>343</v>
      </c>
      <c r="J20" s="93"/>
    </row>
    <row r="21" spans="1:13">
      <c r="C21" s="2" t="s">
        <v>3</v>
      </c>
      <c r="E21" s="200" t="s">
        <v>378</v>
      </c>
      <c r="G21" s="200" t="s">
        <v>379</v>
      </c>
      <c r="H21" s="12"/>
      <c r="I21" s="200" t="s">
        <v>379</v>
      </c>
      <c r="J21" s="12"/>
      <c r="K21" s="200" t="s">
        <v>28</v>
      </c>
    </row>
    <row r="22" spans="1:13">
      <c r="A22" s="93"/>
      <c r="E22" s="93" t="s">
        <v>7</v>
      </c>
      <c r="F22" s="93"/>
      <c r="G22" s="93" t="s">
        <v>18</v>
      </c>
      <c r="H22" s="93"/>
      <c r="I22" s="93" t="s">
        <v>38</v>
      </c>
      <c r="J22" s="93"/>
      <c r="K22" s="93" t="s">
        <v>50</v>
      </c>
    </row>
    <row r="23" spans="1:13">
      <c r="A23" s="93"/>
      <c r="E23" s="93"/>
      <c r="F23" s="93"/>
      <c r="G23" s="93"/>
      <c r="H23" s="93"/>
      <c r="I23" s="93"/>
      <c r="J23" s="93"/>
    </row>
    <row r="24" spans="1:13">
      <c r="A24" s="93">
        <v>3</v>
      </c>
      <c r="C24" s="1" t="s">
        <v>412</v>
      </c>
      <c r="E24" s="93">
        <v>586</v>
      </c>
      <c r="G24" s="4">
        <v>1167421</v>
      </c>
      <c r="I24" s="16"/>
      <c r="K24" s="42">
        <f>G24+I24</f>
        <v>1167421</v>
      </c>
    </row>
    <row r="25" spans="1:13">
      <c r="A25" s="93">
        <v>4</v>
      </c>
      <c r="C25" s="1" t="s">
        <v>393</v>
      </c>
      <c r="E25" s="93">
        <v>597</v>
      </c>
      <c r="G25" s="4">
        <v>1427900</v>
      </c>
      <c r="I25" s="16"/>
      <c r="K25" s="42">
        <f t="shared" ref="K25:K29" si="0">G25+I25</f>
        <v>1427900</v>
      </c>
    </row>
    <row r="26" spans="1:13">
      <c r="A26" s="93">
        <v>5</v>
      </c>
      <c r="C26" s="1" t="s">
        <v>413</v>
      </c>
      <c r="E26" s="93">
        <v>878</v>
      </c>
      <c r="G26" s="4">
        <v>0</v>
      </c>
      <c r="I26" s="16">
        <v>6454</v>
      </c>
      <c r="K26" s="42">
        <f t="shared" si="0"/>
        <v>6454</v>
      </c>
    </row>
    <row r="27" spans="1:13">
      <c r="A27" s="93">
        <v>6</v>
      </c>
      <c r="C27" s="1" t="s">
        <v>414</v>
      </c>
      <c r="E27" s="93">
        <v>893</v>
      </c>
      <c r="G27" s="4">
        <v>0</v>
      </c>
      <c r="I27" s="16">
        <v>15199</v>
      </c>
      <c r="K27" s="42">
        <f t="shared" si="0"/>
        <v>15199</v>
      </c>
    </row>
    <row r="28" spans="1:13">
      <c r="A28" s="93">
        <v>7</v>
      </c>
      <c r="C28" s="1" t="s">
        <v>415</v>
      </c>
      <c r="E28" s="93">
        <v>903</v>
      </c>
      <c r="G28" s="4">
        <v>358833</v>
      </c>
      <c r="I28" s="16">
        <v>281940.05999999994</v>
      </c>
      <c r="K28" s="42">
        <f t="shared" si="0"/>
        <v>640773.05999999994</v>
      </c>
    </row>
    <row r="29" spans="1:13">
      <c r="A29" s="93">
        <v>8</v>
      </c>
      <c r="C29" s="1" t="s">
        <v>416</v>
      </c>
      <c r="E29" s="93">
        <v>910</v>
      </c>
      <c r="G29" s="4">
        <v>73121</v>
      </c>
      <c r="I29" s="16">
        <v>20623.960000000006</v>
      </c>
      <c r="K29" s="42">
        <f t="shared" si="0"/>
        <v>93744.960000000006</v>
      </c>
    </row>
    <row r="30" spans="1:13" ht="13.5" thickBot="1">
      <c r="A30" s="93">
        <v>9</v>
      </c>
      <c r="C30" s="1" t="s">
        <v>417</v>
      </c>
      <c r="G30" s="43">
        <f>SUM(G24:G29)</f>
        <v>3027275</v>
      </c>
      <c r="I30" s="43">
        <f>SUM(I24:I29)</f>
        <v>324217.01999999996</v>
      </c>
      <c r="K30" s="43">
        <f>SUM(K24:K29)</f>
        <v>3351492.02</v>
      </c>
    </row>
    <row r="31" spans="1:13" ht="13.5" thickTop="1"/>
    <row r="32" spans="1:13">
      <c r="A32" s="1" t="s">
        <v>434</v>
      </c>
      <c r="I32" s="4"/>
    </row>
    <row r="33" spans="1:11">
      <c r="I33" s="4"/>
    </row>
    <row r="34" spans="1:11">
      <c r="G34" s="93" t="s">
        <v>377</v>
      </c>
      <c r="H34" s="93"/>
      <c r="I34" s="16" t="s">
        <v>343</v>
      </c>
      <c r="J34" s="93"/>
      <c r="K34" s="93"/>
    </row>
    <row r="35" spans="1:11">
      <c r="G35" s="200" t="s">
        <v>421</v>
      </c>
      <c r="H35" s="93"/>
      <c r="I35" s="23" t="s">
        <v>421</v>
      </c>
      <c r="J35" s="93"/>
      <c r="K35" s="200" t="s">
        <v>28</v>
      </c>
    </row>
    <row r="36" spans="1:11">
      <c r="G36" s="12"/>
      <c r="H36" s="93"/>
      <c r="I36" s="44"/>
      <c r="J36" s="93"/>
      <c r="K36" s="12"/>
    </row>
    <row r="37" spans="1:11" ht="13.5" thickBot="1">
      <c r="A37" s="93">
        <v>10</v>
      </c>
      <c r="C37" s="1" t="s">
        <v>418</v>
      </c>
      <c r="E37" s="93">
        <v>403</v>
      </c>
      <c r="G37" s="20">
        <f>K37*0.7</f>
        <v>473199.99999999994</v>
      </c>
      <c r="I37" s="20">
        <f>K37*0.3</f>
        <v>202800</v>
      </c>
      <c r="J37" s="4"/>
      <c r="K37" s="20">
        <v>676000</v>
      </c>
    </row>
    <row r="38" spans="1:11" ht="13.5" thickTop="1">
      <c r="I38" s="42"/>
    </row>
    <row r="39" spans="1:11">
      <c r="I39" s="42"/>
    </row>
    <row r="40" spans="1:11">
      <c r="A40" s="1" t="s">
        <v>420</v>
      </c>
    </row>
  </sheetData>
  <pageMargins left="0.7" right="0.7" top="0.75" bottom="0.7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G21"/>
  <sheetViews>
    <sheetView workbookViewId="0">
      <selection activeCell="C18" sqref="C18"/>
    </sheetView>
  </sheetViews>
  <sheetFormatPr defaultRowHeight="12.75"/>
  <cols>
    <col min="1" max="1" width="5" style="1" customWidth="1"/>
    <col min="2" max="2" width="1.42578125" style="1" customWidth="1"/>
    <col min="3" max="3" width="84.140625" style="1" bestFit="1" customWidth="1"/>
    <col min="4" max="4" width="1.140625" style="1" customWidth="1"/>
    <col min="5" max="5" width="13.28515625" style="1" bestFit="1" customWidth="1"/>
    <col min="6" max="6" width="1.140625" style="1" customWidth="1"/>
    <col min="7" max="7" width="10.140625" style="1" customWidth="1"/>
    <col min="8" max="8" width="1.140625" style="1" customWidth="1"/>
    <col min="9" max="9" width="9.28515625" style="1" bestFit="1" customWidth="1"/>
    <col min="10" max="16384" width="9.140625" style="1"/>
  </cols>
  <sheetData>
    <row r="1" spans="1:7">
      <c r="A1" s="1" t="str">
        <f>Contents!A1</f>
        <v>Louisville Gas and Electric Company</v>
      </c>
      <c r="G1" s="27" t="str">
        <f>Contents!A4</f>
        <v>Exhibit RCS-2</v>
      </c>
    </row>
    <row r="2" spans="1:7">
      <c r="A2" s="163" t="s">
        <v>508</v>
      </c>
      <c r="G2" s="27" t="s">
        <v>68</v>
      </c>
    </row>
    <row r="3" spans="1:7">
      <c r="G3" s="27" t="str">
        <f>Contents!A2</f>
        <v>Case No. 2016-00371</v>
      </c>
    </row>
    <row r="4" spans="1:7">
      <c r="A4" s="1" t="s">
        <v>287</v>
      </c>
      <c r="G4" s="27" t="s">
        <v>37</v>
      </c>
    </row>
    <row r="6" spans="1:7">
      <c r="A6" s="93" t="s">
        <v>0</v>
      </c>
      <c r="E6" s="93"/>
      <c r="F6" s="93"/>
      <c r="G6" s="93"/>
    </row>
    <row r="7" spans="1:7">
      <c r="A7" s="11" t="s">
        <v>2</v>
      </c>
      <c r="C7" s="2" t="s">
        <v>3</v>
      </c>
      <c r="E7" s="11" t="s">
        <v>16</v>
      </c>
      <c r="F7" s="93"/>
      <c r="G7" s="11" t="s">
        <v>15</v>
      </c>
    </row>
    <row r="8" spans="1:7">
      <c r="A8" s="93"/>
      <c r="E8" s="93" t="s">
        <v>6</v>
      </c>
    </row>
    <row r="9" spans="1:7">
      <c r="A9" s="93"/>
      <c r="E9" s="93"/>
    </row>
    <row r="10" spans="1:7">
      <c r="A10" s="93"/>
      <c r="C10" s="1" t="s">
        <v>509</v>
      </c>
    </row>
    <row r="11" spans="1:7">
      <c r="A11" s="93"/>
      <c r="E11" s="4"/>
      <c r="G11" s="93"/>
    </row>
    <row r="14" spans="1:7">
      <c r="A14" s="93"/>
    </row>
    <row r="17" spans="3:3">
      <c r="C17" s="14"/>
    </row>
    <row r="18" spans="3:3">
      <c r="C18" s="14"/>
    </row>
    <row r="19" spans="3:3">
      <c r="C19" s="14"/>
    </row>
    <row r="21" spans="3:3">
      <c r="C21" s="117"/>
    </row>
  </sheetData>
  <pageMargins left="0.75" right="0.75" top="1" bottom="0.64" header="0.5" footer="0.5"/>
  <pageSetup fitToHeight="3" orientation="landscape" horizontalDpi="1200" verticalDpi="1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opLeftCell="A7" workbookViewId="0">
      <selection activeCell="E64" sqref="E64"/>
    </sheetView>
  </sheetViews>
  <sheetFormatPr defaultRowHeight="12.75"/>
  <cols>
    <col min="1" max="1" width="9.140625" style="1"/>
    <col min="2" max="2" width="2.28515625" style="1" customWidth="1"/>
    <col min="3" max="3" width="36.28515625" style="1" customWidth="1"/>
    <col min="4" max="4" width="2.28515625" style="1" customWidth="1"/>
    <col min="5" max="5" width="13.85546875" style="1" bestFit="1" customWidth="1"/>
    <col min="6" max="6" width="2.28515625" style="1" customWidth="1"/>
    <col min="7" max="7" width="12.5703125" style="1" customWidth="1"/>
    <col min="8" max="8" width="3.5703125" style="1" customWidth="1"/>
    <col min="9" max="9" width="11.85546875" style="1" customWidth="1"/>
    <col min="10" max="16384" width="9.140625" style="1"/>
  </cols>
  <sheetData>
    <row r="1" spans="1:9">
      <c r="A1" s="1" t="s">
        <v>273</v>
      </c>
      <c r="I1" s="27" t="s">
        <v>195</v>
      </c>
    </row>
    <row r="2" spans="1:9">
      <c r="A2" s="1" t="s">
        <v>483</v>
      </c>
      <c r="I2" s="27" t="s">
        <v>206</v>
      </c>
    </row>
    <row r="3" spans="1:9">
      <c r="I3" s="27" t="s">
        <v>274</v>
      </c>
    </row>
    <row r="4" spans="1:9">
      <c r="A4" s="1" t="s">
        <v>287</v>
      </c>
      <c r="I4" s="27" t="s">
        <v>37</v>
      </c>
    </row>
    <row r="6" spans="1:9">
      <c r="I6" s="93" t="s">
        <v>155</v>
      </c>
    </row>
    <row r="7" spans="1:9">
      <c r="A7" s="221" t="s">
        <v>40</v>
      </c>
      <c r="C7" s="2" t="s">
        <v>3</v>
      </c>
      <c r="E7" s="2" t="s">
        <v>47</v>
      </c>
      <c r="G7" s="221" t="s">
        <v>153</v>
      </c>
      <c r="I7" s="221" t="s">
        <v>34</v>
      </c>
    </row>
    <row r="8" spans="1:9">
      <c r="A8" s="93"/>
      <c r="E8" s="93" t="s">
        <v>6</v>
      </c>
      <c r="F8" s="93"/>
      <c r="G8" s="93" t="s">
        <v>7</v>
      </c>
      <c r="H8" s="93"/>
      <c r="I8" s="93" t="s">
        <v>521</v>
      </c>
    </row>
    <row r="9" spans="1:9">
      <c r="A9" s="93"/>
    </row>
    <row r="10" spans="1:9" ht="13.5" thickBot="1">
      <c r="A10" s="93">
        <v>1</v>
      </c>
      <c r="C10" s="1" t="s">
        <v>483</v>
      </c>
      <c r="E10" s="227">
        <f>G40</f>
        <v>411866</v>
      </c>
      <c r="G10" s="227">
        <f>E48</f>
        <v>335716.19102000003</v>
      </c>
      <c r="I10" s="227">
        <f>G10-E10</f>
        <v>-76149.808979999973</v>
      </c>
    </row>
    <row r="11" spans="1:9" ht="13.5" thickTop="1"/>
    <row r="12" spans="1:9">
      <c r="A12" s="93"/>
    </row>
    <row r="13" spans="1:9">
      <c r="A13" s="2" t="s">
        <v>372</v>
      </c>
      <c r="B13" s="2"/>
      <c r="C13" s="2"/>
      <c r="D13" s="2"/>
      <c r="E13" s="2"/>
      <c r="F13" s="2"/>
      <c r="G13" s="2"/>
      <c r="H13" s="2"/>
      <c r="I13" s="2"/>
    </row>
    <row r="14" spans="1:9">
      <c r="A14" s="1" t="s">
        <v>522</v>
      </c>
    </row>
    <row r="16" spans="1:9">
      <c r="E16" s="93" t="s">
        <v>583</v>
      </c>
      <c r="G16" s="93" t="s">
        <v>583</v>
      </c>
    </row>
    <row r="17" spans="1:8">
      <c r="A17" s="221" t="s">
        <v>40</v>
      </c>
      <c r="B17" s="93"/>
      <c r="C17" s="221" t="s">
        <v>523</v>
      </c>
      <c r="D17" s="93"/>
      <c r="E17" s="61" t="s">
        <v>47</v>
      </c>
      <c r="F17" s="228"/>
      <c r="G17" s="221" t="s">
        <v>153</v>
      </c>
    </row>
    <row r="18" spans="1:8">
      <c r="A18" s="12"/>
      <c r="B18" s="93"/>
      <c r="C18" s="12"/>
      <c r="D18" s="93"/>
      <c r="E18" s="229" t="s">
        <v>43</v>
      </c>
      <c r="F18" s="228"/>
      <c r="G18" s="12" t="s">
        <v>44</v>
      </c>
    </row>
    <row r="19" spans="1:8">
      <c r="A19" s="12"/>
      <c r="B19" s="93"/>
      <c r="C19" s="12"/>
      <c r="D19" s="93"/>
      <c r="E19" s="229"/>
      <c r="F19" s="228"/>
      <c r="G19" s="12"/>
    </row>
    <row r="20" spans="1:8">
      <c r="A20" s="93">
        <f>A10+1</f>
        <v>2</v>
      </c>
      <c r="C20" s="93">
        <v>2011</v>
      </c>
      <c r="E20" s="5">
        <v>3.7000000000000002E-3</v>
      </c>
      <c r="F20" s="5"/>
      <c r="G20" s="5"/>
    </row>
    <row r="21" spans="1:8">
      <c r="A21" s="93">
        <f>A20+1</f>
        <v>3</v>
      </c>
      <c r="C21" s="93">
        <v>2012</v>
      </c>
      <c r="E21" s="5">
        <v>1.5E-3</v>
      </c>
      <c r="F21" s="5"/>
      <c r="G21" s="5">
        <f>E21</f>
        <v>1.5E-3</v>
      </c>
    </row>
    <row r="22" spans="1:8">
      <c r="A22" s="93">
        <f t="shared" ref="A22:A25" si="0">A21+1</f>
        <v>4</v>
      </c>
      <c r="C22" s="93">
        <v>2013</v>
      </c>
      <c r="E22" s="5">
        <v>1.2999999999999999E-3</v>
      </c>
      <c r="F22" s="5"/>
      <c r="G22" s="5">
        <f t="shared" ref="G22:G23" si="1">E22</f>
        <v>1.2999999999999999E-3</v>
      </c>
    </row>
    <row r="23" spans="1:8">
      <c r="A23" s="93">
        <f t="shared" si="0"/>
        <v>5</v>
      </c>
      <c r="C23" s="93">
        <v>2014</v>
      </c>
      <c r="E23" s="5">
        <v>3.0999999999999999E-3</v>
      </c>
      <c r="F23" s="5"/>
      <c r="G23" s="5">
        <f t="shared" si="1"/>
        <v>3.0999999999999999E-3</v>
      </c>
    </row>
    <row r="24" spans="1:8">
      <c r="A24" s="93">
        <f t="shared" si="0"/>
        <v>6</v>
      </c>
      <c r="C24" s="93">
        <v>2015</v>
      </c>
      <c r="E24" s="5">
        <v>1.6999999999999999E-3</v>
      </c>
      <c r="F24" s="5"/>
      <c r="G24" s="5">
        <v>2.2000000000000001E-3</v>
      </c>
      <c r="H24" s="1" t="s">
        <v>152</v>
      </c>
    </row>
    <row r="25" spans="1:8">
      <c r="A25" s="93">
        <f t="shared" si="0"/>
        <v>7</v>
      </c>
      <c r="C25" s="93">
        <v>2016</v>
      </c>
      <c r="E25" s="5"/>
      <c r="F25" s="5"/>
      <c r="G25" s="5">
        <v>1.6000000000000001E-3</v>
      </c>
    </row>
    <row r="26" spans="1:8">
      <c r="A26" s="93"/>
      <c r="E26" s="5"/>
      <c r="F26" s="5"/>
      <c r="G26" s="5"/>
    </row>
    <row r="27" spans="1:8">
      <c r="A27" s="93"/>
      <c r="C27" s="1" t="s">
        <v>524</v>
      </c>
      <c r="E27" s="5"/>
      <c r="F27" s="5"/>
      <c r="G27" s="5"/>
    </row>
    <row r="28" spans="1:8" ht="13.5" thickBot="1">
      <c r="A28" s="93">
        <f>A25+1</f>
        <v>8</v>
      </c>
      <c r="C28" s="1" t="s">
        <v>525</v>
      </c>
      <c r="E28" s="230">
        <f>ROUND(AVERAGE(E20:E24),5)</f>
        <v>2.2599999999999999E-3</v>
      </c>
      <c r="G28" s="230">
        <f>ROUND(AVERAGE(G21:G25),5)</f>
        <v>1.9400000000000001E-3</v>
      </c>
    </row>
    <row r="29" spans="1:8" ht="13.5" thickTop="1"/>
    <row r="30" spans="1:8">
      <c r="A30" s="1" t="s">
        <v>526</v>
      </c>
    </row>
    <row r="31" spans="1:8">
      <c r="A31" s="1" t="s">
        <v>527</v>
      </c>
    </row>
    <row r="33" spans="1:7">
      <c r="A33" s="1" t="s">
        <v>584</v>
      </c>
    </row>
    <row r="34" spans="1:7">
      <c r="A34" s="1" t="s">
        <v>528</v>
      </c>
    </row>
    <row r="36" spans="1:7">
      <c r="C36" s="1" t="s">
        <v>529</v>
      </c>
    </row>
    <row r="38" spans="1:7">
      <c r="C38" s="1" t="s">
        <v>530</v>
      </c>
    </row>
    <row r="39" spans="1:7" ht="25.5">
      <c r="E39" s="61" t="s">
        <v>531</v>
      </c>
      <c r="G39" s="61" t="s">
        <v>532</v>
      </c>
    </row>
    <row r="40" spans="1:7">
      <c r="A40" s="93">
        <f>A28+1</f>
        <v>9</v>
      </c>
      <c r="C40" s="1" t="s">
        <v>533</v>
      </c>
      <c r="E40" s="4">
        <v>660292</v>
      </c>
      <c r="F40" s="4"/>
      <c r="G40" s="4">
        <v>411866</v>
      </c>
    </row>
    <row r="41" spans="1:7">
      <c r="A41" s="93">
        <f>A40+1</f>
        <v>10</v>
      </c>
      <c r="C41" s="1" t="s">
        <v>534</v>
      </c>
      <c r="E41" s="4">
        <v>315902323</v>
      </c>
      <c r="F41" s="4"/>
      <c r="G41" s="4">
        <v>173049583</v>
      </c>
    </row>
    <row r="42" spans="1:7">
      <c r="A42" s="93"/>
      <c r="C42" s="1" t="s">
        <v>524</v>
      </c>
    </row>
    <row r="43" spans="1:7" ht="13.5" thickBot="1">
      <c r="A43" s="93">
        <f>A41+1</f>
        <v>11</v>
      </c>
      <c r="C43" s="1" t="s">
        <v>535</v>
      </c>
      <c r="E43" s="148">
        <f>E40/E41</f>
        <v>2.0901777287658627E-3</v>
      </c>
      <c r="F43" s="147"/>
      <c r="G43" s="148">
        <f>G40/G41</f>
        <v>2.3800461859535367E-3</v>
      </c>
    </row>
    <row r="44" spans="1:7" ht="13.5" thickTop="1"/>
    <row r="45" spans="1:7">
      <c r="C45" s="1" t="s">
        <v>536</v>
      </c>
    </row>
    <row r="46" spans="1:7">
      <c r="A46" s="93">
        <f>A43+1</f>
        <v>12</v>
      </c>
      <c r="C46" s="1" t="s">
        <v>616</v>
      </c>
      <c r="E46" s="4">
        <f>G41</f>
        <v>173049583</v>
      </c>
      <c r="F46" s="1" t="s">
        <v>537</v>
      </c>
    </row>
    <row r="47" spans="1:7">
      <c r="A47" s="93">
        <f>A46+1</f>
        <v>13</v>
      </c>
      <c r="C47" s="1" t="s">
        <v>538</v>
      </c>
      <c r="E47" s="80">
        <f>G28</f>
        <v>1.9400000000000001E-3</v>
      </c>
    </row>
    <row r="48" spans="1:7" ht="13.5" thickBot="1">
      <c r="A48" s="93">
        <f>A47+1</f>
        <v>14</v>
      </c>
      <c r="C48" s="1" t="s">
        <v>483</v>
      </c>
      <c r="E48" s="18">
        <f>E46*E47</f>
        <v>335716.19102000003</v>
      </c>
    </row>
    <row r="49" spans="1:1" ht="13.5" thickTop="1"/>
    <row r="50" spans="1:1">
      <c r="A50" s="1" t="s">
        <v>539</v>
      </c>
    </row>
  </sheetData>
  <pageMargins left="0.7" right="0.7" top="0.75" bottom="0.75" header="0.3" footer="0.3"/>
  <pageSetup scale="98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J28"/>
  <sheetViews>
    <sheetView workbookViewId="0">
      <selection activeCell="E64" sqref="E64"/>
    </sheetView>
  </sheetViews>
  <sheetFormatPr defaultRowHeight="12.75"/>
  <cols>
    <col min="1" max="1" width="5" style="1" customWidth="1"/>
    <col min="2" max="2" width="1.42578125" style="1" customWidth="1"/>
    <col min="3" max="3" width="84.140625" style="1" bestFit="1" customWidth="1"/>
    <col min="4" max="4" width="1.140625" style="1" customWidth="1"/>
    <col min="5" max="5" width="13.85546875" style="1" bestFit="1" customWidth="1"/>
    <col min="6" max="6" width="1.140625" style="1" customWidth="1"/>
    <col min="7" max="7" width="14" style="1" customWidth="1"/>
    <col min="8" max="8" width="1.140625" style="1" customWidth="1"/>
    <col min="9" max="9" width="9.28515625" style="1" bestFit="1" customWidth="1"/>
    <col min="10" max="16384" width="9.140625" style="1"/>
  </cols>
  <sheetData>
    <row r="1" spans="1:10">
      <c r="A1" s="1" t="str">
        <f>Contents!A1</f>
        <v>Louisville Gas and Electric Company</v>
      </c>
      <c r="G1" s="27" t="str">
        <f>Contents!A4</f>
        <v>Exhibit RCS-2</v>
      </c>
    </row>
    <row r="2" spans="1:10">
      <c r="A2" s="1" t="s">
        <v>490</v>
      </c>
      <c r="G2" s="27" t="s">
        <v>214</v>
      </c>
    </row>
    <row r="3" spans="1:10">
      <c r="G3" s="27" t="str">
        <f>Contents!A2</f>
        <v>Case No. 2016-00371</v>
      </c>
    </row>
    <row r="4" spans="1:10">
      <c r="A4" s="1" t="s">
        <v>287</v>
      </c>
      <c r="G4" s="27" t="s">
        <v>37</v>
      </c>
    </row>
    <row r="6" spans="1:10">
      <c r="A6" s="93" t="s">
        <v>0</v>
      </c>
      <c r="E6" s="93"/>
      <c r="F6" s="93"/>
      <c r="G6" s="93"/>
    </row>
    <row r="7" spans="1:10">
      <c r="A7" s="221" t="s">
        <v>2</v>
      </c>
      <c r="C7" s="2" t="s">
        <v>3</v>
      </c>
      <c r="E7" s="221" t="s">
        <v>16</v>
      </c>
      <c r="F7" s="93"/>
      <c r="G7" s="221" t="s">
        <v>15</v>
      </c>
    </row>
    <row r="8" spans="1:10">
      <c r="A8" s="93"/>
      <c r="E8" s="93" t="s">
        <v>6</v>
      </c>
    </row>
    <row r="9" spans="1:10">
      <c r="A9" s="93"/>
      <c r="E9" s="93"/>
    </row>
    <row r="10" spans="1:10" ht="13.5" thickBot="1">
      <c r="A10" s="93">
        <v>1</v>
      </c>
      <c r="C10" s="1" t="s">
        <v>491</v>
      </c>
      <c r="E10" s="20">
        <f>E25</f>
        <v>-159934</v>
      </c>
      <c r="G10" s="93" t="s">
        <v>43</v>
      </c>
    </row>
    <row r="11" spans="1:10" ht="13.5" thickTop="1">
      <c r="A11" s="93"/>
      <c r="E11" s="4"/>
      <c r="G11" s="93"/>
    </row>
    <row r="14" spans="1:10">
      <c r="A14" s="2" t="s">
        <v>9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>
      <c r="A15" s="1" t="s">
        <v>492</v>
      </c>
    </row>
    <row r="17" spans="1:7">
      <c r="C17" s="2" t="s">
        <v>3</v>
      </c>
      <c r="E17" s="221" t="s">
        <v>16</v>
      </c>
      <c r="F17" s="93"/>
      <c r="G17" s="221" t="s">
        <v>15</v>
      </c>
    </row>
    <row r="18" spans="1:7">
      <c r="C18" s="13"/>
      <c r="E18" s="12"/>
      <c r="F18" s="93"/>
      <c r="G18" s="12"/>
    </row>
    <row r="19" spans="1:7">
      <c r="A19" s="93">
        <v>2</v>
      </c>
      <c r="C19" s="1" t="s">
        <v>493</v>
      </c>
      <c r="E19" s="19">
        <v>38710461.194579259</v>
      </c>
      <c r="G19" s="93" t="s">
        <v>494</v>
      </c>
    </row>
    <row r="20" spans="1:7">
      <c r="A20" s="93">
        <v>3</v>
      </c>
      <c r="C20" s="1" t="s">
        <v>495</v>
      </c>
      <c r="E20" s="4">
        <v>1244613620.6835377</v>
      </c>
      <c r="G20" s="93" t="s">
        <v>496</v>
      </c>
    </row>
    <row r="21" spans="1:7" ht="13.5" thickBot="1">
      <c r="A21" s="93">
        <v>4</v>
      </c>
      <c r="C21" s="1" t="s">
        <v>497</v>
      </c>
      <c r="E21" s="201">
        <f>E19/E20</f>
        <v>3.1102392382078865E-2</v>
      </c>
      <c r="G21" s="93" t="s">
        <v>498</v>
      </c>
    </row>
    <row r="22" spans="1:7" ht="13.5" thickTop="1">
      <c r="A22" s="93"/>
    </row>
    <row r="23" spans="1:7">
      <c r="A23" s="93">
        <v>5</v>
      </c>
      <c r="C23" s="1" t="s">
        <v>499</v>
      </c>
      <c r="E23" s="19">
        <f>'B-1'!O10</f>
        <v>-5142177.4373339117</v>
      </c>
      <c r="G23" s="93" t="s">
        <v>500</v>
      </c>
    </row>
    <row r="24" spans="1:7">
      <c r="A24" s="93">
        <v>6</v>
      </c>
      <c r="C24" s="1" t="s">
        <v>501</v>
      </c>
      <c r="E24" s="5">
        <f>E21</f>
        <v>3.1102392382078865E-2</v>
      </c>
      <c r="G24" s="93" t="s">
        <v>502</v>
      </c>
    </row>
    <row r="25" spans="1:7" ht="13.5" thickBot="1">
      <c r="A25" s="93">
        <v>7</v>
      </c>
      <c r="C25" s="1" t="s">
        <v>503</v>
      </c>
      <c r="E25" s="18">
        <f>ROUND(E23*E24,0)</f>
        <v>-159934</v>
      </c>
      <c r="G25" s="93" t="s">
        <v>504</v>
      </c>
    </row>
    <row r="26" spans="1:7" ht="13.5" thickTop="1"/>
    <row r="27" spans="1:7">
      <c r="E27" s="4"/>
    </row>
    <row r="28" spans="1:7">
      <c r="E28" s="42"/>
    </row>
  </sheetData>
  <pageMargins left="0.75" right="0.75" top="0.65" bottom="0.45" header="0.5" footer="0.3"/>
  <pageSetup scale="87" orientation="landscape" horizontalDpi="1200" verticalDpi="12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workbookViewId="0">
      <selection activeCell="E64" sqref="E64"/>
    </sheetView>
  </sheetViews>
  <sheetFormatPr defaultRowHeight="12.75"/>
  <cols>
    <col min="1" max="1" width="4.42578125" style="1" customWidth="1"/>
    <col min="2" max="2" width="1.140625" style="1" customWidth="1"/>
    <col min="3" max="3" width="79.7109375" style="1" bestFit="1" customWidth="1"/>
    <col min="4" max="4" width="1" style="1" customWidth="1"/>
    <col min="5" max="5" width="11.5703125" style="1" bestFit="1" customWidth="1"/>
    <col min="6" max="6" width="1.140625" style="1" customWidth="1"/>
    <col min="7" max="7" width="11.28515625" style="1" customWidth="1"/>
    <col min="8" max="16384" width="9.140625" style="1"/>
  </cols>
  <sheetData>
    <row r="1" spans="1:7">
      <c r="A1" s="1" t="str">
        <f>Contents!A1</f>
        <v>Louisville Gas and Electric Company</v>
      </c>
      <c r="E1" s="27" t="str">
        <f>Contents!A4</f>
        <v>Exhibit RCS-2</v>
      </c>
      <c r="G1" s="27"/>
    </row>
    <row r="2" spans="1:7">
      <c r="A2" s="1" t="s">
        <v>406</v>
      </c>
      <c r="E2" s="27" t="s">
        <v>215</v>
      </c>
      <c r="G2" s="27"/>
    </row>
    <row r="3" spans="1:7">
      <c r="E3" s="27" t="str">
        <f>Contents!A2</f>
        <v>Case No. 2016-00371</v>
      </c>
      <c r="G3" s="27"/>
    </row>
    <row r="4" spans="1:7">
      <c r="A4" s="1" t="s">
        <v>287</v>
      </c>
      <c r="E4" s="27" t="s">
        <v>37</v>
      </c>
      <c r="G4" s="27"/>
    </row>
    <row r="6" spans="1:7">
      <c r="E6" s="93"/>
      <c r="F6" s="93"/>
    </row>
    <row r="7" spans="1:7">
      <c r="A7" s="93" t="s">
        <v>0</v>
      </c>
      <c r="E7" s="93"/>
      <c r="F7" s="93"/>
    </row>
    <row r="8" spans="1:7">
      <c r="A8" s="221" t="s">
        <v>2</v>
      </c>
      <c r="C8" s="2" t="s">
        <v>3</v>
      </c>
      <c r="E8" s="221" t="s">
        <v>16</v>
      </c>
      <c r="F8" s="93"/>
    </row>
    <row r="9" spans="1:7">
      <c r="A9" s="93"/>
      <c r="C9" s="14"/>
      <c r="E9" s="93" t="s">
        <v>6</v>
      </c>
    </row>
    <row r="10" spans="1:7">
      <c r="A10" s="93"/>
      <c r="C10" s="1" t="s">
        <v>567</v>
      </c>
      <c r="E10" s="93"/>
    </row>
  </sheetData>
  <pageMargins left="0.7" right="0.7" top="0.75" bottom="0.7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Q25"/>
  <sheetViews>
    <sheetView workbookViewId="0">
      <selection activeCell="E64" sqref="E64"/>
    </sheetView>
  </sheetViews>
  <sheetFormatPr defaultRowHeight="12.75"/>
  <cols>
    <col min="1" max="1" width="5" style="1" customWidth="1"/>
    <col min="2" max="2" width="1.42578125" style="1" customWidth="1"/>
    <col min="3" max="3" width="57.5703125" style="1" customWidth="1"/>
    <col min="4" max="4" width="1.140625" style="1" customWidth="1"/>
    <col min="5" max="5" width="12.28515625" style="1" customWidth="1"/>
    <col min="6" max="6" width="1.28515625" style="1" customWidth="1"/>
    <col min="7" max="7" width="12.28515625" style="1" customWidth="1"/>
    <col min="8" max="8" width="1.28515625" style="1" customWidth="1"/>
    <col min="9" max="9" width="11.140625" style="1" customWidth="1"/>
    <col min="10" max="10" width="1.140625" style="1" customWidth="1"/>
    <col min="11" max="11" width="10.140625" style="1" customWidth="1"/>
    <col min="12" max="12" width="1.140625" style="1" customWidth="1"/>
    <col min="13" max="13" width="12.7109375" style="1" bestFit="1" customWidth="1"/>
    <col min="14" max="14" width="1.28515625" style="1" customWidth="1"/>
    <col min="15" max="15" width="31.140625" style="1" bestFit="1" customWidth="1"/>
    <col min="16" max="16384" width="9.140625" style="1"/>
  </cols>
  <sheetData>
    <row r="1" spans="1:11">
      <c r="A1" s="1" t="str">
        <f>Contents!A1</f>
        <v>Louisville Gas and Electric Company</v>
      </c>
      <c r="I1" s="27" t="str">
        <f>Contents!A4</f>
        <v>Exhibit RCS-2</v>
      </c>
      <c r="K1" s="27"/>
    </row>
    <row r="2" spans="1:11">
      <c r="A2" s="1" t="s">
        <v>436</v>
      </c>
      <c r="I2" s="27" t="s">
        <v>218</v>
      </c>
      <c r="K2" s="27"/>
    </row>
    <row r="3" spans="1:11">
      <c r="I3" s="27" t="str">
        <f>Contents!A2</f>
        <v>Case No. 2016-00371</v>
      </c>
      <c r="K3" s="27"/>
    </row>
    <row r="4" spans="1:11">
      <c r="A4" s="1" t="s">
        <v>287</v>
      </c>
      <c r="I4" s="27" t="s">
        <v>184</v>
      </c>
      <c r="K4" s="27"/>
    </row>
    <row r="5" spans="1:11">
      <c r="K5" s="27"/>
    </row>
    <row r="6" spans="1:11">
      <c r="K6" s="27"/>
    </row>
    <row r="7" spans="1:11">
      <c r="E7" s="93"/>
      <c r="G7" s="93"/>
      <c r="H7" s="93"/>
      <c r="I7" s="93"/>
      <c r="K7" s="27"/>
    </row>
    <row r="8" spans="1:11">
      <c r="E8" s="93" t="s">
        <v>394</v>
      </c>
      <c r="G8" s="93" t="s">
        <v>437</v>
      </c>
      <c r="H8" s="93"/>
      <c r="I8" s="93"/>
    </row>
    <row r="9" spans="1:11">
      <c r="A9" s="93" t="s">
        <v>0</v>
      </c>
      <c r="E9" s="93" t="s">
        <v>343</v>
      </c>
      <c r="F9" s="93"/>
      <c r="G9" s="93" t="s">
        <v>343</v>
      </c>
      <c r="H9" s="93"/>
      <c r="I9" s="93" t="s">
        <v>28</v>
      </c>
      <c r="J9" s="93"/>
      <c r="K9" s="93"/>
    </row>
    <row r="10" spans="1:11">
      <c r="A10" s="215" t="s">
        <v>2</v>
      </c>
      <c r="C10" s="2" t="s">
        <v>3</v>
      </c>
      <c r="E10" s="215" t="s">
        <v>16</v>
      </c>
      <c r="F10" s="12"/>
      <c r="G10" s="215" t="s">
        <v>16</v>
      </c>
      <c r="H10" s="12"/>
      <c r="I10" s="215" t="s">
        <v>34</v>
      </c>
      <c r="J10" s="93"/>
      <c r="K10" s="12"/>
    </row>
    <row r="11" spans="1:11">
      <c r="A11" s="93"/>
      <c r="E11" s="93" t="s">
        <v>6</v>
      </c>
      <c r="F11" s="93"/>
      <c r="G11" s="93" t="s">
        <v>7</v>
      </c>
      <c r="H11" s="93"/>
      <c r="I11" s="93" t="s">
        <v>18</v>
      </c>
      <c r="K11" s="13"/>
    </row>
    <row r="12" spans="1:11">
      <c r="A12" s="93"/>
      <c r="E12" s="93"/>
      <c r="F12" s="93"/>
      <c r="G12" s="93"/>
      <c r="H12" s="93"/>
      <c r="I12" s="93"/>
      <c r="K12" s="13"/>
    </row>
    <row r="13" spans="1:11">
      <c r="A13" s="93">
        <v>1</v>
      </c>
      <c r="C13" s="1" t="s">
        <v>438</v>
      </c>
      <c r="E13" s="19">
        <f>-'C-8 P2'!I19</f>
        <v>-283554</v>
      </c>
      <c r="F13" s="19"/>
      <c r="G13" s="19">
        <f>-'C-8 P3'!I20</f>
        <v>-259218</v>
      </c>
      <c r="H13" s="19"/>
      <c r="I13" s="19">
        <f>E13+G13</f>
        <v>-542772</v>
      </c>
      <c r="K13" s="12"/>
    </row>
    <row r="14" spans="1:11">
      <c r="A14" s="93">
        <v>2</v>
      </c>
      <c r="C14" s="1" t="s">
        <v>439</v>
      </c>
      <c r="E14" s="19">
        <f>-'C-8 P2'!I34</f>
        <v>-81635</v>
      </c>
      <c r="F14" s="19"/>
      <c r="G14" s="19">
        <f>-'C-8 P3'!I37</f>
        <v>-61691.550999999999</v>
      </c>
      <c r="H14" s="19"/>
      <c r="I14" s="19">
        <f>E14+G14</f>
        <v>-143326.55100000001</v>
      </c>
      <c r="K14" s="12"/>
    </row>
    <row r="15" spans="1:11" ht="13.5" thickBot="1">
      <c r="A15" s="93">
        <v>3</v>
      </c>
      <c r="C15" s="1" t="s">
        <v>392</v>
      </c>
      <c r="E15" s="18">
        <f>E13+E14</f>
        <v>-365189</v>
      </c>
      <c r="F15" s="19"/>
      <c r="G15" s="18">
        <f>G13+G14</f>
        <v>-320909.55099999998</v>
      </c>
      <c r="H15" s="19"/>
      <c r="I15" s="18">
        <f>I13+I14</f>
        <v>-686098.55099999998</v>
      </c>
      <c r="K15" s="12"/>
    </row>
    <row r="16" spans="1:11" ht="13.5" thickTop="1">
      <c r="A16" s="93"/>
      <c r="E16" s="19"/>
      <c r="F16" s="19"/>
      <c r="G16" s="19"/>
      <c r="H16" s="19"/>
      <c r="I16" s="19"/>
      <c r="K16" s="12"/>
    </row>
    <row r="17" spans="1:17" ht="13.5" thickBot="1">
      <c r="A17" s="93">
        <v>4</v>
      </c>
      <c r="C17" s="1" t="s">
        <v>440</v>
      </c>
      <c r="E17" s="20">
        <f>-'C-8 P2'!I38</f>
        <v>-23052</v>
      </c>
      <c r="F17" s="19"/>
      <c r="G17" s="20">
        <f>-'C-8 P3'!I43</f>
        <v>-20934</v>
      </c>
      <c r="H17" s="19"/>
      <c r="I17" s="20">
        <f>E17+G17</f>
        <v>-43986</v>
      </c>
      <c r="K17" s="12"/>
    </row>
    <row r="18" spans="1:17" ht="13.5" thickTop="1">
      <c r="A18" s="93"/>
      <c r="E18" s="19"/>
      <c r="F18" s="19"/>
      <c r="G18" s="19"/>
      <c r="H18" s="19"/>
      <c r="I18" s="19"/>
      <c r="K18" s="93"/>
    </row>
    <row r="20" spans="1:17">
      <c r="A20" s="2" t="s">
        <v>9</v>
      </c>
      <c r="B20" s="2"/>
      <c r="C20" s="2"/>
      <c r="D20" s="2"/>
      <c r="E20" s="2"/>
      <c r="F20" s="2"/>
      <c r="G20" s="2"/>
      <c r="H20" s="2"/>
      <c r="I20" s="2"/>
      <c r="J20" s="13"/>
      <c r="K20" s="13"/>
      <c r="L20" s="13"/>
      <c r="M20" s="13"/>
      <c r="N20" s="13"/>
      <c r="O20" s="13"/>
      <c r="P20" s="13"/>
      <c r="Q20" s="13"/>
    </row>
    <row r="21" spans="1:17">
      <c r="A21" s="1" t="s">
        <v>441</v>
      </c>
    </row>
    <row r="22" spans="1:17">
      <c r="A22" s="1" t="s">
        <v>442</v>
      </c>
      <c r="E22" s="42"/>
      <c r="G22" s="42"/>
    </row>
    <row r="25" spans="1:17">
      <c r="C25" s="222"/>
    </row>
  </sheetData>
  <pageMargins left="0.75" right="0.75" top="1" bottom="0.65" header="0.5" footer="0.5"/>
  <pageSetup fitToHeight="3" orientation="landscape" horizontalDpi="1200" verticalDpi="12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workbookViewId="0">
      <selection activeCell="E64" sqref="E64"/>
    </sheetView>
  </sheetViews>
  <sheetFormatPr defaultRowHeight="12.75"/>
  <cols>
    <col min="1" max="1" width="5" style="1" customWidth="1"/>
    <col min="2" max="2" width="1.42578125" style="1" customWidth="1"/>
    <col min="3" max="3" width="57.5703125" style="1" customWidth="1"/>
    <col min="4" max="4" width="1.140625" style="1" customWidth="1"/>
    <col min="5" max="5" width="12.28515625" style="1" customWidth="1"/>
    <col min="6" max="6" width="1.140625" style="1" customWidth="1"/>
    <col min="7" max="7" width="10.5703125" style="1" customWidth="1"/>
    <col min="8" max="8" width="1.140625" style="1" customWidth="1"/>
    <col min="9" max="9" width="12" style="1" customWidth="1"/>
    <col min="10" max="10" width="1.28515625" style="1" customWidth="1"/>
    <col min="11" max="11" width="14.42578125" style="1" customWidth="1"/>
    <col min="12" max="16384" width="9.140625" style="1"/>
  </cols>
  <sheetData>
    <row r="1" spans="1:13">
      <c r="A1" s="1" t="str">
        <f>[3]Contents!A1</f>
        <v>Louisville Gas and Electric Company</v>
      </c>
      <c r="G1" s="27"/>
      <c r="I1" s="27" t="str">
        <f>[3]Contents!A4</f>
        <v>Exhibit RCS-1</v>
      </c>
    </row>
    <row r="2" spans="1:13">
      <c r="A2" s="1" t="s">
        <v>436</v>
      </c>
      <c r="G2" s="27"/>
      <c r="I2" s="27" t="s">
        <v>218</v>
      </c>
    </row>
    <row r="3" spans="1:13">
      <c r="G3" s="27"/>
      <c r="I3" s="27" t="str">
        <f>[3]Contents!A2</f>
        <v>Case No. 2016-00371</v>
      </c>
    </row>
    <row r="4" spans="1:13">
      <c r="A4" s="1" t="s">
        <v>287</v>
      </c>
      <c r="G4" s="27"/>
      <c r="I4" s="27" t="s">
        <v>182</v>
      </c>
    </row>
    <row r="5" spans="1:13">
      <c r="G5" s="27"/>
      <c r="I5" s="27"/>
    </row>
    <row r="6" spans="1:13">
      <c r="C6" s="14" t="s">
        <v>273</v>
      </c>
    </row>
    <row r="7" spans="1:13">
      <c r="E7" s="93" t="s">
        <v>28</v>
      </c>
      <c r="I7" s="93"/>
    </row>
    <row r="8" spans="1:13">
      <c r="E8" s="93" t="s">
        <v>45</v>
      </c>
      <c r="G8" s="93" t="s">
        <v>394</v>
      </c>
      <c r="I8" s="93" t="s">
        <v>394</v>
      </c>
    </row>
    <row r="9" spans="1:13">
      <c r="A9" s="93" t="s">
        <v>0</v>
      </c>
      <c r="E9" s="93" t="s">
        <v>394</v>
      </c>
      <c r="F9" s="93"/>
      <c r="G9" s="93" t="s">
        <v>377</v>
      </c>
      <c r="I9" s="93" t="s">
        <v>343</v>
      </c>
    </row>
    <row r="10" spans="1:13">
      <c r="A10" s="221" t="s">
        <v>2</v>
      </c>
      <c r="C10" s="2" t="s">
        <v>3</v>
      </c>
      <c r="E10" s="221" t="s">
        <v>16</v>
      </c>
      <c r="F10" s="93"/>
      <c r="G10" s="221" t="s">
        <v>379</v>
      </c>
      <c r="I10" s="221" t="s">
        <v>379</v>
      </c>
    </row>
    <row r="11" spans="1:13">
      <c r="A11" s="93"/>
      <c r="E11" s="93" t="s">
        <v>6</v>
      </c>
      <c r="G11" s="93" t="s">
        <v>7</v>
      </c>
      <c r="H11" s="93"/>
      <c r="I11" s="93" t="s">
        <v>18</v>
      </c>
    </row>
    <row r="12" spans="1:13">
      <c r="A12" s="93"/>
      <c r="E12" s="93"/>
      <c r="G12" s="93"/>
      <c r="H12" s="93"/>
      <c r="I12" s="93"/>
    </row>
    <row r="13" spans="1:13">
      <c r="A13" s="93">
        <v>1</v>
      </c>
      <c r="C13" s="1" t="s">
        <v>443</v>
      </c>
      <c r="E13" s="93">
        <v>22</v>
      </c>
      <c r="G13" s="93"/>
      <c r="H13" s="93"/>
      <c r="I13" s="93"/>
    </row>
    <row r="14" spans="1:13">
      <c r="A14" s="93"/>
      <c r="E14" s="93"/>
      <c r="F14" s="93"/>
      <c r="G14" s="12"/>
    </row>
    <row r="15" spans="1:13">
      <c r="A15" s="93">
        <v>2</v>
      </c>
      <c r="C15" s="1" t="s">
        <v>444</v>
      </c>
      <c r="E15" s="4">
        <v>1682923</v>
      </c>
      <c r="F15" s="4"/>
      <c r="G15" s="44">
        <f>E15*M17</f>
        <v>1286941.1176470588</v>
      </c>
      <c r="I15" s="4">
        <f>E15*M16</f>
        <v>395981.88235294115</v>
      </c>
      <c r="K15" s="42"/>
    </row>
    <row r="16" spans="1:13">
      <c r="A16" s="93">
        <f>A15+1</f>
        <v>3</v>
      </c>
      <c r="C16" s="1" t="s">
        <v>445</v>
      </c>
      <c r="E16" s="45">
        <f>E50</f>
        <v>113597.25</v>
      </c>
      <c r="F16" s="4"/>
      <c r="G16" s="23">
        <f>E16*M17</f>
        <v>86868.485294117636</v>
      </c>
      <c r="I16" s="45">
        <f>E16*M16</f>
        <v>26728.764705882353</v>
      </c>
      <c r="K16" s="42"/>
      <c r="L16" s="1">
        <v>0.4</v>
      </c>
      <c r="M16" s="26">
        <f>L16/L18</f>
        <v>0.23529411764705882</v>
      </c>
    </row>
    <row r="17" spans="1:13">
      <c r="A17" s="93">
        <f t="shared" ref="A17:A19" si="0">A16+1</f>
        <v>4</v>
      </c>
      <c r="C17" s="1" t="s">
        <v>446</v>
      </c>
      <c r="E17" s="4">
        <f>E15+E16</f>
        <v>1796520.25</v>
      </c>
      <c r="F17" s="4"/>
      <c r="G17" s="4">
        <f>G15+G16</f>
        <v>1373809.6029411764</v>
      </c>
      <c r="I17" s="4">
        <f>I15+I16</f>
        <v>422710.6470588235</v>
      </c>
      <c r="L17" s="2">
        <v>1.3</v>
      </c>
      <c r="M17" s="98">
        <f>L17/L18</f>
        <v>0.76470588235294112</v>
      </c>
    </row>
    <row r="18" spans="1:13">
      <c r="A18" s="93">
        <f t="shared" si="0"/>
        <v>5</v>
      </c>
      <c r="C18" s="1" t="s">
        <v>447</v>
      </c>
      <c r="E18" s="98">
        <v>0.67079999999999995</v>
      </c>
      <c r="F18" s="26"/>
      <c r="G18" s="98">
        <v>0.67079999999999995</v>
      </c>
      <c r="I18" s="98">
        <v>0.67079999999999995</v>
      </c>
      <c r="L18" s="1">
        <f>L16+L17</f>
        <v>1.7000000000000002</v>
      </c>
      <c r="M18" s="26">
        <f>M16+M17</f>
        <v>1</v>
      </c>
    </row>
    <row r="19" spans="1:13">
      <c r="A19" s="93">
        <f t="shared" si="0"/>
        <v>6</v>
      </c>
      <c r="C19" s="1" t="s">
        <v>448</v>
      </c>
      <c r="E19" s="47">
        <f>ROUND(E17*E18,0)</f>
        <v>1205106</v>
      </c>
      <c r="F19" s="4"/>
      <c r="G19" s="47">
        <f>ROUND(G17*G18,0)</f>
        <v>921551</v>
      </c>
      <c r="I19" s="47">
        <f>ROUND(I17*I18,0)</f>
        <v>283554</v>
      </c>
      <c r="K19" s="42"/>
    </row>
    <row r="20" spans="1:13">
      <c r="A20" s="93"/>
      <c r="G20" s="44"/>
    </row>
    <row r="21" spans="1:13">
      <c r="A21" s="93"/>
      <c r="C21" s="14" t="s">
        <v>449</v>
      </c>
      <c r="G21" s="44"/>
    </row>
    <row r="22" spans="1:13">
      <c r="A22" s="93">
        <f>A19+1</f>
        <v>7</v>
      </c>
      <c r="C22" s="1" t="s">
        <v>450</v>
      </c>
      <c r="E22" s="4">
        <v>70683</v>
      </c>
      <c r="G22" s="44">
        <f>E22*M17</f>
        <v>54051.705882352937</v>
      </c>
      <c r="I22" s="4">
        <f>E22*M16</f>
        <v>16631.294117647059</v>
      </c>
      <c r="K22" s="42"/>
    </row>
    <row r="23" spans="1:13">
      <c r="A23" s="93">
        <f>A22+1</f>
        <v>8</v>
      </c>
      <c r="C23" s="1" t="s">
        <v>451</v>
      </c>
      <c r="E23" s="4">
        <v>50488</v>
      </c>
      <c r="G23" s="44">
        <f>E23*M17</f>
        <v>38608.470588235294</v>
      </c>
      <c r="I23" s="4">
        <f>E23*M16</f>
        <v>11879.529411764706</v>
      </c>
      <c r="K23" s="42"/>
    </row>
    <row r="24" spans="1:13">
      <c r="A24" s="93">
        <f t="shared" ref="A24:A34" si="1">A23+1</f>
        <v>9</v>
      </c>
      <c r="C24" s="1" t="s">
        <v>452</v>
      </c>
      <c r="E24" s="4">
        <v>8199</v>
      </c>
      <c r="G24" s="44">
        <f>E24*M17</f>
        <v>6269.823529411764</v>
      </c>
      <c r="I24" s="4">
        <f>E24*M16</f>
        <v>1929.1764705882354</v>
      </c>
      <c r="K24" s="42"/>
    </row>
    <row r="25" spans="1:13">
      <c r="A25" s="93">
        <f t="shared" si="1"/>
        <v>10</v>
      </c>
      <c r="C25" s="1" t="s">
        <v>453</v>
      </c>
      <c r="E25" s="4">
        <v>8835</v>
      </c>
      <c r="G25" s="44">
        <f>E25*M17</f>
        <v>6756.1764705882351</v>
      </c>
      <c r="I25" s="4">
        <f>E25*M16</f>
        <v>2078.8235294117649</v>
      </c>
      <c r="K25" s="42"/>
    </row>
    <row r="26" spans="1:13">
      <c r="A26" s="93">
        <f t="shared" si="1"/>
        <v>11</v>
      </c>
      <c r="C26" s="1" t="s">
        <v>454</v>
      </c>
      <c r="E26" s="4">
        <v>46595</v>
      </c>
      <c r="G26" s="44">
        <f>E26*M17</f>
        <v>35631.470588235294</v>
      </c>
      <c r="I26" s="4">
        <f>E26*M16</f>
        <v>10963.529411764706</v>
      </c>
      <c r="K26" s="42"/>
    </row>
    <row r="27" spans="1:13">
      <c r="A27" s="93">
        <f t="shared" si="1"/>
        <v>12</v>
      </c>
      <c r="C27" s="1" t="s">
        <v>455</v>
      </c>
      <c r="E27" s="4">
        <v>4322</v>
      </c>
      <c r="G27" s="44">
        <f>E27*M17</f>
        <v>3305.0588235294117</v>
      </c>
      <c r="I27" s="4">
        <f>E27*M16</f>
        <v>1016.9411764705882</v>
      </c>
      <c r="K27" s="42"/>
    </row>
    <row r="28" spans="1:13">
      <c r="A28" s="93">
        <f t="shared" si="1"/>
        <v>13</v>
      </c>
      <c r="C28" s="1" t="s">
        <v>456</v>
      </c>
      <c r="E28" s="4">
        <v>11745</v>
      </c>
      <c r="G28" s="44">
        <f>E28*M17</f>
        <v>8981.4705882352937</v>
      </c>
      <c r="I28" s="4">
        <f>E28*M16</f>
        <v>2763.5294117647059</v>
      </c>
      <c r="K28" s="42"/>
    </row>
    <row r="29" spans="1:13">
      <c r="A29" s="93">
        <f t="shared" si="1"/>
        <v>14</v>
      </c>
      <c r="C29" s="1" t="s">
        <v>457</v>
      </c>
      <c r="E29" s="4">
        <v>12171</v>
      </c>
      <c r="G29" s="44">
        <f>E29*M17</f>
        <v>9307.2352941176468</v>
      </c>
      <c r="I29" s="4">
        <f>E29*M16</f>
        <v>2863.7647058823527</v>
      </c>
      <c r="K29" s="42"/>
    </row>
    <row r="30" spans="1:13">
      <c r="A30" s="93">
        <f t="shared" si="1"/>
        <v>15</v>
      </c>
      <c r="C30" s="1" t="s">
        <v>458</v>
      </c>
      <c r="E30" s="4">
        <v>244134</v>
      </c>
      <c r="G30" s="44">
        <f>E30*M17</f>
        <v>186690.70588235292</v>
      </c>
      <c r="I30" s="4">
        <f>E30*M16</f>
        <v>57443.294117647056</v>
      </c>
      <c r="K30" s="42"/>
    </row>
    <row r="31" spans="1:13">
      <c r="A31" s="93">
        <f t="shared" si="1"/>
        <v>16</v>
      </c>
      <c r="C31" s="1" t="s">
        <v>459</v>
      </c>
      <c r="E31" s="45">
        <v>6600</v>
      </c>
      <c r="G31" s="44">
        <f>E31*M17</f>
        <v>5047.0588235294117</v>
      </c>
      <c r="I31" s="4">
        <f>E31*M16</f>
        <v>1552.9411764705883</v>
      </c>
      <c r="K31" s="42"/>
    </row>
    <row r="32" spans="1:13">
      <c r="A32" s="93">
        <f t="shared" si="1"/>
        <v>17</v>
      </c>
      <c r="C32" s="1" t="s">
        <v>460</v>
      </c>
      <c r="E32" s="89">
        <f>SUM(E22:E31)</f>
        <v>463772</v>
      </c>
      <c r="G32" s="89">
        <f>SUM(G22:G31)</f>
        <v>354649.17647058819</v>
      </c>
      <c r="I32" s="89">
        <f>SUM(I22:I31)</f>
        <v>109122.82352941176</v>
      </c>
      <c r="K32" s="42"/>
    </row>
    <row r="33" spans="1:11">
      <c r="A33" s="93">
        <f t="shared" si="1"/>
        <v>18</v>
      </c>
      <c r="C33" s="1" t="s">
        <v>447</v>
      </c>
      <c r="E33" s="98">
        <v>0.74809999999999999</v>
      </c>
      <c r="F33" s="34"/>
      <c r="G33" s="98">
        <v>0.74809999999999999</v>
      </c>
      <c r="I33" s="98">
        <v>0.74809999999999999</v>
      </c>
    </row>
    <row r="34" spans="1:11">
      <c r="A34" s="93">
        <f t="shared" si="1"/>
        <v>19</v>
      </c>
      <c r="C34" s="1" t="s">
        <v>461</v>
      </c>
      <c r="E34" s="47">
        <f>ROUND(E32*E33,0)</f>
        <v>346948</v>
      </c>
      <c r="G34" s="47">
        <f>ROUND(G32*G33,0)</f>
        <v>265313</v>
      </c>
      <c r="I34" s="47">
        <f>ROUND(I32*I33,0)</f>
        <v>81635</v>
      </c>
      <c r="K34" s="42"/>
    </row>
    <row r="35" spans="1:11">
      <c r="A35" s="93"/>
      <c r="E35" s="4"/>
      <c r="G35" s="44"/>
    </row>
    <row r="36" spans="1:11">
      <c r="A36" s="93">
        <f>A34+1</f>
        <v>20</v>
      </c>
      <c r="C36" s="1" t="s">
        <v>462</v>
      </c>
      <c r="E36" s="19">
        <v>132660</v>
      </c>
      <c r="G36" s="44">
        <f>E36*M17</f>
        <v>101445.88235294117</v>
      </c>
      <c r="I36" s="4">
        <f>E36*M16</f>
        <v>31214.117647058822</v>
      </c>
      <c r="K36" s="42"/>
    </row>
    <row r="37" spans="1:11">
      <c r="A37" s="93">
        <f>A36+1</f>
        <v>21</v>
      </c>
      <c r="C37" s="1" t="s">
        <v>447</v>
      </c>
      <c r="E37" s="98">
        <v>0.73850000000000005</v>
      </c>
      <c r="F37" s="34"/>
      <c r="G37" s="98">
        <v>0.73850000000000005</v>
      </c>
      <c r="I37" s="98">
        <v>0.73850000000000005</v>
      </c>
    </row>
    <row r="38" spans="1:11">
      <c r="A38" s="93">
        <f>A37+1</f>
        <v>22</v>
      </c>
      <c r="C38" s="1" t="s">
        <v>463</v>
      </c>
      <c r="E38" s="47">
        <f>ROUND(E36*E37,0)</f>
        <v>97969</v>
      </c>
      <c r="G38" s="47">
        <f>ROUND(G36*G37,0)</f>
        <v>74918</v>
      </c>
      <c r="I38" s="47">
        <f>ROUND(I36*I37,0)</f>
        <v>23052</v>
      </c>
      <c r="K38" s="42"/>
    </row>
    <row r="39" spans="1:11">
      <c r="A39" s="93"/>
      <c r="E39" s="4"/>
      <c r="G39" s="44"/>
    </row>
    <row r="40" spans="1:11" ht="13.5" thickBot="1">
      <c r="A40" s="93">
        <f>A38+1</f>
        <v>23</v>
      </c>
      <c r="C40" s="1" t="s">
        <v>464</v>
      </c>
      <c r="E40" s="41">
        <f>E19+E34+E38</f>
        <v>1650023</v>
      </c>
      <c r="G40" s="41">
        <f>G19+G34+G38</f>
        <v>1261782</v>
      </c>
      <c r="I40" s="41">
        <f>I19+I34+I38</f>
        <v>388241</v>
      </c>
      <c r="K40" s="42"/>
    </row>
    <row r="41" spans="1:11" ht="13.5" thickTop="1"/>
    <row r="43" spans="1:11">
      <c r="A43" s="2" t="s">
        <v>9</v>
      </c>
      <c r="B43" s="2"/>
      <c r="C43" s="2"/>
      <c r="D43" s="2"/>
      <c r="E43" s="2"/>
      <c r="F43" s="2"/>
      <c r="G43" s="2"/>
      <c r="H43" s="2"/>
      <c r="I43" s="2"/>
    </row>
    <row r="44" spans="1:11">
      <c r="A44" s="1" t="s">
        <v>465</v>
      </c>
    </row>
    <row r="45" spans="1:11">
      <c r="C45" s="222"/>
    </row>
    <row r="46" spans="1:11">
      <c r="A46" s="1" t="s">
        <v>560</v>
      </c>
    </row>
    <row r="48" spans="1:11">
      <c r="A48" s="93">
        <v>24</v>
      </c>
      <c r="C48" s="1" t="s">
        <v>466</v>
      </c>
      <c r="E48" s="4">
        <v>151463</v>
      </c>
    </row>
    <row r="49" spans="1:11">
      <c r="A49" s="93">
        <v>25</v>
      </c>
      <c r="C49" s="1" t="s">
        <v>467</v>
      </c>
      <c r="E49" s="26">
        <v>0.75</v>
      </c>
    </row>
    <row r="50" spans="1:11" ht="13.5" thickBot="1">
      <c r="A50" s="93">
        <v>26</v>
      </c>
      <c r="C50" s="1" t="s">
        <v>468</v>
      </c>
      <c r="E50" s="43">
        <f>E48*E49</f>
        <v>113597.25</v>
      </c>
    </row>
    <row r="51" spans="1:11" ht="13.5" thickTop="1">
      <c r="A51" s="93"/>
      <c r="E51" s="38"/>
      <c r="K51" s="113"/>
    </row>
    <row r="52" spans="1:11">
      <c r="A52" s="1" t="s">
        <v>469</v>
      </c>
    </row>
  </sheetData>
  <pageMargins left="0.7" right="0.7" top="0.75" bottom="0.75" header="0.3" footer="0.3"/>
  <pageSetup scale="9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workbookViewId="0">
      <selection activeCell="E64" sqref="E64"/>
    </sheetView>
  </sheetViews>
  <sheetFormatPr defaultRowHeight="12.75"/>
  <cols>
    <col min="1" max="1" width="5" style="1" customWidth="1"/>
    <col min="2" max="2" width="1.42578125" style="1" customWidth="1"/>
    <col min="3" max="3" width="62.85546875" style="1" bestFit="1" customWidth="1"/>
    <col min="4" max="4" width="1.140625" style="1" customWidth="1"/>
    <col min="5" max="5" width="10.140625" style="1" customWidth="1"/>
    <col min="6" max="6" width="1.140625" style="1" customWidth="1"/>
    <col min="7" max="7" width="11.140625" style="1" bestFit="1" customWidth="1"/>
    <col min="8" max="8" width="0.85546875" style="1" customWidth="1"/>
    <col min="9" max="9" width="12.140625" style="1" customWidth="1"/>
    <col min="10" max="11" width="9.85546875" style="1" bestFit="1" customWidth="1"/>
    <col min="12" max="16384" width="9.140625" style="1"/>
  </cols>
  <sheetData>
    <row r="1" spans="1:13">
      <c r="A1" s="1" t="str">
        <f>[3]Contents!A1</f>
        <v>Louisville Gas and Electric Company</v>
      </c>
      <c r="E1" s="27"/>
      <c r="I1" s="27" t="str">
        <f>[3]Contents!A4</f>
        <v>Exhibit RCS-1</v>
      </c>
    </row>
    <row r="2" spans="1:13">
      <c r="A2" s="1" t="s">
        <v>436</v>
      </c>
      <c r="E2" s="27"/>
      <c r="I2" s="27" t="s">
        <v>218</v>
      </c>
    </row>
    <row r="3" spans="1:13">
      <c r="E3" s="27"/>
      <c r="I3" s="27" t="str">
        <f>[3]Contents!A2</f>
        <v>Case No. 2016-00371</v>
      </c>
    </row>
    <row r="4" spans="1:13">
      <c r="A4" s="1" t="s">
        <v>287</v>
      </c>
      <c r="E4" s="27"/>
      <c r="I4" s="27" t="s">
        <v>183</v>
      </c>
    </row>
    <row r="5" spans="1:13">
      <c r="E5" s="27"/>
    </row>
    <row r="6" spans="1:13">
      <c r="C6" s="14" t="s">
        <v>470</v>
      </c>
      <c r="E6" s="93" t="s">
        <v>28</v>
      </c>
      <c r="I6" s="93"/>
    </row>
    <row r="7" spans="1:13">
      <c r="E7" s="93" t="s">
        <v>45</v>
      </c>
      <c r="G7" s="93" t="s">
        <v>394</v>
      </c>
      <c r="I7" s="93" t="s">
        <v>394</v>
      </c>
    </row>
    <row r="8" spans="1:13">
      <c r="A8" s="93" t="s">
        <v>0</v>
      </c>
      <c r="D8" s="93"/>
      <c r="E8" s="93" t="s">
        <v>394</v>
      </c>
      <c r="F8" s="93"/>
      <c r="G8" s="93" t="s">
        <v>377</v>
      </c>
      <c r="I8" s="93" t="s">
        <v>343</v>
      </c>
    </row>
    <row r="9" spans="1:13">
      <c r="A9" s="221" t="s">
        <v>2</v>
      </c>
      <c r="C9" s="2" t="s">
        <v>3</v>
      </c>
      <c r="D9" s="93"/>
      <c r="E9" s="221" t="s">
        <v>16</v>
      </c>
      <c r="F9" s="93"/>
      <c r="G9" s="221" t="s">
        <v>379</v>
      </c>
      <c r="I9" s="221" t="s">
        <v>379</v>
      </c>
    </row>
    <row r="10" spans="1:13">
      <c r="A10" s="93"/>
      <c r="E10" s="93" t="s">
        <v>6</v>
      </c>
      <c r="G10" s="93" t="s">
        <v>7</v>
      </c>
      <c r="H10" s="93"/>
      <c r="I10" s="93" t="s">
        <v>18</v>
      </c>
    </row>
    <row r="11" spans="1:13">
      <c r="A11" s="93"/>
      <c r="E11" s="93"/>
      <c r="G11" s="93"/>
      <c r="H11" s="93"/>
      <c r="I11" s="93"/>
    </row>
    <row r="12" spans="1:13">
      <c r="A12" s="93">
        <v>1</v>
      </c>
      <c r="C12" s="1" t="s">
        <v>443</v>
      </c>
      <c r="E12" s="93">
        <v>34</v>
      </c>
      <c r="G12" s="93"/>
      <c r="H12" s="93"/>
      <c r="I12" s="93"/>
    </row>
    <row r="14" spans="1:13">
      <c r="A14" s="93">
        <v>2</v>
      </c>
      <c r="C14" s="1" t="s">
        <v>444</v>
      </c>
      <c r="D14" s="4"/>
      <c r="E14" s="4">
        <v>3348176</v>
      </c>
      <c r="G14" s="44">
        <f>E14*M15</f>
        <v>2560369.8823529412</v>
      </c>
      <c r="I14" s="4">
        <f>E14*M14</f>
        <v>787806.1176470588</v>
      </c>
      <c r="J14" s="42"/>
      <c r="K14" s="42"/>
      <c r="L14" s="1">
        <v>0.4</v>
      </c>
      <c r="M14" s="26">
        <f>L14/L16</f>
        <v>0.23529411764705882</v>
      </c>
    </row>
    <row r="15" spans="1:13">
      <c r="A15" s="93">
        <f>A14+1</f>
        <v>3</v>
      </c>
      <c r="C15" s="1" t="s">
        <v>445</v>
      </c>
      <c r="D15" s="4"/>
      <c r="E15" s="45">
        <f>E55</f>
        <v>226002</v>
      </c>
      <c r="G15" s="23">
        <f>E15*M15</f>
        <v>172825.0588235294</v>
      </c>
      <c r="I15" s="45">
        <f>E15*M14</f>
        <v>53176.941176470587</v>
      </c>
      <c r="J15" s="42"/>
      <c r="K15" s="42"/>
      <c r="L15" s="2">
        <v>1.3</v>
      </c>
      <c r="M15" s="98">
        <f>L15/L16</f>
        <v>0.76470588235294112</v>
      </c>
    </row>
    <row r="16" spans="1:13">
      <c r="A16" s="93">
        <f t="shared" ref="A16:A20" si="0">A15+1</f>
        <v>4</v>
      </c>
      <c r="C16" s="1" t="s">
        <v>446</v>
      </c>
      <c r="D16" s="4"/>
      <c r="E16" s="4">
        <f>E14+E15</f>
        <v>3574178</v>
      </c>
      <c r="G16" s="4">
        <f>G14+G15</f>
        <v>2733194.9411764704</v>
      </c>
      <c r="I16" s="4">
        <f>I14+I15</f>
        <v>840983.0588235294</v>
      </c>
      <c r="K16" s="42"/>
      <c r="L16" s="1">
        <f>L14+L15</f>
        <v>1.7000000000000002</v>
      </c>
      <c r="M16" s="26">
        <f>M14+M15</f>
        <v>1</v>
      </c>
    </row>
    <row r="17" spans="1:11">
      <c r="A17" s="93">
        <f t="shared" si="0"/>
        <v>5</v>
      </c>
      <c r="C17" s="1" t="s">
        <v>447</v>
      </c>
      <c r="D17" s="26"/>
      <c r="E17" s="98">
        <v>0.67079999999999995</v>
      </c>
      <c r="F17" s="26"/>
      <c r="G17" s="98">
        <v>0.67079999999999995</v>
      </c>
      <c r="I17" s="98">
        <v>0.67079999999999995</v>
      </c>
    </row>
    <row r="18" spans="1:11">
      <c r="A18" s="93">
        <f t="shared" si="0"/>
        <v>6</v>
      </c>
      <c r="C18" s="1" t="s">
        <v>448</v>
      </c>
      <c r="D18" s="4"/>
      <c r="E18" s="4">
        <f>ROUND(E16*E17,0)</f>
        <v>2397559</v>
      </c>
      <c r="G18" s="4">
        <f>ROUND(G16*G17,0)</f>
        <v>1833427</v>
      </c>
      <c r="I18" s="4">
        <f>ROUND(I16*I17,0)</f>
        <v>564131</v>
      </c>
      <c r="J18" s="42"/>
      <c r="K18" s="42"/>
    </row>
    <row r="19" spans="1:11">
      <c r="A19" s="93">
        <f t="shared" si="0"/>
        <v>7</v>
      </c>
      <c r="C19" s="1" t="s">
        <v>476</v>
      </c>
      <c r="D19" s="4"/>
      <c r="E19" s="34">
        <v>0.45950000000000002</v>
      </c>
      <c r="G19" s="34">
        <v>0.45950000000000002</v>
      </c>
      <c r="I19" s="34">
        <v>0.45950000000000002</v>
      </c>
    </row>
    <row r="20" spans="1:11">
      <c r="A20" s="93">
        <f t="shared" si="0"/>
        <v>8</v>
      </c>
      <c r="C20" s="1" t="s">
        <v>471</v>
      </c>
      <c r="D20" s="4"/>
      <c r="E20" s="47">
        <f>ROUND(E18*E19,0)</f>
        <v>1101678</v>
      </c>
      <c r="G20" s="47">
        <f>ROUND(G18*G19,0)</f>
        <v>842460</v>
      </c>
      <c r="I20" s="47">
        <f>ROUND(I18*I19,0)</f>
        <v>259218</v>
      </c>
      <c r="J20" s="42"/>
      <c r="K20" s="42"/>
    </row>
    <row r="21" spans="1:11">
      <c r="A21" s="93"/>
      <c r="G21" s="4"/>
    </row>
    <row r="22" spans="1:11">
      <c r="A22" s="93"/>
      <c r="C22" s="14" t="s">
        <v>449</v>
      </c>
      <c r="G22" s="4"/>
    </row>
    <row r="23" spans="1:11">
      <c r="A23" s="93">
        <f>A20+1</f>
        <v>9</v>
      </c>
      <c r="C23" s="1" t="s">
        <v>450</v>
      </c>
      <c r="E23" s="4">
        <v>140623</v>
      </c>
      <c r="G23" s="44">
        <f>E23*M15</f>
        <v>107535.23529411764</v>
      </c>
      <c r="I23" s="4">
        <f>E23*M14</f>
        <v>33087.76470588235</v>
      </c>
      <c r="J23" s="42"/>
      <c r="K23" s="42"/>
    </row>
    <row r="24" spans="1:11">
      <c r="A24" s="93">
        <f>A23+1</f>
        <v>10</v>
      </c>
      <c r="C24" s="1" t="s">
        <v>451</v>
      </c>
      <c r="E24" s="4">
        <v>100445</v>
      </c>
      <c r="G24" s="44">
        <f>E24*M15</f>
        <v>76810.882352941175</v>
      </c>
      <c r="I24" s="4">
        <f>E24*M14</f>
        <v>23634.117647058822</v>
      </c>
      <c r="J24" s="42"/>
      <c r="K24" s="42"/>
    </row>
    <row r="25" spans="1:11">
      <c r="A25" s="93">
        <f t="shared" ref="A25:A37" si="1">A24+1</f>
        <v>11</v>
      </c>
      <c r="C25" s="1" t="s">
        <v>452</v>
      </c>
      <c r="E25" s="4">
        <v>16312</v>
      </c>
      <c r="G25" s="44">
        <f>E25*M15</f>
        <v>12473.882352941175</v>
      </c>
      <c r="I25" s="4">
        <f>E25*M14</f>
        <v>3838.1176470588234</v>
      </c>
      <c r="J25" s="42"/>
      <c r="K25" s="42"/>
    </row>
    <row r="26" spans="1:11">
      <c r="A26" s="93">
        <f t="shared" si="1"/>
        <v>12</v>
      </c>
      <c r="C26" s="1" t="s">
        <v>453</v>
      </c>
      <c r="E26" s="4">
        <v>17578</v>
      </c>
      <c r="G26" s="44">
        <f>E26*M15</f>
        <v>13441.999999999998</v>
      </c>
      <c r="I26" s="4">
        <f>E26*M14</f>
        <v>4136</v>
      </c>
      <c r="J26" s="42"/>
      <c r="K26" s="42"/>
    </row>
    <row r="27" spans="1:11">
      <c r="A27" s="93">
        <f t="shared" si="1"/>
        <v>13</v>
      </c>
      <c r="C27" s="1" t="s">
        <v>454</v>
      </c>
      <c r="E27" s="4">
        <v>59806</v>
      </c>
      <c r="G27" s="44">
        <f>E27*M15</f>
        <v>45734</v>
      </c>
      <c r="I27" s="4">
        <f>E27*M14</f>
        <v>14072</v>
      </c>
      <c r="J27" s="42"/>
      <c r="K27" s="42"/>
    </row>
    <row r="28" spans="1:11">
      <c r="A28" s="93">
        <f t="shared" si="1"/>
        <v>14</v>
      </c>
      <c r="C28" s="1" t="s">
        <v>455</v>
      </c>
      <c r="E28" s="4">
        <v>19075</v>
      </c>
      <c r="G28" s="44">
        <f>E28*M15</f>
        <v>14586.764705882351</v>
      </c>
      <c r="I28" s="4">
        <f>E28*M14</f>
        <v>4488.2352941176468</v>
      </c>
      <c r="J28" s="42"/>
      <c r="K28" s="42"/>
    </row>
    <row r="29" spans="1:11">
      <c r="A29" s="93">
        <f t="shared" si="1"/>
        <v>15</v>
      </c>
      <c r="C29" s="1" t="s">
        <v>456</v>
      </c>
      <c r="E29" s="4">
        <v>2579</v>
      </c>
      <c r="G29" s="44">
        <f>E29*M15</f>
        <v>1972.1764705882351</v>
      </c>
      <c r="I29" s="4">
        <f>E29*M14</f>
        <v>606.82352941176475</v>
      </c>
      <c r="J29" s="42"/>
      <c r="K29" s="42"/>
    </row>
    <row r="30" spans="1:11">
      <c r="A30" s="93">
        <f t="shared" si="1"/>
        <v>16</v>
      </c>
      <c r="C30" s="1" t="s">
        <v>457</v>
      </c>
      <c r="E30" s="4">
        <v>18809</v>
      </c>
      <c r="G30" s="44">
        <f>E30*M15</f>
        <v>14383.35294117647</v>
      </c>
      <c r="I30" s="4">
        <f>E30*M14</f>
        <v>4425.6470588235297</v>
      </c>
      <c r="J30" s="42"/>
      <c r="K30" s="42"/>
    </row>
    <row r="31" spans="1:11">
      <c r="A31" s="93">
        <f t="shared" si="1"/>
        <v>17</v>
      </c>
      <c r="C31" s="1" t="s">
        <v>458</v>
      </c>
      <c r="E31" s="4">
        <v>377298</v>
      </c>
      <c r="G31" s="44">
        <f>E31*M15</f>
        <v>288522</v>
      </c>
      <c r="I31" s="4">
        <f>E31*M14</f>
        <v>88776</v>
      </c>
      <c r="J31" s="42"/>
      <c r="K31" s="42"/>
    </row>
    <row r="32" spans="1:11">
      <c r="A32" s="93">
        <f t="shared" si="1"/>
        <v>18</v>
      </c>
      <c r="C32" s="1" t="s">
        <v>459</v>
      </c>
      <c r="E32" s="4">
        <v>10200</v>
      </c>
      <c r="G32" s="44">
        <f>E32*M15</f>
        <v>7799.9999999999991</v>
      </c>
      <c r="I32" s="4">
        <f>E32*M14</f>
        <v>2400</v>
      </c>
      <c r="J32" s="42"/>
      <c r="K32" s="42"/>
    </row>
    <row r="33" spans="1:11">
      <c r="A33" s="93">
        <f t="shared" si="1"/>
        <v>19</v>
      </c>
      <c r="C33" s="1" t="s">
        <v>460</v>
      </c>
      <c r="E33" s="89">
        <f>SUM(E23:E32)</f>
        <v>762725</v>
      </c>
      <c r="G33" s="89">
        <f>SUM(G23:G32)</f>
        <v>583260.29411764699</v>
      </c>
      <c r="I33" s="89">
        <f>SUM(I23:I32)</f>
        <v>179464.70588235295</v>
      </c>
      <c r="K33" s="42"/>
    </row>
    <row r="34" spans="1:11">
      <c r="A34" s="93">
        <f t="shared" si="1"/>
        <v>20</v>
      </c>
      <c r="C34" s="1" t="s">
        <v>447</v>
      </c>
      <c r="D34" s="34"/>
      <c r="E34" s="98">
        <v>0.74809999999999999</v>
      </c>
      <c r="F34" s="34"/>
      <c r="G34" s="98">
        <v>0.74809999999999999</v>
      </c>
      <c r="I34" s="98">
        <v>0.74809999999999999</v>
      </c>
    </row>
    <row r="35" spans="1:11">
      <c r="A35" s="93">
        <f t="shared" si="1"/>
        <v>21</v>
      </c>
      <c r="C35" s="1" t="s">
        <v>461</v>
      </c>
      <c r="E35" s="19">
        <f>ROUND(E33*E34,0)</f>
        <v>570595</v>
      </c>
      <c r="G35" s="19">
        <f>ROUND(G33*G34,0)</f>
        <v>436337</v>
      </c>
      <c r="I35" s="19">
        <f>ROUND(I33*I34,0)</f>
        <v>134258</v>
      </c>
      <c r="J35" s="42"/>
      <c r="K35" s="42"/>
    </row>
    <row r="36" spans="1:11">
      <c r="A36" s="93">
        <f t="shared" si="1"/>
        <v>22</v>
      </c>
      <c r="C36" s="1" t="s">
        <v>476</v>
      </c>
      <c r="E36" s="34">
        <v>0.45950000000000002</v>
      </c>
      <c r="F36" s="34"/>
      <c r="G36" s="34">
        <v>0.45950000000000002</v>
      </c>
      <c r="H36" s="34"/>
      <c r="I36" s="34">
        <v>0.45950000000000002</v>
      </c>
    </row>
    <row r="37" spans="1:11">
      <c r="A37" s="93">
        <f t="shared" si="1"/>
        <v>23</v>
      </c>
      <c r="C37" s="1" t="s">
        <v>472</v>
      </c>
      <c r="E37" s="47">
        <f>SUM(E35*E36,0)</f>
        <v>262188.40250000003</v>
      </c>
      <c r="G37" s="47">
        <f>SUM(G35*G36,0)</f>
        <v>200496.85150000002</v>
      </c>
      <c r="I37" s="47">
        <f>SUM(I35*I36,0)</f>
        <v>61691.550999999999</v>
      </c>
      <c r="J37" s="42"/>
      <c r="K37" s="42"/>
    </row>
    <row r="38" spans="1:11">
      <c r="A38" s="93"/>
      <c r="E38" s="4"/>
      <c r="G38" s="4"/>
    </row>
    <row r="39" spans="1:11">
      <c r="A39" s="93">
        <f>A37+1</f>
        <v>24</v>
      </c>
      <c r="C39" s="1" t="s">
        <v>462</v>
      </c>
      <c r="E39" s="19">
        <v>262187</v>
      </c>
      <c r="G39" s="44">
        <f>E39*M15</f>
        <v>200495.94117647057</v>
      </c>
      <c r="I39" s="4">
        <f>E39*M14</f>
        <v>61691.058823529413</v>
      </c>
      <c r="K39" s="42"/>
    </row>
    <row r="40" spans="1:11">
      <c r="A40" s="93">
        <f>A39+1</f>
        <v>25</v>
      </c>
      <c r="C40" s="1" t="s">
        <v>447</v>
      </c>
      <c r="D40" s="34"/>
      <c r="E40" s="98">
        <v>0.73850000000000005</v>
      </c>
      <c r="F40" s="34"/>
      <c r="G40" s="98">
        <v>0.73850000000000005</v>
      </c>
      <c r="I40" s="98">
        <v>0.73850000000000005</v>
      </c>
    </row>
    <row r="41" spans="1:11">
      <c r="A41" s="93">
        <f t="shared" ref="A41:A43" si="2">A40+1</f>
        <v>26</v>
      </c>
      <c r="C41" s="1" t="s">
        <v>463</v>
      </c>
      <c r="E41" s="19">
        <f>ROUND(E39*E40,0)</f>
        <v>193625</v>
      </c>
      <c r="G41" s="19">
        <f>ROUND(G39*G40,0)</f>
        <v>148066</v>
      </c>
      <c r="I41" s="19">
        <f>ROUND(I39*I40,0)</f>
        <v>45559</v>
      </c>
      <c r="J41" s="42"/>
      <c r="K41" s="42"/>
    </row>
    <row r="42" spans="1:11">
      <c r="A42" s="93">
        <f t="shared" si="2"/>
        <v>27</v>
      </c>
      <c r="C42" s="1" t="s">
        <v>476</v>
      </c>
      <c r="E42" s="34">
        <v>0.45950000000000002</v>
      </c>
      <c r="F42" s="34"/>
      <c r="G42" s="34">
        <v>0.45950000000000002</v>
      </c>
      <c r="H42" s="34"/>
      <c r="I42" s="34">
        <v>0.45950000000000002</v>
      </c>
    </row>
    <row r="43" spans="1:11">
      <c r="A43" s="93">
        <f t="shared" si="2"/>
        <v>28</v>
      </c>
      <c r="C43" s="1" t="s">
        <v>473</v>
      </c>
      <c r="E43" s="47">
        <f>ROUND(E41*E42,0)</f>
        <v>88971</v>
      </c>
      <c r="G43" s="47">
        <f>ROUND(G41*G42,0)</f>
        <v>68036</v>
      </c>
      <c r="I43" s="47">
        <f>ROUND(I41*I42,0)</f>
        <v>20934</v>
      </c>
      <c r="J43" s="42"/>
      <c r="K43" s="42"/>
    </row>
    <row r="44" spans="1:11">
      <c r="A44" s="93"/>
      <c r="E44" s="4"/>
      <c r="G44" s="4"/>
    </row>
    <row r="45" spans="1:11" ht="13.5" thickBot="1">
      <c r="A45" s="93">
        <f>A43+1</f>
        <v>29</v>
      </c>
      <c r="C45" s="1" t="s">
        <v>474</v>
      </c>
      <c r="E45" s="41">
        <f>E20+E37+E43</f>
        <v>1452837.4025000001</v>
      </c>
      <c r="G45" s="41">
        <f>G20+G37+G43</f>
        <v>1110992.8514999999</v>
      </c>
      <c r="I45" s="41">
        <f>I20+I37+I43</f>
        <v>341843.55099999998</v>
      </c>
      <c r="J45" s="42"/>
      <c r="K45" s="42"/>
    </row>
    <row r="46" spans="1:11" ht="13.5" thickTop="1">
      <c r="E46" s="13"/>
      <c r="F46" s="13"/>
      <c r="G46" s="13"/>
      <c r="H46" s="13"/>
      <c r="I46" s="13"/>
    </row>
    <row r="48" spans="1:11">
      <c r="A48" s="2" t="s">
        <v>9</v>
      </c>
      <c r="B48" s="2"/>
      <c r="C48" s="2"/>
      <c r="D48" s="2"/>
      <c r="E48" s="2"/>
      <c r="F48" s="2"/>
      <c r="G48" s="2"/>
      <c r="H48" s="2"/>
      <c r="I48" s="2"/>
    </row>
    <row r="49" spans="1:5">
      <c r="A49" s="1" t="s">
        <v>475</v>
      </c>
    </row>
    <row r="50" spans="1:5">
      <c r="C50" s="222"/>
    </row>
    <row r="51" spans="1:5">
      <c r="A51" s="1" t="s">
        <v>560</v>
      </c>
    </row>
    <row r="53" spans="1:5">
      <c r="A53" s="93">
        <v>30</v>
      </c>
      <c r="C53" s="1" t="s">
        <v>466</v>
      </c>
      <c r="E53" s="4">
        <v>301336</v>
      </c>
    </row>
    <row r="54" spans="1:5">
      <c r="A54" s="93">
        <v>31</v>
      </c>
      <c r="C54" s="1" t="s">
        <v>467</v>
      </c>
      <c r="E54" s="26">
        <v>0.75</v>
      </c>
    </row>
    <row r="55" spans="1:5" ht="13.5" thickBot="1">
      <c r="A55" s="93">
        <v>32</v>
      </c>
      <c r="C55" s="1" t="s">
        <v>468</v>
      </c>
      <c r="E55" s="43">
        <f>E53*E54</f>
        <v>226002</v>
      </c>
    </row>
    <row r="56" spans="1:5" ht="13.5" thickTop="1">
      <c r="A56" s="93"/>
      <c r="E56" s="38"/>
    </row>
    <row r="57" spans="1:5">
      <c r="A57" s="1" t="s">
        <v>469</v>
      </c>
    </row>
  </sheetData>
  <pageMargins left="0.7" right="0.7" top="0.75" bottom="0.75" header="0.3" footer="0.3"/>
  <pageSetup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99"/>
  <sheetViews>
    <sheetView workbookViewId="0">
      <selection activeCell="C64" sqref="C64"/>
    </sheetView>
  </sheetViews>
  <sheetFormatPr defaultRowHeight="12.75"/>
  <cols>
    <col min="1" max="1" width="4.42578125" style="1" customWidth="1"/>
    <col min="2" max="2" width="1" style="1" customWidth="1"/>
    <col min="3" max="3" width="67.28515625" style="1" bestFit="1" customWidth="1"/>
    <col min="4" max="4" width="0.7109375" style="1" customWidth="1"/>
    <col min="5" max="5" width="11" style="1" bestFit="1" customWidth="1"/>
    <col min="6" max="6" width="1.85546875" style="1" customWidth="1"/>
    <col min="7" max="7" width="14.5703125" style="1" customWidth="1"/>
    <col min="8" max="8" width="2.42578125" style="1" customWidth="1"/>
    <col min="9" max="9" width="16.140625" style="1" bestFit="1" customWidth="1"/>
    <col min="10" max="10" width="2.7109375" style="1" customWidth="1"/>
    <col min="11" max="11" width="14.7109375" style="1" customWidth="1"/>
    <col min="12" max="12" width="0.85546875" style="1" customWidth="1"/>
    <col min="13" max="13" width="14.28515625" style="1" bestFit="1" customWidth="1"/>
    <col min="14" max="14" width="0.85546875" style="1" customWidth="1"/>
    <col min="15" max="15" width="14.28515625" style="1" bestFit="1" customWidth="1"/>
    <col min="16" max="16" width="13.140625" style="1" bestFit="1" customWidth="1"/>
    <col min="17" max="17" width="13.7109375" style="1" bestFit="1" customWidth="1"/>
    <col min="18" max="18" width="11" style="1" customWidth="1"/>
    <col min="19" max="19" width="13.140625" style="1" bestFit="1" customWidth="1"/>
    <col min="20" max="20" width="11.7109375" style="1" customWidth="1"/>
    <col min="21" max="21" width="10.28515625" style="1" customWidth="1"/>
    <col min="22" max="22" width="11.85546875" style="1" customWidth="1"/>
    <col min="23" max="23" width="9.140625" style="1"/>
    <col min="24" max="24" width="9.85546875" style="1" bestFit="1" customWidth="1"/>
    <col min="25" max="25" width="10.5703125" style="1" customWidth="1"/>
    <col min="26" max="26" width="10.140625" style="1" customWidth="1"/>
    <col min="27" max="27" width="10.42578125" style="1" bestFit="1" customWidth="1"/>
    <col min="28" max="16384" width="9.140625" style="1"/>
  </cols>
  <sheetData>
    <row r="1" spans="1:32">
      <c r="A1" s="1" t="str">
        <f>A!$A$1</f>
        <v>Louisville Gas and Electric Company</v>
      </c>
      <c r="M1" s="27" t="str">
        <f>A!K1</f>
        <v>Exhibit RCS-2</v>
      </c>
    </row>
    <row r="2" spans="1:32">
      <c r="A2" s="1" t="s">
        <v>129</v>
      </c>
      <c r="M2" s="27" t="s">
        <v>97</v>
      </c>
    </row>
    <row r="3" spans="1:32">
      <c r="A3" s="39"/>
      <c r="M3" s="27" t="str">
        <f>A!K3</f>
        <v>Case No. 2016-00371</v>
      </c>
    </row>
    <row r="4" spans="1:32">
      <c r="A4" s="1" t="s">
        <v>287</v>
      </c>
      <c r="M4" s="27" t="s">
        <v>53</v>
      </c>
    </row>
    <row r="5" spans="1:32">
      <c r="J5" s="3"/>
      <c r="K5" s="3"/>
      <c r="L5" s="3"/>
      <c r="M5" s="3" t="s">
        <v>155</v>
      </c>
    </row>
    <row r="6" spans="1:32">
      <c r="E6" s="93" t="s">
        <v>175</v>
      </c>
      <c r="F6" s="3"/>
      <c r="G6" s="3"/>
      <c r="H6" s="3"/>
      <c r="I6" s="3"/>
      <c r="J6" s="3"/>
      <c r="K6" s="3"/>
      <c r="L6" s="3"/>
      <c r="M6" s="3" t="s">
        <v>66</v>
      </c>
    </row>
    <row r="7" spans="1:32">
      <c r="A7" s="3" t="s">
        <v>0</v>
      </c>
      <c r="E7" s="12" t="s">
        <v>80</v>
      </c>
      <c r="F7" s="3"/>
      <c r="G7" s="3"/>
      <c r="H7" s="3"/>
      <c r="I7" s="3" t="s">
        <v>155</v>
      </c>
      <c r="J7" s="3"/>
      <c r="K7" s="3" t="s">
        <v>155</v>
      </c>
      <c r="L7" s="3"/>
      <c r="M7" s="3" t="s">
        <v>67</v>
      </c>
    </row>
    <row r="8" spans="1:32">
      <c r="A8" s="11" t="s">
        <v>2</v>
      </c>
      <c r="C8" s="2" t="s">
        <v>3</v>
      </c>
      <c r="E8" s="11" t="s">
        <v>15</v>
      </c>
      <c r="F8" s="3"/>
      <c r="G8" s="11" t="s">
        <v>130</v>
      </c>
      <c r="H8" s="3"/>
      <c r="I8" s="11" t="s">
        <v>4</v>
      </c>
      <c r="J8" s="11"/>
      <c r="K8" s="11" t="s">
        <v>81</v>
      </c>
      <c r="L8" s="12"/>
      <c r="M8" s="11" t="s">
        <v>16</v>
      </c>
    </row>
    <row r="9" spans="1:32">
      <c r="A9" s="12"/>
      <c r="C9" s="13"/>
      <c r="E9" s="12"/>
      <c r="F9" s="3"/>
      <c r="G9" s="3"/>
      <c r="H9" s="3"/>
      <c r="I9" s="12" t="s">
        <v>6</v>
      </c>
      <c r="J9" s="12"/>
      <c r="K9" s="12" t="s">
        <v>7</v>
      </c>
      <c r="L9" s="12"/>
      <c r="M9" s="12" t="s">
        <v>18</v>
      </c>
    </row>
    <row r="10" spans="1:32">
      <c r="A10" s="12"/>
      <c r="C10" s="13"/>
      <c r="E10" s="12"/>
      <c r="F10" s="3"/>
      <c r="L10" s="12"/>
      <c r="M10" s="12"/>
    </row>
    <row r="11" spans="1:32">
      <c r="A11" s="12">
        <v>1</v>
      </c>
      <c r="C11" s="13"/>
      <c r="E11" s="12" t="s">
        <v>131</v>
      </c>
      <c r="F11" s="3"/>
      <c r="G11" s="46" t="s">
        <v>178</v>
      </c>
      <c r="H11" s="3"/>
      <c r="I11" s="12"/>
      <c r="J11" s="12"/>
      <c r="K11" s="26">
        <f>'D P1'!K22</f>
        <v>-9.8134204585263035E-3</v>
      </c>
      <c r="L11" s="12"/>
      <c r="M11" s="12"/>
    </row>
    <row r="12" spans="1:32">
      <c r="A12" s="3">
        <f>A11+1</f>
        <v>2</v>
      </c>
      <c r="C12" s="14" t="s">
        <v>239</v>
      </c>
      <c r="E12" s="40" t="s">
        <v>132</v>
      </c>
      <c r="G12" s="10" t="s">
        <v>84</v>
      </c>
      <c r="H12" s="3"/>
      <c r="I12" s="12"/>
      <c r="J12" s="12" t="s">
        <v>133</v>
      </c>
      <c r="K12" s="101">
        <f>'A-1'!O22</f>
        <v>1.6404084974767768</v>
      </c>
      <c r="L12" s="3"/>
    </row>
    <row r="13" spans="1:32">
      <c r="A13" s="3">
        <f>A12+1</f>
        <v>3</v>
      </c>
      <c r="C13" s="1" t="s">
        <v>614</v>
      </c>
      <c r="E13" s="16" t="s">
        <v>44</v>
      </c>
      <c r="I13" s="4">
        <f>A!$G$10</f>
        <v>706897908.12292981</v>
      </c>
      <c r="J13" s="3"/>
      <c r="K13" s="15">
        <f>K11*K12</f>
        <v>-1.6098018309478997E-2</v>
      </c>
      <c r="L13" s="3"/>
      <c r="M13" s="4">
        <f>ROUND(I13*K13,0)</f>
        <v>-11379655</v>
      </c>
    </row>
    <row r="14" spans="1:32">
      <c r="A14" s="3"/>
      <c r="E14" s="4"/>
      <c r="I14" s="4"/>
      <c r="J14" s="3"/>
      <c r="L14" s="3"/>
      <c r="M14" s="4"/>
    </row>
    <row r="15" spans="1:32">
      <c r="A15" s="3">
        <f>A13+1</f>
        <v>4</v>
      </c>
      <c r="E15" s="16" t="s">
        <v>131</v>
      </c>
      <c r="G15" s="1" t="s">
        <v>179</v>
      </c>
      <c r="I15" s="4"/>
      <c r="J15" s="3"/>
      <c r="K15" s="102">
        <f>'D P1'!K20</f>
        <v>6.2617580000000006E-2</v>
      </c>
      <c r="L15" s="3"/>
      <c r="M15" s="4"/>
    </row>
    <row r="16" spans="1:32">
      <c r="A16" s="3">
        <f>A15+1</f>
        <v>5</v>
      </c>
      <c r="C16" s="14" t="s">
        <v>485</v>
      </c>
      <c r="E16" s="16" t="s">
        <v>132</v>
      </c>
      <c r="G16" s="1" t="s">
        <v>84</v>
      </c>
      <c r="I16" s="4"/>
      <c r="J16" s="3" t="s">
        <v>133</v>
      </c>
      <c r="K16" s="126">
        <f>$K$12</f>
        <v>1.6404084974767768</v>
      </c>
      <c r="L16" s="3"/>
      <c r="M16" s="4"/>
      <c r="Q16" s="66"/>
      <c r="R16" s="66"/>
      <c r="S16" s="66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</row>
    <row r="17" spans="1:51">
      <c r="A17" s="3"/>
      <c r="C17" s="14"/>
      <c r="E17" s="16"/>
      <c r="I17" s="23" t="s">
        <v>140</v>
      </c>
      <c r="J17" s="3"/>
      <c r="K17" s="21"/>
      <c r="L17" s="3"/>
      <c r="M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51">
      <c r="A18" s="3">
        <f>A16+1</f>
        <v>6</v>
      </c>
      <c r="C18" s="1" t="str">
        <f>Contents!B17</f>
        <v>Slippage Adjustment</v>
      </c>
      <c r="E18" s="16" t="str">
        <f>B.1!$G$7</f>
        <v>B-1</v>
      </c>
      <c r="G18" s="4"/>
      <c r="I18" s="4">
        <f>B.1!G38</f>
        <v>-5482810.9702472575</v>
      </c>
      <c r="J18" s="3"/>
      <c r="K18" s="17">
        <f>$K$15*$K$16</f>
        <v>0.10271841032343187</v>
      </c>
      <c r="L18" s="3"/>
      <c r="M18" s="4">
        <f t="shared" ref="M18:M22" si="0">ROUND(I18*K18,0)</f>
        <v>-563186</v>
      </c>
    </row>
    <row r="19" spans="1:51">
      <c r="A19" s="3">
        <f t="shared" ref="A19:A23" si="1">A18+1</f>
        <v>7</v>
      </c>
      <c r="C19" s="1" t="str">
        <f>Contents!B18</f>
        <v>Distribution Automation</v>
      </c>
      <c r="E19" s="16" t="str">
        <f>B.1!$H$7</f>
        <v>B-2</v>
      </c>
      <c r="G19" s="4"/>
      <c r="I19" s="4">
        <f>B.1!H38</f>
        <v>0</v>
      </c>
      <c r="J19" s="3"/>
      <c r="K19" s="17">
        <f t="shared" ref="K19:K22" si="2">$K$15*$K$16</f>
        <v>0.10271841032343187</v>
      </c>
      <c r="L19" s="3"/>
      <c r="M19" s="4">
        <f t="shared" si="0"/>
        <v>0</v>
      </c>
    </row>
    <row r="20" spans="1:51">
      <c r="A20" s="3">
        <f t="shared" si="1"/>
        <v>8</v>
      </c>
      <c r="C20" s="1" t="str">
        <f>Contents!B19</f>
        <v>Cash Working Capital</v>
      </c>
      <c r="E20" s="16" t="str">
        <f>B.1!$I$7</f>
        <v>B-3</v>
      </c>
      <c r="G20" s="4"/>
      <c r="I20" s="4">
        <f>B.1!I38</f>
        <v>-109594</v>
      </c>
      <c r="J20" s="3"/>
      <c r="K20" s="17">
        <f t="shared" si="2"/>
        <v>0.10271841032343187</v>
      </c>
      <c r="L20" s="3"/>
      <c r="M20" s="4">
        <f t="shared" si="0"/>
        <v>-11257</v>
      </c>
    </row>
    <row r="21" spans="1:51">
      <c r="A21" s="93">
        <f t="shared" si="1"/>
        <v>9</v>
      </c>
      <c r="C21" s="83" t="str">
        <f>Contents!B20</f>
        <v>Advanced Metering Systems</v>
      </c>
      <c r="E21" s="16" t="s">
        <v>422</v>
      </c>
      <c r="G21" s="4"/>
      <c r="I21" s="4">
        <f>B.1!J38</f>
        <v>-7173392.2530000005</v>
      </c>
      <c r="J21" s="93"/>
      <c r="K21" s="17">
        <f t="shared" si="2"/>
        <v>0.10271841032343187</v>
      </c>
      <c r="L21" s="93"/>
      <c r="M21" s="4">
        <f t="shared" si="0"/>
        <v>-736839</v>
      </c>
    </row>
    <row r="22" spans="1:51">
      <c r="A22" s="93">
        <f t="shared" si="1"/>
        <v>10</v>
      </c>
      <c r="C22" s="83" t="str">
        <f>Contents!B22</f>
        <v>Reverse LG&amp;E Adjustment to Remove Gas Line Tracker Mechanism from Base Rates</v>
      </c>
      <c r="E22" s="16" t="s">
        <v>489</v>
      </c>
      <c r="G22" s="4"/>
      <c r="I22" s="45">
        <f>B.1!K38</f>
        <v>19979268.241091803</v>
      </c>
      <c r="J22" s="93"/>
      <c r="K22" s="17">
        <f t="shared" si="2"/>
        <v>0.10271841032343187</v>
      </c>
      <c r="L22" s="93"/>
      <c r="M22" s="4">
        <f t="shared" si="0"/>
        <v>2052239</v>
      </c>
    </row>
    <row r="23" spans="1:51" ht="13.5" thickBot="1">
      <c r="A23" s="93">
        <f t="shared" si="1"/>
        <v>11</v>
      </c>
      <c r="C23" s="1" t="s">
        <v>486</v>
      </c>
      <c r="E23" s="16"/>
      <c r="I23" s="20">
        <f>SUM(I18:I22)</f>
        <v>7213471.0178445447</v>
      </c>
      <c r="J23" s="3"/>
      <c r="L23" s="3"/>
      <c r="M23" s="19"/>
    </row>
    <row r="24" spans="1:51" ht="13.5" thickTop="1">
      <c r="A24" s="3"/>
      <c r="E24" s="4"/>
      <c r="I24" s="4"/>
      <c r="J24" s="3"/>
      <c r="L24" s="3"/>
      <c r="M24" s="4"/>
    </row>
    <row r="25" spans="1:51" ht="13.5" thickBot="1">
      <c r="A25" s="3">
        <f>A23+1</f>
        <v>12</v>
      </c>
      <c r="C25" s="14" t="s">
        <v>231</v>
      </c>
      <c r="E25" s="16" t="s">
        <v>237</v>
      </c>
      <c r="I25" s="20">
        <f>ROUND(I13+I23,0)</f>
        <v>714111379</v>
      </c>
      <c r="J25" s="12"/>
      <c r="L25" s="12"/>
      <c r="M25" s="4"/>
      <c r="O25" s="4">
        <f>'D P3'!U16</f>
        <v>0</v>
      </c>
      <c r="P25" s="1" t="b">
        <f>O25=I25</f>
        <v>0</v>
      </c>
    </row>
    <row r="26" spans="1:51" ht="13.5" thickTop="1">
      <c r="A26" s="3"/>
      <c r="E26" s="4"/>
      <c r="G26" s="3"/>
      <c r="I26" s="4"/>
      <c r="J26" s="3"/>
      <c r="L26" s="3"/>
      <c r="M26" s="4"/>
    </row>
    <row r="27" spans="1:51">
      <c r="A27" s="3">
        <f>A25+1</f>
        <v>13</v>
      </c>
      <c r="C27" s="14" t="s">
        <v>83</v>
      </c>
      <c r="G27" s="3" t="s">
        <v>82</v>
      </c>
      <c r="I27" s="4"/>
      <c r="J27" s="3"/>
      <c r="K27" s="3" t="s">
        <v>155</v>
      </c>
      <c r="L27" s="3"/>
      <c r="M27" s="4"/>
    </row>
    <row r="28" spans="1:51">
      <c r="A28" s="3"/>
      <c r="G28" s="1" t="s">
        <v>139</v>
      </c>
      <c r="I28" s="44" t="s">
        <v>134</v>
      </c>
      <c r="J28" s="3"/>
      <c r="K28" s="12" t="s">
        <v>84</v>
      </c>
      <c r="L28" s="3"/>
      <c r="M28" s="4"/>
    </row>
    <row r="29" spans="1:51">
      <c r="A29" s="3"/>
      <c r="C29" s="14" t="s">
        <v>157</v>
      </c>
      <c r="G29" s="11" t="s">
        <v>16</v>
      </c>
      <c r="I29" s="23" t="s">
        <v>135</v>
      </c>
      <c r="J29" s="3"/>
      <c r="K29" s="11" t="s">
        <v>136</v>
      </c>
      <c r="L29" s="3"/>
      <c r="M29" s="4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</row>
    <row r="30" spans="1:51">
      <c r="A30" s="3">
        <f>A27+1</f>
        <v>14</v>
      </c>
      <c r="C30" s="1" t="str">
        <f>Contents!B26</f>
        <v>Interest Synchronization</v>
      </c>
      <c r="E30" s="3" t="str">
        <f>C.1!$H$7</f>
        <v>C-1</v>
      </c>
      <c r="G30" s="4">
        <f>C.1!$H$22</f>
        <v>0</v>
      </c>
      <c r="H30" s="4"/>
      <c r="I30" s="4">
        <f>C.1!H23</f>
        <v>375535.48724999931</v>
      </c>
      <c r="J30" s="3"/>
      <c r="K30" s="103">
        <f>$K$16</f>
        <v>1.6404084974767768</v>
      </c>
      <c r="L30" s="3"/>
      <c r="M30" s="4">
        <f t="shared" ref="M30:M40" si="3">-ROUND(I30*K30,0)</f>
        <v>-616032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</row>
    <row r="31" spans="1:51">
      <c r="A31" s="3">
        <f>A30+1</f>
        <v>15</v>
      </c>
      <c r="C31" s="1" t="str">
        <f>Contents!B27</f>
        <v>Incentive Compensation Expense</v>
      </c>
      <c r="E31" s="3" t="str">
        <f>C.1!$I$7</f>
        <v>C-2</v>
      </c>
      <c r="G31" s="4">
        <f>C.1!I15</f>
        <v>-673164.25</v>
      </c>
      <c r="H31" s="4"/>
      <c r="I31" s="4">
        <f>C.1!$I$23</f>
        <v>412145.25</v>
      </c>
      <c r="J31" s="3"/>
      <c r="K31" s="103">
        <f t="shared" ref="K31:K40" si="4">$K$16</f>
        <v>1.6404084974767768</v>
      </c>
      <c r="L31" s="3"/>
      <c r="M31" s="4">
        <f t="shared" si="3"/>
        <v>-676087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</row>
    <row r="32" spans="1:51">
      <c r="A32" s="3">
        <f t="shared" ref="A32:A43" si="5">A31+1</f>
        <v>16</v>
      </c>
      <c r="C32" s="1" t="str">
        <f>Contents!B28</f>
        <v>Advanced Metering Services</v>
      </c>
      <c r="E32" s="3" t="str">
        <f>C.1!$J$7</f>
        <v>C-3</v>
      </c>
      <c r="G32" s="4">
        <f>C.1!$J$15+C.1!$J$16</f>
        <v>-527017.02</v>
      </c>
      <c r="H32" s="4"/>
      <c r="I32" s="4">
        <f>C.1!$J$23</f>
        <v>322666.02</v>
      </c>
      <c r="J32" s="3"/>
      <c r="K32" s="103">
        <f t="shared" si="4"/>
        <v>1.6404084974767768</v>
      </c>
      <c r="L32" s="3"/>
      <c r="M32" s="4">
        <f t="shared" si="3"/>
        <v>-529304</v>
      </c>
      <c r="O32" s="42">
        <f>M18+M32</f>
        <v>-1092490</v>
      </c>
      <c r="S32"/>
      <c r="T32"/>
      <c r="U32"/>
    </row>
    <row r="33" spans="1:21">
      <c r="A33" s="3">
        <f t="shared" si="5"/>
        <v>17</v>
      </c>
      <c r="C33" s="1" t="str">
        <f>Contents!B29</f>
        <v>Transmission Vegetation Management Expense</v>
      </c>
      <c r="E33" s="3" t="str">
        <f>C.1!$K$7</f>
        <v>C-4</v>
      </c>
      <c r="G33" s="4">
        <f>C.1!K15</f>
        <v>0</v>
      </c>
      <c r="H33" s="4"/>
      <c r="I33" s="4">
        <f>C.1!$K$23</f>
        <v>0</v>
      </c>
      <c r="J33" s="3"/>
      <c r="K33" s="103">
        <f t="shared" si="4"/>
        <v>1.6404084974767768</v>
      </c>
      <c r="L33" s="3"/>
      <c r="M33" s="4">
        <f t="shared" si="3"/>
        <v>0</v>
      </c>
      <c r="S33"/>
      <c r="T33"/>
      <c r="U33"/>
    </row>
    <row r="34" spans="1:21">
      <c r="A34" s="3">
        <f t="shared" si="5"/>
        <v>18</v>
      </c>
      <c r="C34" s="1" t="str">
        <f>Contents!B30</f>
        <v>Uncollectibles Expense</v>
      </c>
      <c r="E34" s="3" t="str">
        <f>C.1!$L$7</f>
        <v>C-5</v>
      </c>
      <c r="G34" s="4">
        <f>C.1!L15</f>
        <v>-76149.808979999973</v>
      </c>
      <c r="H34" s="4"/>
      <c r="I34" s="4">
        <f>C.1!$L$23</f>
        <v>46622.808979999973</v>
      </c>
      <c r="J34" s="3"/>
      <c r="K34" s="103">
        <f t="shared" si="4"/>
        <v>1.6404084974767768</v>
      </c>
      <c r="L34" s="3"/>
      <c r="M34" s="4">
        <f t="shared" si="3"/>
        <v>-76480</v>
      </c>
      <c r="S34"/>
      <c r="T34"/>
      <c r="U34"/>
    </row>
    <row r="35" spans="1:21">
      <c r="A35" s="3">
        <f t="shared" si="5"/>
        <v>19</v>
      </c>
      <c r="C35" s="1" t="str">
        <f>Contents!B31</f>
        <v>Depreciation Expense - Impacts of Slippage</v>
      </c>
      <c r="E35" s="3" t="str">
        <f>C.1!$M$7</f>
        <v>C-6</v>
      </c>
      <c r="G35" s="4">
        <f>C.1!M16</f>
        <v>-159934</v>
      </c>
      <c r="H35" s="4"/>
      <c r="I35" s="4">
        <f>C.1!$M$23</f>
        <v>97920</v>
      </c>
      <c r="J35" s="3"/>
      <c r="K35" s="103">
        <f t="shared" si="4"/>
        <v>1.6404084974767768</v>
      </c>
      <c r="L35" s="3"/>
      <c r="M35" s="4">
        <f t="shared" si="3"/>
        <v>-160629</v>
      </c>
      <c r="S35"/>
      <c r="T35"/>
      <c r="U35"/>
    </row>
    <row r="36" spans="1:21">
      <c r="A36" s="3">
        <f t="shared" si="5"/>
        <v>20</v>
      </c>
      <c r="C36" s="1" t="str">
        <f>Contents!B32</f>
        <v>Depreciation Expense Related to Distribution Automation</v>
      </c>
      <c r="E36" s="3" t="str">
        <f>C.1!$N$7</f>
        <v>C-7</v>
      </c>
      <c r="G36" s="4">
        <f>C.1!N16</f>
        <v>0</v>
      </c>
      <c r="H36" s="4"/>
      <c r="I36" s="4">
        <f>C.1!$N$23</f>
        <v>0</v>
      </c>
      <c r="J36" s="3"/>
      <c r="K36" s="103">
        <f t="shared" si="4"/>
        <v>1.6404084974767768</v>
      </c>
      <c r="L36" s="3"/>
      <c r="M36" s="4">
        <f t="shared" si="3"/>
        <v>0</v>
      </c>
      <c r="S36"/>
      <c r="T36"/>
      <c r="U36"/>
    </row>
    <row r="37" spans="1:21">
      <c r="A37" s="3">
        <f t="shared" si="5"/>
        <v>21</v>
      </c>
      <c r="C37" s="1" t="str">
        <f>Contents!B33</f>
        <v>Payroll and Employee Benefits Expense - Remove Vacant Positions</v>
      </c>
      <c r="E37" s="3" t="str">
        <f>C.1!$O$7</f>
        <v>C-8</v>
      </c>
      <c r="G37" s="4">
        <f>C.1!$O$15+C.1!$O$17</f>
        <v>-730084.55099999998</v>
      </c>
      <c r="H37" s="4"/>
      <c r="I37" s="4">
        <f>C.1!$O$23</f>
        <v>446994.55099999998</v>
      </c>
      <c r="J37" s="3"/>
      <c r="K37" s="103">
        <f t="shared" si="4"/>
        <v>1.6404084974767768</v>
      </c>
      <c r="L37" s="3"/>
      <c r="M37" s="4">
        <f t="shared" si="3"/>
        <v>-733254</v>
      </c>
      <c r="S37"/>
      <c r="T37"/>
      <c r="U37"/>
    </row>
    <row r="38" spans="1:21">
      <c r="A38" s="3">
        <f t="shared" si="5"/>
        <v>22</v>
      </c>
      <c r="C38" s="1" t="str">
        <f>Contents!B34</f>
        <v>PPL Services Corporation Affiliate Charges to LG&amp;E</v>
      </c>
      <c r="E38" s="3" t="str">
        <f>C.1!$P$7</f>
        <v>C-9</v>
      </c>
      <c r="G38" s="4">
        <f>C.1!P15</f>
        <v>-468008.39999999997</v>
      </c>
      <c r="H38" s="4"/>
      <c r="I38" s="4">
        <f>C.1!$P$23</f>
        <v>286538.39999999997</v>
      </c>
      <c r="J38" s="3"/>
      <c r="K38" s="103">
        <f t="shared" si="4"/>
        <v>1.6404084974767768</v>
      </c>
      <c r="L38" s="3"/>
      <c r="M38" s="4">
        <f t="shared" si="3"/>
        <v>-470040</v>
      </c>
      <c r="S38"/>
      <c r="T38"/>
      <c r="U38"/>
    </row>
    <row r="39" spans="1:21">
      <c r="A39" s="3">
        <f t="shared" si="5"/>
        <v>23</v>
      </c>
      <c r="C39" s="83" t="str">
        <f>Contents!B35</f>
        <v>Reverse LG&amp;E Adjustment to Remove Gas Line Tracker Mechanism from Base Rates</v>
      </c>
      <c r="E39" s="3" t="str">
        <f>C.1!$Q$7</f>
        <v>C-10</v>
      </c>
      <c r="G39" s="4">
        <f>C.1!$Q$15+C.1!$Q$16+C.1!$Q$17</f>
        <v>2151968.1440019901</v>
      </c>
      <c r="H39" s="4"/>
      <c r="I39" s="4">
        <f>C.1!$Q$23</f>
        <v>-1317543.0599808721</v>
      </c>
      <c r="J39" s="3"/>
      <c r="K39" s="103">
        <f t="shared" si="4"/>
        <v>1.6404084974767768</v>
      </c>
      <c r="L39" s="3"/>
      <c r="M39" s="4">
        <f t="shared" si="3"/>
        <v>2161309</v>
      </c>
      <c r="S39"/>
      <c r="T39"/>
      <c r="U39"/>
    </row>
    <row r="40" spans="1:21">
      <c r="A40" s="3">
        <f t="shared" si="5"/>
        <v>24</v>
      </c>
      <c r="C40" s="1" t="str">
        <f>Contents!B36</f>
        <v>Rescheduling of Expiring Regulatory Asset Amortizations</v>
      </c>
      <c r="E40" s="3" t="str">
        <f>C.1!$R$7</f>
        <v>C-11</v>
      </c>
      <c r="G40" s="4">
        <f>C.1!R15</f>
        <v>-5702.8086666669988</v>
      </c>
      <c r="H40" s="4"/>
      <c r="I40" s="45">
        <f>C.1!$R$23</f>
        <v>3491.8086666669988</v>
      </c>
      <c r="J40" s="3"/>
      <c r="K40" s="103">
        <f t="shared" si="4"/>
        <v>1.6404084974767768</v>
      </c>
      <c r="L40" s="3"/>
      <c r="M40" s="4">
        <f t="shared" si="3"/>
        <v>-5728</v>
      </c>
      <c r="S40"/>
      <c r="T40"/>
      <c r="U40"/>
    </row>
    <row r="41" spans="1:21" ht="13.5" thickBot="1">
      <c r="A41" s="93">
        <f t="shared" si="5"/>
        <v>25</v>
      </c>
      <c r="C41" s="1" t="s">
        <v>158</v>
      </c>
      <c r="E41" s="3" t="s">
        <v>95</v>
      </c>
      <c r="G41" s="18">
        <f>SUM(G30:G40)</f>
        <v>-488092.69464467652</v>
      </c>
      <c r="I41" s="19">
        <f>SUM(I30:I40)</f>
        <v>674371.26591579407</v>
      </c>
      <c r="J41" s="3"/>
      <c r="K41" s="3"/>
      <c r="L41" s="3"/>
      <c r="O41" s="4">
        <f>'C'!G29</f>
        <v>0</v>
      </c>
      <c r="P41" s="4">
        <f>IF(O41=I41,0,O41-I41)</f>
        <v>-674371.26591579407</v>
      </c>
    </row>
    <row r="42" spans="1:21" ht="13.5" thickTop="1">
      <c r="A42" s="3">
        <f t="shared" si="5"/>
        <v>26</v>
      </c>
      <c r="C42" s="1" t="s">
        <v>137</v>
      </c>
      <c r="E42" s="3" t="s">
        <v>127</v>
      </c>
      <c r="I42" s="4">
        <f>ROUND(A!$G$13,0)</f>
        <v>42774086</v>
      </c>
      <c r="J42" s="3"/>
      <c r="K42" s="3"/>
      <c r="L42" s="3"/>
      <c r="M42" s="4"/>
    </row>
    <row r="43" spans="1:21" ht="13.5" thickBot="1">
      <c r="A43" s="3">
        <f t="shared" si="5"/>
        <v>27</v>
      </c>
      <c r="C43" s="14" t="s">
        <v>159</v>
      </c>
      <c r="E43" s="3" t="s">
        <v>127</v>
      </c>
      <c r="I43" s="18">
        <f>SUM(I41:I42)</f>
        <v>43448457.265915796</v>
      </c>
      <c r="J43" s="3"/>
      <c r="K43" s="3"/>
      <c r="L43" s="3"/>
      <c r="M43" s="4"/>
      <c r="O43" s="4">
        <f>ROUND(A!$I$13,0)</f>
        <v>43448458</v>
      </c>
      <c r="P43" s="4">
        <f>IF(O43=I43,0,O43-I43)</f>
        <v>0.73408420383930206</v>
      </c>
    </row>
    <row r="44" spans="1:21" ht="13.5" thickTop="1">
      <c r="A44" s="3"/>
      <c r="I44" s="4"/>
      <c r="J44" s="3"/>
      <c r="K44" s="3"/>
      <c r="L44" s="3"/>
      <c r="M44" s="4"/>
    </row>
    <row r="45" spans="1:21">
      <c r="A45" s="3"/>
      <c r="C45" s="14" t="s">
        <v>88</v>
      </c>
      <c r="I45" s="4"/>
      <c r="J45" s="3"/>
      <c r="K45" s="3"/>
      <c r="L45" s="3"/>
      <c r="M45" s="19"/>
    </row>
    <row r="46" spans="1:21">
      <c r="A46" s="3">
        <f>A43+1</f>
        <v>28</v>
      </c>
      <c r="C46" s="1" t="s">
        <v>153</v>
      </c>
      <c r="E46" s="3" t="s">
        <v>132</v>
      </c>
      <c r="I46" s="4"/>
      <c r="J46" s="3"/>
      <c r="K46" s="103">
        <f>'A-1'!O22</f>
        <v>1.6404084974767768</v>
      </c>
      <c r="L46" s="3"/>
      <c r="M46" s="19"/>
    </row>
    <row r="47" spans="1:21">
      <c r="A47" s="3">
        <f t="shared" ref="A47:A55" si="6">A46+1</f>
        <v>29</v>
      </c>
      <c r="C47" s="1" t="s">
        <v>47</v>
      </c>
      <c r="E47" s="3" t="s">
        <v>132</v>
      </c>
      <c r="I47" s="4"/>
      <c r="J47" s="3"/>
      <c r="K47" s="101">
        <f>'A-1'!$K$22</f>
        <v>1.6409347988751752</v>
      </c>
      <c r="L47" s="3"/>
      <c r="M47" s="19"/>
    </row>
    <row r="48" spans="1:21">
      <c r="A48" s="3">
        <f t="shared" si="6"/>
        <v>30</v>
      </c>
      <c r="C48" s="1" t="s">
        <v>29</v>
      </c>
      <c r="I48" s="4"/>
      <c r="J48" s="3"/>
      <c r="K48" s="22">
        <f>K46-K47</f>
        <v>-5.2630139839848766E-4</v>
      </c>
      <c r="L48" s="3"/>
      <c r="M48" s="3"/>
    </row>
    <row r="49" spans="1:20">
      <c r="A49" s="3">
        <f t="shared" si="6"/>
        <v>31</v>
      </c>
      <c r="C49" s="1" t="s">
        <v>86</v>
      </c>
      <c r="E49" s="3" t="s">
        <v>43</v>
      </c>
      <c r="I49" s="4"/>
      <c r="J49" s="3"/>
      <c r="K49" s="16">
        <f>A!$G$14</f>
        <v>8427236.4258737266</v>
      </c>
      <c r="L49" s="3"/>
      <c r="M49" s="3"/>
    </row>
    <row r="50" spans="1:20">
      <c r="A50" s="3">
        <f t="shared" si="6"/>
        <v>32</v>
      </c>
      <c r="C50" s="1" t="s">
        <v>87</v>
      </c>
      <c r="I50" s="4"/>
      <c r="J50" s="3"/>
      <c r="K50" s="3"/>
      <c r="L50" s="3"/>
      <c r="M50" s="23">
        <f>ROUND(K48*K49,0)</f>
        <v>-4435</v>
      </c>
      <c r="S50" s="42"/>
    </row>
    <row r="51" spans="1:20">
      <c r="A51" s="3">
        <f t="shared" si="6"/>
        <v>33</v>
      </c>
      <c r="C51" s="1" t="s">
        <v>160</v>
      </c>
      <c r="I51" s="4"/>
      <c r="J51" s="3"/>
      <c r="K51" s="3"/>
      <c r="L51" s="3"/>
      <c r="M51" s="16">
        <f>SUM(M13:M50)</f>
        <v>-11749378</v>
      </c>
      <c r="O51" s="4">
        <f>A!K16</f>
        <v>-11749378.813406169</v>
      </c>
      <c r="P51" s="4">
        <f>IF(O51=M51,0,O51-M51)</f>
        <v>-0.81340616941452026</v>
      </c>
      <c r="S51" s="16"/>
      <c r="T51" s="42"/>
    </row>
    <row r="52" spans="1:20">
      <c r="A52" s="3">
        <f t="shared" si="6"/>
        <v>34</v>
      </c>
      <c r="C52" s="1" t="s">
        <v>238</v>
      </c>
      <c r="E52" s="3" t="s">
        <v>43</v>
      </c>
      <c r="I52" s="4"/>
      <c r="J52" s="3"/>
      <c r="K52" s="3"/>
      <c r="L52" s="3"/>
      <c r="M52" s="23">
        <f>A!G16</f>
        <v>13828545.509564655</v>
      </c>
    </row>
    <row r="53" spans="1:20">
      <c r="A53" s="3">
        <f t="shared" si="6"/>
        <v>35</v>
      </c>
      <c r="C53" s="1" t="s">
        <v>612</v>
      </c>
      <c r="I53" s="4"/>
      <c r="J53" s="3"/>
      <c r="K53" s="3"/>
      <c r="L53" s="3"/>
      <c r="M53" s="16">
        <f>M51+M52</f>
        <v>2079167.5095646549</v>
      </c>
    </row>
    <row r="54" spans="1:20">
      <c r="A54" s="3">
        <f t="shared" si="6"/>
        <v>36</v>
      </c>
      <c r="C54" s="1" t="s">
        <v>138</v>
      </c>
      <c r="E54" s="3" t="s">
        <v>43</v>
      </c>
      <c r="I54" s="4"/>
      <c r="J54" s="3"/>
      <c r="K54" s="3"/>
      <c r="L54" s="3"/>
      <c r="M54" s="16">
        <f>A!I16</f>
        <v>2079166.6961584864</v>
      </c>
    </row>
    <row r="55" spans="1:20" ht="13.5" thickBot="1">
      <c r="A55" s="3">
        <f t="shared" si="6"/>
        <v>37</v>
      </c>
      <c r="C55" s="1" t="s">
        <v>170</v>
      </c>
      <c r="E55" s="87" t="s">
        <v>43</v>
      </c>
      <c r="I55" s="4"/>
      <c r="J55" s="3"/>
      <c r="K55" s="3"/>
      <c r="L55" s="3"/>
      <c r="M55" s="24">
        <f>M53-M54</f>
        <v>0.81340616848319769</v>
      </c>
      <c r="S55" s="42"/>
    </row>
    <row r="56" spans="1:20" ht="13.5" thickTop="1">
      <c r="A56" s="3"/>
      <c r="I56" s="4"/>
      <c r="J56" s="3"/>
      <c r="K56" s="3"/>
      <c r="L56" s="3"/>
      <c r="M56" s="3"/>
    </row>
    <row r="57" spans="1:20">
      <c r="A57" s="25" t="s">
        <v>9</v>
      </c>
      <c r="B57" s="2"/>
      <c r="C57" s="2"/>
      <c r="D57" s="2"/>
      <c r="E57" s="2"/>
      <c r="F57" s="2"/>
      <c r="G57" s="2"/>
      <c r="H57" s="2"/>
      <c r="I57" s="11"/>
      <c r="J57" s="11"/>
      <c r="K57" s="11"/>
      <c r="L57" s="11"/>
      <c r="M57" s="234"/>
      <c r="N57" s="2"/>
      <c r="O57" s="13"/>
    </row>
    <row r="58" spans="1:20">
      <c r="A58" s="10" t="s">
        <v>85</v>
      </c>
      <c r="I58" s="4"/>
      <c r="J58" s="3"/>
      <c r="K58" s="3"/>
      <c r="L58" s="3"/>
      <c r="M58" s="3"/>
    </row>
    <row r="78" spans="15:15">
      <c r="O78" s="30"/>
    </row>
    <row r="79" spans="15:15">
      <c r="O79" s="30"/>
    </row>
    <row r="80" spans="15:15">
      <c r="O80" s="30"/>
    </row>
    <row r="81" spans="1:15">
      <c r="O81" s="13"/>
    </row>
    <row r="82" spans="1:15">
      <c r="O82" s="30"/>
    </row>
    <row r="83" spans="1:15">
      <c r="O83" s="30"/>
    </row>
    <row r="84" spans="1:15">
      <c r="O84" s="30"/>
    </row>
    <row r="85" spans="1:15">
      <c r="O85" s="30"/>
    </row>
    <row r="86" spans="1:15">
      <c r="O86" s="13"/>
    </row>
    <row r="87" spans="1:15">
      <c r="M87" s="35"/>
      <c r="N87" s="13"/>
      <c r="O87" s="36"/>
    </row>
    <row r="88" spans="1:15">
      <c r="C88" s="13"/>
      <c r="M88" s="35"/>
      <c r="O88" s="36"/>
    </row>
    <row r="89" spans="1:15">
      <c r="A89" s="37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5">
      <c r="A90" s="13"/>
      <c r="B90" s="13"/>
      <c r="C90" s="13"/>
      <c r="D90" s="13"/>
      <c r="E90" s="38"/>
      <c r="F90" s="13"/>
      <c r="G90" s="13"/>
      <c r="H90" s="13"/>
      <c r="I90" s="30"/>
      <c r="J90" s="13"/>
      <c r="K90" s="35"/>
      <c r="L90" s="13"/>
      <c r="M90" s="30"/>
      <c r="N90" s="13"/>
      <c r="O90" s="13"/>
    </row>
    <row r="91" spans="1:15">
      <c r="A91" s="13"/>
      <c r="B91" s="13"/>
      <c r="C91" s="13"/>
      <c r="D91" s="13"/>
      <c r="E91" s="38"/>
      <c r="F91" s="13"/>
      <c r="G91" s="13"/>
      <c r="H91" s="13"/>
      <c r="I91" s="30"/>
      <c r="J91" s="13"/>
      <c r="K91" s="35"/>
      <c r="L91" s="13"/>
      <c r="M91" s="30"/>
      <c r="N91" s="13"/>
      <c r="O91" s="13"/>
    </row>
    <row r="92" spans="1:15">
      <c r="A92" s="13"/>
      <c r="B92" s="13"/>
      <c r="C92" s="13"/>
      <c r="D92" s="13"/>
      <c r="E92" s="38"/>
      <c r="F92" s="13"/>
      <c r="G92" s="13"/>
      <c r="H92" s="13"/>
      <c r="I92" s="30"/>
      <c r="J92" s="13"/>
      <c r="K92" s="33"/>
      <c r="L92" s="13"/>
      <c r="M92" s="30"/>
      <c r="N92" s="13"/>
      <c r="O92" s="13"/>
    </row>
    <row r="93" spans="1:15">
      <c r="A93" s="13"/>
      <c r="B93" s="13"/>
      <c r="C93" s="13"/>
      <c r="D93" s="13"/>
      <c r="E93" s="38"/>
      <c r="F93" s="13"/>
      <c r="G93" s="13"/>
      <c r="H93" s="13"/>
      <c r="I93" s="35"/>
      <c r="J93" s="13"/>
      <c r="K93" s="13"/>
      <c r="L93" s="13"/>
      <c r="M93" s="35"/>
      <c r="N93" s="13"/>
      <c r="O93" s="13"/>
    </row>
    <row r="94" spans="1:15">
      <c r="C94" s="13"/>
    </row>
    <row r="95" spans="1:15">
      <c r="C95" s="13"/>
    </row>
    <row r="96" spans="1:15">
      <c r="C96" s="13"/>
    </row>
    <row r="97" spans="3:13">
      <c r="D97" s="13"/>
      <c r="E97" s="13"/>
      <c r="F97" s="13"/>
      <c r="G97" s="13"/>
      <c r="H97" s="13"/>
      <c r="I97" s="13"/>
      <c r="J97" s="13"/>
      <c r="K97" s="33"/>
      <c r="L97" s="13"/>
      <c r="M97" s="36"/>
    </row>
    <row r="98" spans="3:13">
      <c r="J98" s="3"/>
      <c r="K98" s="3"/>
      <c r="L98" s="3"/>
      <c r="M98" s="3"/>
    </row>
    <row r="99" spans="3:13">
      <c r="C99" s="13"/>
    </row>
  </sheetData>
  <pageMargins left="0.7" right="0.7" top="0.75" bottom="0.43" header="0.3" footer="0.3"/>
  <pageSetup scale="7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workbookViewId="0">
      <selection activeCell="E64" sqref="E64"/>
    </sheetView>
  </sheetViews>
  <sheetFormatPr defaultRowHeight="12.75"/>
  <cols>
    <col min="1" max="1" width="5.28515625" style="1" customWidth="1"/>
    <col min="2" max="2" width="1.42578125" style="1" customWidth="1"/>
    <col min="3" max="3" width="62.28515625" style="1" bestFit="1" customWidth="1"/>
    <col min="4" max="4" width="1.28515625" style="1" customWidth="1"/>
    <col min="5" max="5" width="11.140625" style="1" bestFit="1" customWidth="1"/>
    <col min="6" max="6" width="0.85546875" style="1" customWidth="1"/>
    <col min="7" max="7" width="12" style="1" bestFit="1" customWidth="1"/>
    <col min="8" max="16384" width="9.140625" style="1"/>
  </cols>
  <sheetData>
    <row r="1" spans="1:7">
      <c r="A1" s="1" t="str">
        <f>Contents!A1</f>
        <v>Louisville Gas and Electric Company</v>
      </c>
      <c r="G1" s="27" t="str">
        <f>Contents!A4</f>
        <v>Exhibit RCS-2</v>
      </c>
    </row>
    <row r="2" spans="1:7">
      <c r="A2" s="1" t="s">
        <v>569</v>
      </c>
      <c r="G2" s="27" t="s">
        <v>222</v>
      </c>
    </row>
    <row r="3" spans="1:7">
      <c r="G3" s="27" t="str">
        <f>Contents!A2</f>
        <v>Case No. 2016-00371</v>
      </c>
    </row>
    <row r="4" spans="1:7">
      <c r="A4" s="1" t="s">
        <v>287</v>
      </c>
      <c r="G4" s="27" t="s">
        <v>37</v>
      </c>
    </row>
    <row r="6" spans="1:7">
      <c r="A6" s="93" t="s">
        <v>0</v>
      </c>
      <c r="E6" s="93"/>
      <c r="F6" s="93"/>
      <c r="G6" s="93"/>
    </row>
    <row r="7" spans="1:7">
      <c r="A7" s="11" t="s">
        <v>2</v>
      </c>
      <c r="C7" s="2" t="s">
        <v>3</v>
      </c>
      <c r="E7" s="11" t="s">
        <v>16</v>
      </c>
      <c r="F7" s="93"/>
      <c r="G7" s="11" t="s">
        <v>15</v>
      </c>
    </row>
    <row r="8" spans="1:7">
      <c r="A8" s="93"/>
      <c r="E8" s="93" t="s">
        <v>6</v>
      </c>
    </row>
    <row r="10" spans="1:7" ht="13.5" thickBot="1">
      <c r="A10" s="93">
        <v>1</v>
      </c>
      <c r="C10" s="1" t="s">
        <v>557</v>
      </c>
      <c r="E10" s="41">
        <f>-G40</f>
        <v>-468008.39999999997</v>
      </c>
      <c r="G10" s="93" t="s">
        <v>43</v>
      </c>
    </row>
    <row r="11" spans="1:7" ht="13.5" thickTop="1"/>
    <row r="13" spans="1:7">
      <c r="A13" s="2" t="s">
        <v>9</v>
      </c>
      <c r="B13" s="2"/>
      <c r="C13" s="2"/>
      <c r="D13" s="2"/>
      <c r="E13" s="2"/>
      <c r="F13" s="2"/>
      <c r="G13" s="2"/>
    </row>
    <row r="14" spans="1:7">
      <c r="A14" s="1" t="s">
        <v>541</v>
      </c>
    </row>
    <row r="15" spans="1:7">
      <c r="E15" s="12"/>
    </row>
    <row r="16" spans="1:7">
      <c r="E16" s="12" t="s">
        <v>376</v>
      </c>
    </row>
    <row r="17" spans="1:8">
      <c r="A17" s="93"/>
      <c r="C17" s="2" t="s">
        <v>3</v>
      </c>
      <c r="E17" s="23" t="s">
        <v>378</v>
      </c>
      <c r="G17" s="221" t="s">
        <v>16</v>
      </c>
      <c r="H17" s="115"/>
    </row>
    <row r="18" spans="1:8">
      <c r="A18" s="93"/>
      <c r="E18" s="114"/>
      <c r="G18" s="4"/>
    </row>
    <row r="19" spans="1:8">
      <c r="A19" s="93">
        <v>2</v>
      </c>
      <c r="C19" s="1" t="s">
        <v>550</v>
      </c>
      <c r="E19" s="231">
        <v>920</v>
      </c>
      <c r="G19" s="47">
        <v>157102</v>
      </c>
    </row>
    <row r="20" spans="1:8">
      <c r="A20" s="93"/>
      <c r="E20" s="232"/>
      <c r="G20" s="4"/>
    </row>
    <row r="21" spans="1:8">
      <c r="A21" s="93">
        <f>A19+1</f>
        <v>3</v>
      </c>
      <c r="C21" s="1" t="s">
        <v>542</v>
      </c>
      <c r="E21" s="233">
        <v>921</v>
      </c>
      <c r="G21" s="4">
        <v>26996</v>
      </c>
    </row>
    <row r="22" spans="1:8">
      <c r="A22" s="93">
        <f>A21+1</f>
        <v>4</v>
      </c>
      <c r="C22" s="1" t="s">
        <v>543</v>
      </c>
      <c r="E22" s="233">
        <v>921</v>
      </c>
      <c r="G22" s="4">
        <v>60584</v>
      </c>
    </row>
    <row r="23" spans="1:8">
      <c r="A23" s="93">
        <f t="shared" ref="A23:A34" si="0">A22+1</f>
        <v>5</v>
      </c>
      <c r="C23" s="1" t="s">
        <v>544</v>
      </c>
      <c r="E23" s="233">
        <v>921</v>
      </c>
      <c r="G23" s="4">
        <v>6700</v>
      </c>
    </row>
    <row r="24" spans="1:8">
      <c r="A24" s="93">
        <f t="shared" si="0"/>
        <v>6</v>
      </c>
      <c r="C24" s="1" t="s">
        <v>545</v>
      </c>
      <c r="E24" s="233">
        <v>921</v>
      </c>
      <c r="G24" s="4">
        <v>3514</v>
      </c>
    </row>
    <row r="25" spans="1:8">
      <c r="A25" s="93">
        <f t="shared" si="0"/>
        <v>7</v>
      </c>
      <c r="C25" s="1" t="s">
        <v>546</v>
      </c>
      <c r="E25" s="233">
        <v>921</v>
      </c>
      <c r="G25" s="4">
        <v>9676</v>
      </c>
    </row>
    <row r="26" spans="1:8">
      <c r="A26" s="93">
        <f t="shared" si="0"/>
        <v>8</v>
      </c>
      <c r="C26" s="1" t="s">
        <v>547</v>
      </c>
      <c r="E26" s="233">
        <v>921</v>
      </c>
      <c r="G26" s="4">
        <v>75916</v>
      </c>
    </row>
    <row r="27" spans="1:8">
      <c r="A27" s="93">
        <f t="shared" si="0"/>
        <v>9</v>
      </c>
      <c r="C27" s="1" t="s">
        <v>548</v>
      </c>
      <c r="E27" s="233">
        <v>921</v>
      </c>
      <c r="G27" s="4">
        <v>146504</v>
      </c>
    </row>
    <row r="28" spans="1:8">
      <c r="A28" s="93">
        <f t="shared" si="0"/>
        <v>10</v>
      </c>
      <c r="C28" s="1" t="s">
        <v>549</v>
      </c>
      <c r="E28" s="233">
        <v>921</v>
      </c>
      <c r="G28" s="4">
        <v>158634</v>
      </c>
    </row>
    <row r="29" spans="1:8">
      <c r="A29" s="93">
        <f t="shared" si="0"/>
        <v>11</v>
      </c>
      <c r="C29" s="1" t="s">
        <v>550</v>
      </c>
      <c r="E29" s="233">
        <v>921</v>
      </c>
      <c r="G29" s="4">
        <v>89013</v>
      </c>
    </row>
    <row r="30" spans="1:8">
      <c r="A30" s="93">
        <f t="shared" si="0"/>
        <v>12</v>
      </c>
      <c r="C30" s="1" t="s">
        <v>551</v>
      </c>
      <c r="E30" s="233">
        <v>921</v>
      </c>
      <c r="G30" s="4">
        <v>363130</v>
      </c>
    </row>
    <row r="31" spans="1:8">
      <c r="A31" s="93">
        <f t="shared" si="0"/>
        <v>13</v>
      </c>
      <c r="C31" s="1" t="s">
        <v>552</v>
      </c>
      <c r="E31" s="233">
        <v>921</v>
      </c>
      <c r="G31" s="4">
        <v>307783</v>
      </c>
    </row>
    <row r="32" spans="1:8">
      <c r="A32" s="93">
        <f t="shared" si="0"/>
        <v>14</v>
      </c>
      <c r="C32" s="1" t="s">
        <v>553</v>
      </c>
      <c r="E32" s="233">
        <v>921</v>
      </c>
      <c r="G32" s="4">
        <v>8911</v>
      </c>
    </row>
    <row r="33" spans="1:7">
      <c r="A33" s="93">
        <f t="shared" si="0"/>
        <v>15</v>
      </c>
      <c r="C33" s="1" t="s">
        <v>554</v>
      </c>
      <c r="E33" s="233">
        <v>921</v>
      </c>
      <c r="G33" s="4">
        <v>31788</v>
      </c>
    </row>
    <row r="34" spans="1:7">
      <c r="A34" s="93">
        <f t="shared" si="0"/>
        <v>16</v>
      </c>
      <c r="C34" s="1" t="s">
        <v>555</v>
      </c>
      <c r="E34" s="233"/>
      <c r="G34" s="47">
        <f>SUM(G21:G33)</f>
        <v>1289149</v>
      </c>
    </row>
    <row r="35" spans="1:7">
      <c r="A35" s="93"/>
      <c r="E35" s="233"/>
    </row>
    <row r="36" spans="1:7">
      <c r="A36" s="93">
        <f>A34+1</f>
        <v>17</v>
      </c>
      <c r="C36" s="1" t="s">
        <v>550</v>
      </c>
      <c r="E36" s="233">
        <v>926</v>
      </c>
      <c r="G36" s="47">
        <v>113777</v>
      </c>
    </row>
    <row r="37" spans="1:7">
      <c r="A37" s="93"/>
    </row>
    <row r="38" spans="1:7">
      <c r="A38" s="93">
        <f>A36+1</f>
        <v>18</v>
      </c>
      <c r="C38" s="1" t="s">
        <v>556</v>
      </c>
      <c r="G38" s="38">
        <f>G19+G34+G36</f>
        <v>1560028</v>
      </c>
    </row>
    <row r="39" spans="1:7">
      <c r="A39" s="93">
        <v>19</v>
      </c>
      <c r="C39" s="1" t="s">
        <v>558</v>
      </c>
      <c r="G39" s="34">
        <v>0.3</v>
      </c>
    </row>
    <row r="40" spans="1:7" ht="12.75" customHeight="1" thickBot="1">
      <c r="A40" s="93">
        <v>20</v>
      </c>
      <c r="C40" s="1" t="s">
        <v>559</v>
      </c>
      <c r="G40" s="43">
        <f>G38*G39</f>
        <v>468008.39999999997</v>
      </c>
    </row>
    <row r="41" spans="1:7" ht="13.5" thickTop="1"/>
  </sheetData>
  <pageMargins left="0.7" right="0.7" top="0.75" bottom="0.75" header="0.3" footer="0.3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K44"/>
  <sheetViews>
    <sheetView workbookViewId="0">
      <selection activeCell="E64" sqref="E64"/>
    </sheetView>
  </sheetViews>
  <sheetFormatPr defaultRowHeight="12.75"/>
  <cols>
    <col min="1" max="1" width="6" style="1" customWidth="1"/>
    <col min="2" max="2" width="1.85546875" style="1" customWidth="1"/>
    <col min="3" max="3" width="37.42578125" style="1" bestFit="1" customWidth="1"/>
    <col min="4" max="4" width="12.140625" style="1" customWidth="1"/>
    <col min="5" max="5" width="9.140625" style="1"/>
    <col min="6" max="6" width="1.85546875" style="1" customWidth="1"/>
    <col min="7" max="7" width="12.28515625" style="1" bestFit="1" customWidth="1"/>
    <col min="8" max="8" width="1.140625" style="1" customWidth="1"/>
    <col min="9" max="9" width="12.85546875" style="1" bestFit="1" customWidth="1"/>
    <col min="10" max="10" width="1.28515625" style="1" customWidth="1"/>
    <col min="11" max="11" width="12.140625" style="1" customWidth="1"/>
    <col min="12" max="16384" width="9.140625" style="1"/>
  </cols>
  <sheetData>
    <row r="1" spans="1:11">
      <c r="A1" s="1" t="str">
        <f>Contents!A1</f>
        <v>Louisville Gas and Electric Company</v>
      </c>
      <c r="K1" s="27" t="str">
        <f>Contents!A4</f>
        <v>Exhibit RCS-2</v>
      </c>
    </row>
    <row r="2" spans="1:11">
      <c r="A2" s="83" t="s">
        <v>399</v>
      </c>
      <c r="K2" s="213" t="s">
        <v>223</v>
      </c>
    </row>
    <row r="3" spans="1:11">
      <c r="A3" s="39"/>
      <c r="K3" s="27" t="str">
        <f>Contents!A2</f>
        <v>Case No. 2016-00371</v>
      </c>
    </row>
    <row r="4" spans="1:11">
      <c r="A4" s="1" t="s">
        <v>241</v>
      </c>
      <c r="K4" s="27" t="s">
        <v>37</v>
      </c>
    </row>
    <row r="7" spans="1:11">
      <c r="A7" s="93" t="s">
        <v>0</v>
      </c>
      <c r="I7" s="93" t="s">
        <v>404</v>
      </c>
      <c r="K7" s="93"/>
    </row>
    <row r="8" spans="1:11">
      <c r="A8" s="221" t="s">
        <v>2</v>
      </c>
      <c r="C8" s="252" t="s">
        <v>3</v>
      </c>
      <c r="D8" s="252"/>
      <c r="E8" s="252"/>
      <c r="G8" s="215" t="s">
        <v>47</v>
      </c>
      <c r="H8" s="93"/>
      <c r="I8" s="215" t="s">
        <v>34</v>
      </c>
      <c r="K8" s="12"/>
    </row>
    <row r="9" spans="1:11">
      <c r="G9" s="93" t="s">
        <v>6</v>
      </c>
      <c r="H9" s="93"/>
      <c r="I9" s="93" t="s">
        <v>7</v>
      </c>
      <c r="J9" s="93"/>
      <c r="K9" s="12"/>
    </row>
    <row r="10" spans="1:11">
      <c r="K10" s="13"/>
    </row>
    <row r="11" spans="1:11">
      <c r="C11" s="14" t="s">
        <v>48</v>
      </c>
      <c r="K11" s="13"/>
    </row>
    <row r="12" spans="1:11">
      <c r="A12" s="93">
        <v>1</v>
      </c>
      <c r="C12" s="100" t="s">
        <v>275</v>
      </c>
      <c r="G12" s="4">
        <v>-4380072.0746675218</v>
      </c>
      <c r="I12" s="4">
        <v>0</v>
      </c>
      <c r="K12" s="38"/>
    </row>
    <row r="13" spans="1:11">
      <c r="A13" s="93">
        <f>A12+1</f>
        <v>2</v>
      </c>
      <c r="C13" s="100" t="s">
        <v>171</v>
      </c>
      <c r="G13" s="4">
        <v>-17672.441080286353</v>
      </c>
      <c r="I13" s="4">
        <v>0</v>
      </c>
      <c r="K13" s="38"/>
    </row>
    <row r="14" spans="1:11">
      <c r="A14" s="93">
        <f t="shared" ref="A14" si="0">A13+1</f>
        <v>3</v>
      </c>
      <c r="C14" s="14" t="s">
        <v>148</v>
      </c>
      <c r="G14" s="47">
        <f>SUM(G12:G13)</f>
        <v>-4397744.5157478079</v>
      </c>
      <c r="I14" s="47">
        <v>0</v>
      </c>
      <c r="K14" s="19"/>
    </row>
    <row r="15" spans="1:11">
      <c r="A15" s="93"/>
      <c r="G15" s="19"/>
      <c r="I15" s="19"/>
      <c r="K15" s="13"/>
    </row>
    <row r="16" spans="1:11">
      <c r="A16" s="93"/>
      <c r="C16" s="14" t="s">
        <v>149</v>
      </c>
      <c r="G16" s="19"/>
      <c r="I16" s="19"/>
      <c r="K16" s="13"/>
    </row>
    <row r="17" spans="1:11">
      <c r="A17" s="93">
        <f>A14+1</f>
        <v>4</v>
      </c>
      <c r="C17" s="1" t="s">
        <v>242</v>
      </c>
      <c r="G17" s="4">
        <v>-1356586</v>
      </c>
      <c r="I17" s="4">
        <v>1356586</v>
      </c>
      <c r="K17" s="38"/>
    </row>
    <row r="18" spans="1:11">
      <c r="A18" s="93">
        <f t="shared" ref="A18:A23" si="1">A17+1</f>
        <v>5</v>
      </c>
      <c r="C18" s="1" t="s">
        <v>243</v>
      </c>
      <c r="G18" s="4">
        <v>-607010.62554435001</v>
      </c>
      <c r="I18" s="4">
        <v>607010.62554435001</v>
      </c>
      <c r="K18" s="38"/>
    </row>
    <row r="19" spans="1:11">
      <c r="A19" s="93">
        <f t="shared" si="1"/>
        <v>6</v>
      </c>
      <c r="C19" s="1" t="s">
        <v>185</v>
      </c>
      <c r="G19" s="4">
        <v>-188371.51845763979</v>
      </c>
      <c r="I19" s="4">
        <v>188371.51845763979</v>
      </c>
      <c r="K19" s="38"/>
    </row>
    <row r="20" spans="1:11">
      <c r="A20" s="93">
        <f t="shared" si="1"/>
        <v>7</v>
      </c>
      <c r="C20" s="1" t="s">
        <v>244</v>
      </c>
      <c r="G20" s="4">
        <f>D42</f>
        <v>-870799.19975103147</v>
      </c>
      <c r="I20" s="4">
        <f>I42</f>
        <v>-834425.084021118</v>
      </c>
      <c r="K20" s="38"/>
    </row>
    <row r="21" spans="1:11">
      <c r="A21" s="93">
        <f t="shared" si="1"/>
        <v>8</v>
      </c>
      <c r="C21" s="1" t="s">
        <v>245</v>
      </c>
      <c r="G21" s="4">
        <v>0</v>
      </c>
      <c r="I21" s="4">
        <f t="shared" ref="I21:I22" si="2">-G21</f>
        <v>0</v>
      </c>
      <c r="K21" s="38"/>
    </row>
    <row r="22" spans="1:11">
      <c r="A22" s="93">
        <f t="shared" si="1"/>
        <v>9</v>
      </c>
      <c r="C22" s="1" t="s">
        <v>246</v>
      </c>
      <c r="G22" s="4">
        <v>0</v>
      </c>
      <c r="I22" s="4">
        <f t="shared" si="2"/>
        <v>0</v>
      </c>
      <c r="K22" s="38"/>
    </row>
    <row r="23" spans="1:11">
      <c r="A23" s="93">
        <f t="shared" si="1"/>
        <v>10</v>
      </c>
      <c r="C23" s="14" t="s">
        <v>150</v>
      </c>
      <c r="G23" s="47">
        <f>SUM(G17:G22)</f>
        <v>-3022767.3437530217</v>
      </c>
      <c r="I23" s="47">
        <f>SUM(I17:I22)</f>
        <v>1317543.0599808721</v>
      </c>
      <c r="K23" s="19"/>
    </row>
    <row r="24" spans="1:11">
      <c r="A24" s="93"/>
      <c r="C24" s="14"/>
      <c r="G24" s="14"/>
      <c r="I24" s="14"/>
      <c r="K24" s="13"/>
    </row>
    <row r="25" spans="1:11" ht="13.5" thickBot="1">
      <c r="A25" s="93">
        <f>A23+1</f>
        <v>11</v>
      </c>
      <c r="C25" s="14" t="s">
        <v>83</v>
      </c>
      <c r="G25" s="20">
        <f>G14-G23</f>
        <v>-1374977.1719947862</v>
      </c>
      <c r="I25" s="20">
        <f>I14-I23</f>
        <v>-1317543.0599808721</v>
      </c>
      <c r="K25" s="19"/>
    </row>
    <row r="26" spans="1:11" ht="13.5" thickTop="1">
      <c r="A26" s="93"/>
      <c r="G26" s="4"/>
      <c r="I26" s="4"/>
    </row>
    <row r="28" spans="1:11">
      <c r="A28" s="2" t="s">
        <v>372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>
      <c r="A29" s="1" t="s">
        <v>373</v>
      </c>
    </row>
    <row r="30" spans="1:11">
      <c r="D30" s="93" t="s">
        <v>514</v>
      </c>
      <c r="I30" s="93" t="s">
        <v>514</v>
      </c>
    </row>
    <row r="31" spans="1:11">
      <c r="D31" s="93" t="s">
        <v>515</v>
      </c>
      <c r="I31" s="93" t="s">
        <v>515</v>
      </c>
    </row>
    <row r="32" spans="1:11">
      <c r="A32" s="1" t="s">
        <v>374</v>
      </c>
      <c r="D32" s="221" t="s">
        <v>516</v>
      </c>
      <c r="E32" s="221" t="s">
        <v>15</v>
      </c>
      <c r="I32" s="221" t="s">
        <v>519</v>
      </c>
      <c r="K32" s="221" t="s">
        <v>15</v>
      </c>
    </row>
    <row r="33" spans="1:11">
      <c r="A33" s="93">
        <v>12</v>
      </c>
      <c r="C33" s="1" t="s">
        <v>148</v>
      </c>
      <c r="D33" s="4">
        <v>-4397744.5157478079</v>
      </c>
      <c r="E33" s="93" t="s">
        <v>505</v>
      </c>
    </row>
    <row r="34" spans="1:11">
      <c r="A34" s="93"/>
      <c r="D34" s="4"/>
    </row>
    <row r="35" spans="1:11">
      <c r="A35" s="93">
        <v>13</v>
      </c>
      <c r="C35" s="1" t="s">
        <v>242</v>
      </c>
      <c r="D35" s="4">
        <v>-1356586</v>
      </c>
      <c r="E35" s="93" t="s">
        <v>502</v>
      </c>
      <c r="I35" s="42">
        <f>I17</f>
        <v>1356586</v>
      </c>
      <c r="K35" s="93" t="s">
        <v>502</v>
      </c>
    </row>
    <row r="36" spans="1:11">
      <c r="A36" s="93">
        <v>14</v>
      </c>
      <c r="C36" s="1" t="s">
        <v>243</v>
      </c>
      <c r="D36" s="4">
        <v>-607010.62554435001</v>
      </c>
      <c r="E36" s="93" t="s">
        <v>506</v>
      </c>
      <c r="I36" s="42">
        <f>I18</f>
        <v>607010.62554435001</v>
      </c>
      <c r="K36" s="93" t="s">
        <v>506</v>
      </c>
    </row>
    <row r="37" spans="1:11">
      <c r="A37" s="93">
        <v>15</v>
      </c>
      <c r="C37" s="1" t="s">
        <v>185</v>
      </c>
      <c r="D37" s="45">
        <v>-188371.51845763979</v>
      </c>
      <c r="E37" s="93" t="s">
        <v>507</v>
      </c>
      <c r="I37" s="42">
        <f>I19</f>
        <v>188371.51845763979</v>
      </c>
      <c r="K37" s="93" t="s">
        <v>507</v>
      </c>
    </row>
    <row r="38" spans="1:11">
      <c r="A38" s="93">
        <v>16</v>
      </c>
      <c r="C38" s="1" t="s">
        <v>150</v>
      </c>
      <c r="D38" s="47">
        <f>SUM(D35:D37)</f>
        <v>-2151968.1440019901</v>
      </c>
      <c r="I38" s="89">
        <f>SUM(I35:I37)</f>
        <v>2151968.1440019901</v>
      </c>
    </row>
    <row r="39" spans="1:11">
      <c r="A39" s="93"/>
      <c r="I39" s="13"/>
    </row>
    <row r="40" spans="1:11">
      <c r="A40" s="93">
        <v>17</v>
      </c>
      <c r="C40" s="1" t="s">
        <v>511</v>
      </c>
      <c r="D40" s="42">
        <f>D33-D38</f>
        <v>-2245776.3717458178</v>
      </c>
      <c r="E40" s="93" t="s">
        <v>517</v>
      </c>
      <c r="I40" s="42">
        <f>I38</f>
        <v>2151968.1440019901</v>
      </c>
      <c r="K40" s="93" t="s">
        <v>518</v>
      </c>
    </row>
    <row r="41" spans="1:11">
      <c r="A41" s="93">
        <v>18</v>
      </c>
      <c r="C41" s="1" t="s">
        <v>512</v>
      </c>
      <c r="D41" s="226">
        <v>0.38774973800000001</v>
      </c>
      <c r="E41" s="93" t="s">
        <v>510</v>
      </c>
      <c r="I41" s="226">
        <v>0.38774973800000001</v>
      </c>
      <c r="K41" s="93" t="s">
        <v>510</v>
      </c>
    </row>
    <row r="42" spans="1:11">
      <c r="A42" s="93">
        <v>19</v>
      </c>
      <c r="C42" s="1" t="s">
        <v>513</v>
      </c>
      <c r="D42" s="47">
        <f>D40*D41</f>
        <v>-870799.19975103147</v>
      </c>
      <c r="I42" s="47">
        <f>-I40*I41</f>
        <v>-834425.084021118</v>
      </c>
    </row>
    <row r="43" spans="1:11">
      <c r="A43" s="93"/>
      <c r="D43" s="68"/>
    </row>
    <row r="44" spans="1:11">
      <c r="A44" s="1" t="s">
        <v>520</v>
      </c>
    </row>
  </sheetData>
  <mergeCells count="1">
    <mergeCell ref="C8:E8"/>
  </mergeCells>
  <pageMargins left="1.04" right="0.75" top="1" bottom="0.61" header="0.5" footer="0.5"/>
  <pageSetup scale="90" orientation="landscape" horizontalDpi="1200" verticalDpi="12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SheetLayoutView="90" workbookViewId="0">
      <selection activeCell="E64" sqref="E64"/>
    </sheetView>
  </sheetViews>
  <sheetFormatPr defaultRowHeight="12.75"/>
  <cols>
    <col min="1" max="1" width="4.28515625" style="1" customWidth="1"/>
    <col min="2" max="2" width="1" style="1" customWidth="1"/>
    <col min="3" max="3" width="73.140625" style="1" bestFit="1" customWidth="1"/>
    <col min="4" max="4" width="1.140625" style="1" customWidth="1"/>
    <col min="5" max="5" width="10.42578125" style="1" customWidth="1"/>
    <col min="6" max="6" width="1" style="1" customWidth="1"/>
    <col min="7" max="16384" width="9.140625" style="1"/>
  </cols>
  <sheetData>
    <row r="1" spans="1:7">
      <c r="A1" s="1" t="str">
        <f>Contents!A1</f>
        <v>Louisville Gas and Electric Company</v>
      </c>
      <c r="G1" s="27" t="str">
        <f>Contents!A4</f>
        <v>Exhibit RCS-2</v>
      </c>
    </row>
    <row r="2" spans="1:7">
      <c r="A2" s="1" t="s">
        <v>540</v>
      </c>
      <c r="G2" s="27" t="s">
        <v>225</v>
      </c>
    </row>
    <row r="3" spans="1:7">
      <c r="G3" s="27" t="str">
        <f>Contents!A2</f>
        <v>Case No. 2016-00371</v>
      </c>
    </row>
    <row r="4" spans="1:7">
      <c r="A4" s="1" t="s">
        <v>287</v>
      </c>
      <c r="G4" s="27" t="s">
        <v>37</v>
      </c>
    </row>
    <row r="6" spans="1:7">
      <c r="A6" s="93" t="s">
        <v>0</v>
      </c>
      <c r="E6" s="93"/>
      <c r="F6" s="93"/>
      <c r="G6" s="93"/>
    </row>
    <row r="7" spans="1:7">
      <c r="A7" s="221" t="s">
        <v>2</v>
      </c>
      <c r="C7" s="2" t="s">
        <v>3</v>
      </c>
      <c r="E7" s="221" t="s">
        <v>16</v>
      </c>
      <c r="F7" s="93"/>
      <c r="G7" s="221" t="s">
        <v>15</v>
      </c>
    </row>
    <row r="8" spans="1:7">
      <c r="E8" s="93" t="s">
        <v>6</v>
      </c>
    </row>
    <row r="10" spans="1:7" ht="13.5" thickBot="1">
      <c r="A10" s="93">
        <v>1</v>
      </c>
      <c r="C10" s="1" t="s">
        <v>561</v>
      </c>
      <c r="E10" s="20">
        <f>E21</f>
        <v>-5702.8086666669988</v>
      </c>
      <c r="G10" s="93" t="s">
        <v>43</v>
      </c>
    </row>
    <row r="11" spans="1:7" ht="13.5" thickTop="1"/>
    <row r="13" spans="1:7">
      <c r="A13" s="2" t="s">
        <v>9</v>
      </c>
      <c r="B13" s="2"/>
      <c r="C13" s="2"/>
      <c r="D13" s="2"/>
      <c r="E13" s="2"/>
      <c r="F13" s="2"/>
      <c r="G13" s="2"/>
    </row>
    <row r="14" spans="1:7">
      <c r="A14" s="1" t="s">
        <v>562</v>
      </c>
    </row>
    <row r="16" spans="1:7">
      <c r="C16" s="2" t="s">
        <v>3</v>
      </c>
      <c r="E16" s="221" t="s">
        <v>16</v>
      </c>
    </row>
    <row r="17" spans="1:5">
      <c r="A17" s="93">
        <v>2</v>
      </c>
      <c r="C17" s="1" t="s">
        <v>563</v>
      </c>
      <c r="E17" s="4">
        <v>373129.89199999999</v>
      </c>
    </row>
    <row r="18" spans="1:5">
      <c r="A18" s="93">
        <v>3</v>
      </c>
      <c r="C18" s="1" t="s">
        <v>564</v>
      </c>
      <c r="E18" s="237">
        <v>2</v>
      </c>
    </row>
    <row r="19" spans="1:5">
      <c r="A19" s="93">
        <v>4</v>
      </c>
      <c r="C19" s="1" t="s">
        <v>565</v>
      </c>
      <c r="E19" s="4">
        <f>E17/E18</f>
        <v>186564.946</v>
      </c>
    </row>
    <row r="20" spans="1:5">
      <c r="A20" s="93">
        <v>5</v>
      </c>
      <c r="C20" s="1" t="s">
        <v>566</v>
      </c>
      <c r="E20" s="4">
        <v>192267.754666667</v>
      </c>
    </row>
    <row r="21" spans="1:5" ht="13.5" thickBot="1">
      <c r="A21" s="93">
        <v>6</v>
      </c>
      <c r="C21" s="1" t="s">
        <v>561</v>
      </c>
      <c r="E21" s="18">
        <f>E19-E20</f>
        <v>-5702.8086666669988</v>
      </c>
    </row>
    <row r="22" spans="1:5" ht="13.5" thickTop="1"/>
  </sheetData>
  <pageMargins left="0.7" right="0.7" top="0.75" bottom="0.75" header="0.3" footer="0.3"/>
  <pageSetup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workbookViewId="0">
      <selection activeCell="E64" sqref="E64"/>
    </sheetView>
  </sheetViews>
  <sheetFormatPr defaultRowHeight="12.75"/>
  <cols>
    <col min="1" max="1" width="6.140625" style="1" customWidth="1"/>
    <col min="2" max="2" width="1.140625" style="1" customWidth="1"/>
    <col min="3" max="3" width="37.28515625" style="1" customWidth="1"/>
    <col min="4" max="4" width="2.85546875" style="1" customWidth="1"/>
    <col min="5" max="5" width="10" style="1" bestFit="1" customWidth="1"/>
    <col min="6" max="6" width="0.85546875" style="1" customWidth="1"/>
    <col min="7" max="7" width="15.140625" style="1" bestFit="1" customWidth="1"/>
    <col min="8" max="8" width="0.85546875" style="1" customWidth="1"/>
    <col min="9" max="9" width="16.85546875" style="1" bestFit="1" customWidth="1"/>
    <col min="10" max="10" width="4" style="1" customWidth="1"/>
    <col min="11" max="11" width="15" style="1" customWidth="1"/>
    <col min="12" max="12" width="3.42578125" style="1" customWidth="1"/>
    <col min="13" max="13" width="13.85546875" style="1" customWidth="1"/>
    <col min="14" max="14" width="3.42578125" style="1" customWidth="1"/>
    <col min="15" max="15" width="14.5703125" style="1" customWidth="1"/>
    <col min="16" max="16" width="4" style="1" customWidth="1"/>
    <col min="17" max="16384" width="9.140625" style="1"/>
  </cols>
  <sheetData>
    <row r="1" spans="1:16">
      <c r="A1" s="1" t="str">
        <f>Contents!A1</f>
        <v>Louisville Gas and Electric Company</v>
      </c>
      <c r="O1" s="27" t="str">
        <f>A!K1</f>
        <v>Exhibit RCS-2</v>
      </c>
    </row>
    <row r="2" spans="1:16">
      <c r="A2" s="1" t="s">
        <v>59</v>
      </c>
      <c r="O2" s="27" t="s">
        <v>99</v>
      </c>
    </row>
    <row r="3" spans="1:16">
      <c r="O3" s="27" t="str">
        <f>'Ap2'!$M$3</f>
        <v>Case No. 2016-00371</v>
      </c>
    </row>
    <row r="4" spans="1:16">
      <c r="A4" s="1" t="s">
        <v>287</v>
      </c>
      <c r="O4" s="27" t="s">
        <v>37</v>
      </c>
    </row>
    <row r="7" spans="1:16">
      <c r="A7" s="3" t="s">
        <v>0</v>
      </c>
      <c r="I7" s="246" t="s">
        <v>47</v>
      </c>
      <c r="J7" s="246"/>
      <c r="K7" s="246"/>
      <c r="M7" s="246" t="s">
        <v>153</v>
      </c>
      <c r="N7" s="246"/>
      <c r="O7" s="246"/>
    </row>
    <row r="8" spans="1:16">
      <c r="A8" s="11" t="s">
        <v>2</v>
      </c>
      <c r="C8" s="2" t="s">
        <v>3</v>
      </c>
      <c r="D8" s="13"/>
      <c r="E8" s="11" t="s">
        <v>15</v>
      </c>
      <c r="F8" s="13"/>
      <c r="G8" s="11" t="s">
        <v>60</v>
      </c>
      <c r="I8" s="11" t="s">
        <v>289</v>
      </c>
      <c r="K8" s="11" t="s">
        <v>288</v>
      </c>
      <c r="M8" s="142" t="s">
        <v>289</v>
      </c>
      <c r="N8" s="93"/>
      <c r="O8" s="142" t="s">
        <v>288</v>
      </c>
    </row>
    <row r="9" spans="1:16">
      <c r="A9" s="3"/>
      <c r="I9" s="3" t="s">
        <v>6</v>
      </c>
      <c r="K9" s="93" t="s">
        <v>7</v>
      </c>
      <c r="M9" s="93" t="s">
        <v>18</v>
      </c>
      <c r="N9" s="93"/>
      <c r="O9" s="93" t="s">
        <v>38</v>
      </c>
    </row>
    <row r="10" spans="1:16">
      <c r="A10" s="3"/>
    </row>
    <row r="11" spans="1:16">
      <c r="A11" s="3">
        <v>1</v>
      </c>
      <c r="C11" s="1" t="s">
        <v>61</v>
      </c>
      <c r="I11" s="81">
        <v>1</v>
      </c>
      <c r="K11" s="81">
        <v>1</v>
      </c>
      <c r="M11" s="81">
        <f>I11</f>
        <v>1</v>
      </c>
      <c r="O11" s="81">
        <f>K11</f>
        <v>1</v>
      </c>
    </row>
    <row r="12" spans="1:16">
      <c r="A12" s="3">
        <f>A11+1</f>
        <v>2</v>
      </c>
      <c r="C12" s="1" t="s">
        <v>248</v>
      </c>
      <c r="E12" s="116" t="s">
        <v>151</v>
      </c>
      <c r="G12" s="90"/>
      <c r="I12" s="129">
        <v>2.2599999999999999E-3</v>
      </c>
      <c r="K12" s="81">
        <f>I12</f>
        <v>2.2599999999999999E-3</v>
      </c>
      <c r="M12" s="81">
        <f>'C-5'!G28</f>
        <v>1.9400000000000001E-3</v>
      </c>
      <c r="N12" s="1" t="s">
        <v>537</v>
      </c>
      <c r="O12" s="81">
        <f>M12</f>
        <v>1.9400000000000001E-3</v>
      </c>
      <c r="P12" s="1" t="s">
        <v>537</v>
      </c>
    </row>
    <row r="13" spans="1:16">
      <c r="A13" s="88">
        <f t="shared" ref="A13:A20" si="0">A12+1</f>
        <v>3</v>
      </c>
      <c r="C13" s="1" t="s">
        <v>249</v>
      </c>
      <c r="E13" s="93" t="s">
        <v>151</v>
      </c>
      <c r="G13" s="90"/>
      <c r="I13" s="129">
        <v>1.941E-3</v>
      </c>
      <c r="K13" s="81">
        <f>I13</f>
        <v>1.941E-3</v>
      </c>
      <c r="M13" s="81">
        <f>I13</f>
        <v>1.941E-3</v>
      </c>
      <c r="O13" s="81">
        <f>K13</f>
        <v>1.941E-3</v>
      </c>
    </row>
    <row r="14" spans="1:16">
      <c r="A14" s="93">
        <f t="shared" si="0"/>
        <v>4</v>
      </c>
      <c r="C14" s="1" t="s">
        <v>250</v>
      </c>
      <c r="E14" s="93"/>
      <c r="G14" s="90"/>
      <c r="I14" s="129">
        <v>2.5014000000000002E-2</v>
      </c>
      <c r="K14" s="81"/>
      <c r="M14" s="81">
        <f>I14</f>
        <v>2.5014000000000002E-2</v>
      </c>
      <c r="O14" s="81"/>
    </row>
    <row r="15" spans="1:16">
      <c r="A15" s="93">
        <f t="shared" si="0"/>
        <v>5</v>
      </c>
      <c r="C15" s="1" t="s">
        <v>110</v>
      </c>
      <c r="E15" s="93"/>
      <c r="I15" s="131">
        <f>I11-I12-I13-I14</f>
        <v>0.97078500000000001</v>
      </c>
      <c r="K15" s="131">
        <f>K11-K12-K13-K14</f>
        <v>0.99579899999999999</v>
      </c>
      <c r="M15" s="145">
        <f>M11-M12-M13-M14</f>
        <v>0.971105</v>
      </c>
      <c r="O15" s="131">
        <f>O11-O12-O13-O14</f>
        <v>0.99611899999999998</v>
      </c>
    </row>
    <row r="16" spans="1:16" ht="13.5" thickBot="1">
      <c r="A16" s="88">
        <f t="shared" si="0"/>
        <v>6</v>
      </c>
      <c r="C16" s="1" t="s">
        <v>62</v>
      </c>
      <c r="E16" s="93" t="s">
        <v>151</v>
      </c>
      <c r="G16" s="94">
        <v>0.06</v>
      </c>
      <c r="I16" s="143">
        <f>I15*G16</f>
        <v>5.8247099999999996E-2</v>
      </c>
      <c r="K16" s="81">
        <f>I16</f>
        <v>5.8247099999999996E-2</v>
      </c>
      <c r="M16" s="143">
        <f>M15*G16</f>
        <v>5.82663E-2</v>
      </c>
      <c r="O16" s="81">
        <f>M16</f>
        <v>5.82663E-2</v>
      </c>
    </row>
    <row r="17" spans="1:15" ht="13.5" thickTop="1">
      <c r="A17" s="93">
        <f t="shared" si="0"/>
        <v>7</v>
      </c>
      <c r="C17" s="1" t="s">
        <v>251</v>
      </c>
      <c r="E17" s="93"/>
      <c r="G17" s="94"/>
      <c r="I17" s="26"/>
      <c r="K17" s="81"/>
      <c r="M17" s="81"/>
      <c r="O17" s="130"/>
    </row>
    <row r="18" spans="1:15">
      <c r="A18" s="93">
        <f t="shared" si="0"/>
        <v>8</v>
      </c>
      <c r="C18" s="1" t="s">
        <v>63</v>
      </c>
      <c r="E18" s="93"/>
      <c r="G18" s="3"/>
      <c r="I18" s="26"/>
      <c r="K18" s="131">
        <f>K15-K16-K17</f>
        <v>0.93755189999999999</v>
      </c>
      <c r="M18" s="81"/>
      <c r="O18" s="81">
        <f>O15-O16</f>
        <v>0.93785269999999998</v>
      </c>
    </row>
    <row r="19" spans="1:15">
      <c r="A19" s="88">
        <f t="shared" si="0"/>
        <v>9</v>
      </c>
      <c r="C19" s="1" t="s">
        <v>64</v>
      </c>
      <c r="E19" s="93" t="s">
        <v>151</v>
      </c>
      <c r="G19" s="17">
        <v>0.35</v>
      </c>
      <c r="I19" s="26"/>
      <c r="K19" s="81">
        <f>K18*G19</f>
        <v>0.32814316499999996</v>
      </c>
      <c r="M19" s="81"/>
      <c r="O19" s="81">
        <f>O18*G19</f>
        <v>0.328248445</v>
      </c>
    </row>
    <row r="20" spans="1:15" ht="13.5" thickBot="1">
      <c r="A20" s="88">
        <f t="shared" si="0"/>
        <v>10</v>
      </c>
      <c r="C20" s="1" t="s">
        <v>65</v>
      </c>
      <c r="E20" s="93"/>
      <c r="I20" s="26"/>
      <c r="K20" s="143">
        <f>K18-K19</f>
        <v>0.60940873500000003</v>
      </c>
      <c r="M20" s="81"/>
      <c r="O20" s="143">
        <f>O18-O19</f>
        <v>0.60960425500000004</v>
      </c>
    </row>
    <row r="21" spans="1:15" ht="13.5" thickTop="1">
      <c r="A21" s="3"/>
      <c r="E21" s="93"/>
      <c r="G21" s="5"/>
      <c r="I21" s="26"/>
      <c r="K21" s="81"/>
      <c r="M21" s="81"/>
      <c r="O21" s="81"/>
    </row>
    <row r="22" spans="1:15" ht="13.5" thickBot="1">
      <c r="A22" s="3">
        <f>A20+1</f>
        <v>11</v>
      </c>
      <c r="C22" s="1" t="s">
        <v>59</v>
      </c>
      <c r="E22" s="93" t="s">
        <v>151</v>
      </c>
      <c r="G22" s="26"/>
      <c r="I22" s="26"/>
      <c r="K22" s="144">
        <f>K11/K20</f>
        <v>1.6409347988751752</v>
      </c>
      <c r="L22" s="92"/>
      <c r="M22" s="81"/>
      <c r="O22" s="144">
        <f>O11/O20</f>
        <v>1.6404084974767768</v>
      </c>
    </row>
    <row r="23" spans="1:15" ht="13.5" thickTop="1">
      <c r="I23" s="68"/>
      <c r="K23" s="81"/>
      <c r="O23" s="81"/>
    </row>
    <row r="24" spans="1:15">
      <c r="A24" s="2" t="s">
        <v>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>
      <c r="A25" s="12" t="s">
        <v>152</v>
      </c>
      <c r="B25" s="13"/>
      <c r="C25" s="1" t="s">
        <v>280</v>
      </c>
      <c r="D25" s="13"/>
      <c r="E25" s="13"/>
      <c r="F25" s="13"/>
      <c r="G25" s="13"/>
      <c r="H25" s="13"/>
      <c r="I25" s="13"/>
    </row>
    <row r="26" spans="1:15">
      <c r="A26" s="93" t="s">
        <v>537</v>
      </c>
      <c r="C26" s="1" t="s">
        <v>206</v>
      </c>
    </row>
    <row r="27" spans="1:15">
      <c r="A27" s="13"/>
      <c r="B27" s="13"/>
      <c r="C27" s="13"/>
      <c r="D27" s="13"/>
      <c r="E27" s="13"/>
      <c r="F27" s="13"/>
      <c r="G27" s="13"/>
      <c r="H27" s="13"/>
      <c r="I27" s="13"/>
    </row>
    <row r="28" spans="1:15" ht="13.5" thickBot="1">
      <c r="A28" s="12">
        <f>A22+1</f>
        <v>12</v>
      </c>
      <c r="B28" s="13"/>
      <c r="C28" s="1" t="s">
        <v>114</v>
      </c>
      <c r="G28" s="39"/>
      <c r="I28" s="69">
        <v>0.38774999999999998</v>
      </c>
      <c r="K28" s="123" t="s">
        <v>290</v>
      </c>
    </row>
    <row r="29" spans="1:15" ht="13.5" thickTop="1">
      <c r="A29" s="70"/>
      <c r="B29" s="13"/>
      <c r="I29" s="68"/>
    </row>
    <row r="30" spans="1:15">
      <c r="C30" s="14" t="s">
        <v>161</v>
      </c>
      <c r="E30" s="49"/>
      <c r="F30" s="13"/>
      <c r="G30" s="13"/>
      <c r="H30" s="13"/>
      <c r="I30" s="13"/>
      <c r="J30" s="13"/>
      <c r="K30" s="13"/>
    </row>
    <row r="31" spans="1:15">
      <c r="C31" s="14"/>
      <c r="E31" s="85" t="s">
        <v>156</v>
      </c>
      <c r="F31" s="12"/>
      <c r="G31" s="11" t="s">
        <v>153</v>
      </c>
      <c r="H31" s="12"/>
      <c r="J31" s="13"/>
      <c r="K31" s="13"/>
    </row>
    <row r="32" spans="1:15">
      <c r="C32" s="14"/>
      <c r="E32" s="40"/>
      <c r="F32" s="12"/>
      <c r="G32" s="11"/>
      <c r="H32" s="12"/>
      <c r="J32" s="13"/>
      <c r="K32" s="13"/>
    </row>
    <row r="33" spans="1:11">
      <c r="A33" s="3">
        <f>A28+1</f>
        <v>13</v>
      </c>
      <c r="C33" s="1" t="s">
        <v>164</v>
      </c>
      <c r="F33" s="13"/>
      <c r="G33" s="45">
        <f>A!I16</f>
        <v>2079166.6961584864</v>
      </c>
      <c r="H33" s="13"/>
      <c r="J33" s="13"/>
      <c r="K33" s="13"/>
    </row>
    <row r="34" spans="1:11">
      <c r="A34" s="3"/>
      <c r="C34" s="1" t="s">
        <v>165</v>
      </c>
      <c r="F34" s="13"/>
      <c r="G34" s="4"/>
      <c r="H34" s="13"/>
      <c r="J34" s="13"/>
      <c r="K34" s="13"/>
    </row>
    <row r="35" spans="1:11">
      <c r="A35" s="12">
        <f>A33+1</f>
        <v>14</v>
      </c>
      <c r="B35" s="13"/>
      <c r="C35" s="13" t="str">
        <f>C12</f>
        <v>Less: Uncollectible Accounts Expense</v>
      </c>
      <c r="D35" s="13"/>
      <c r="E35" s="146">
        <f>O12</f>
        <v>1.9400000000000001E-3</v>
      </c>
      <c r="F35" s="13"/>
      <c r="G35" s="4">
        <f>ROUND($G$33*E35,0)</f>
        <v>4034</v>
      </c>
      <c r="H35" s="13"/>
      <c r="J35" s="13"/>
      <c r="K35" s="13"/>
    </row>
    <row r="36" spans="1:11">
      <c r="A36" s="91">
        <f t="shared" ref="A36:A40" si="1">A35+1</f>
        <v>15</v>
      </c>
      <c r="B36" s="13"/>
      <c r="C36" s="1" t="s">
        <v>484</v>
      </c>
      <c r="D36" s="13"/>
      <c r="E36" s="146">
        <f>O13</f>
        <v>1.941E-3</v>
      </c>
      <c r="F36" s="13"/>
      <c r="G36" s="4">
        <f>ROUND($G$33*E36,0)</f>
        <v>4036</v>
      </c>
      <c r="H36" s="13"/>
      <c r="J36" s="13"/>
      <c r="K36" s="13"/>
    </row>
    <row r="37" spans="1:11">
      <c r="A37" s="91">
        <f t="shared" si="1"/>
        <v>16</v>
      </c>
      <c r="C37" s="1" t="s">
        <v>112</v>
      </c>
      <c r="E37" s="147">
        <f>O16</f>
        <v>5.82663E-2</v>
      </c>
      <c r="G37" s="4">
        <f>ROUND($G$33*E37,0)</f>
        <v>121145</v>
      </c>
    </row>
    <row r="38" spans="1:11">
      <c r="A38" s="3">
        <f t="shared" si="1"/>
        <v>17</v>
      </c>
      <c r="C38" s="1" t="s">
        <v>113</v>
      </c>
      <c r="E38" s="147">
        <f>O19</f>
        <v>0.328248445</v>
      </c>
      <c r="G38" s="4">
        <f>ROUND($G$33*E38,0)</f>
        <v>682483</v>
      </c>
    </row>
    <row r="39" spans="1:11">
      <c r="A39" s="91">
        <f t="shared" si="1"/>
        <v>18</v>
      </c>
      <c r="C39" s="1" t="s">
        <v>83</v>
      </c>
      <c r="E39" s="147">
        <f>O20</f>
        <v>0.60960425500000004</v>
      </c>
      <c r="G39" s="4">
        <f>ROUND($G$33*E39,0)</f>
        <v>1267469</v>
      </c>
    </row>
    <row r="40" spans="1:11" ht="13.5" thickBot="1">
      <c r="A40" s="3">
        <f t="shared" si="1"/>
        <v>19</v>
      </c>
      <c r="C40" s="1" t="s">
        <v>167</v>
      </c>
      <c r="E40" s="148">
        <f>SUM(E35:E39)</f>
        <v>1</v>
      </c>
      <c r="G40" s="43">
        <f>SUM(G35:G39)</f>
        <v>2079167</v>
      </c>
    </row>
    <row r="41" spans="1:11" ht="13.5" thickTop="1"/>
    <row r="42" spans="1:11">
      <c r="A42"/>
      <c r="B42"/>
      <c r="C42"/>
      <c r="D42"/>
      <c r="E42"/>
      <c r="F42"/>
      <c r="G42"/>
      <c r="H42"/>
      <c r="I42"/>
      <c r="J42"/>
    </row>
    <row r="43" spans="1:11">
      <c r="A43"/>
      <c r="B43"/>
      <c r="C43"/>
      <c r="D43"/>
      <c r="E43"/>
      <c r="F43"/>
      <c r="G43"/>
      <c r="H43"/>
      <c r="I43"/>
      <c r="J43"/>
    </row>
    <row r="44" spans="1:11">
      <c r="A44"/>
      <c r="B44"/>
      <c r="C44"/>
      <c r="D44"/>
      <c r="E44"/>
      <c r="F44"/>
      <c r="G44"/>
      <c r="H44"/>
      <c r="I44"/>
      <c r="J44"/>
    </row>
    <row r="45" spans="1:11">
      <c r="A45"/>
      <c r="B45"/>
      <c r="C45"/>
      <c r="D45"/>
      <c r="E45"/>
      <c r="F45"/>
      <c r="G45"/>
      <c r="H45"/>
      <c r="I45"/>
      <c r="J45"/>
    </row>
    <row r="46" spans="1:11">
      <c r="A46"/>
      <c r="B46"/>
      <c r="C46"/>
      <c r="D46"/>
      <c r="E46"/>
      <c r="F46"/>
      <c r="G46"/>
      <c r="H46"/>
      <c r="I46"/>
      <c r="J46"/>
    </row>
    <row r="47" spans="1:11">
      <c r="A47"/>
      <c r="B47"/>
      <c r="C47"/>
      <c r="D47"/>
      <c r="E47"/>
      <c r="F47"/>
      <c r="G47"/>
      <c r="H47"/>
      <c r="I47"/>
      <c r="J47"/>
    </row>
    <row r="48" spans="1:11">
      <c r="A48"/>
      <c r="B48"/>
      <c r="C48"/>
      <c r="D48"/>
      <c r="E48"/>
      <c r="F48"/>
      <c r="G48"/>
      <c r="H48"/>
      <c r="I48"/>
      <c r="J48"/>
    </row>
    <row r="49" spans="1:10">
      <c r="A49"/>
      <c r="B49"/>
      <c r="C49"/>
      <c r="D49"/>
      <c r="E49"/>
      <c r="F49"/>
      <c r="G49"/>
      <c r="H49"/>
      <c r="I49"/>
      <c r="J49"/>
    </row>
    <row r="50" spans="1:10">
      <c r="A50"/>
      <c r="B50"/>
      <c r="C50"/>
      <c r="D50"/>
      <c r="E50"/>
      <c r="F50"/>
      <c r="G50"/>
      <c r="H50"/>
      <c r="I50"/>
      <c r="J50"/>
    </row>
    <row r="51" spans="1:10">
      <c r="A51"/>
      <c r="B51"/>
      <c r="C51"/>
      <c r="D51"/>
      <c r="E51"/>
      <c r="F51"/>
      <c r="G51"/>
      <c r="H51"/>
      <c r="I51"/>
      <c r="J51"/>
    </row>
    <row r="52" spans="1:10">
      <c r="A52"/>
      <c r="B52"/>
      <c r="C52"/>
      <c r="D52"/>
      <c r="E52"/>
      <c r="F52"/>
      <c r="G52"/>
      <c r="H52"/>
      <c r="I52"/>
      <c r="J52"/>
    </row>
    <row r="53" spans="1:10">
      <c r="A53"/>
      <c r="B53"/>
      <c r="C53"/>
      <c r="D53"/>
      <c r="E53"/>
      <c r="F53"/>
      <c r="G53"/>
      <c r="H53"/>
      <c r="I53"/>
      <c r="J53"/>
    </row>
    <row r="54" spans="1:10">
      <c r="A54"/>
      <c r="B54"/>
      <c r="C54"/>
      <c r="D54"/>
      <c r="E54"/>
      <c r="F54"/>
      <c r="G54"/>
      <c r="H54"/>
      <c r="I54"/>
      <c r="J54"/>
    </row>
    <row r="55" spans="1:10">
      <c r="A55"/>
      <c r="B55"/>
      <c r="C55"/>
      <c r="D55"/>
      <c r="E55"/>
      <c r="F55"/>
      <c r="G55"/>
      <c r="H55"/>
      <c r="I55"/>
      <c r="J55"/>
    </row>
    <row r="56" spans="1:10">
      <c r="A56"/>
      <c r="B56"/>
      <c r="C56"/>
      <c r="D56"/>
      <c r="E56"/>
      <c r="F56"/>
      <c r="G56"/>
      <c r="H56"/>
      <c r="I56"/>
      <c r="J56"/>
    </row>
    <row r="57" spans="1:10">
      <c r="A57"/>
      <c r="B57"/>
      <c r="C57"/>
      <c r="D57"/>
      <c r="E57"/>
      <c r="F57"/>
      <c r="G57"/>
      <c r="H57"/>
      <c r="I57"/>
      <c r="J57"/>
    </row>
    <row r="58" spans="1:10">
      <c r="A58"/>
      <c r="B58"/>
      <c r="C58"/>
      <c r="D58"/>
      <c r="E58"/>
      <c r="F58"/>
      <c r="G58"/>
      <c r="H58"/>
      <c r="I58"/>
      <c r="J58"/>
    </row>
    <row r="59" spans="1:10">
      <c r="A59"/>
      <c r="B59"/>
      <c r="C59"/>
      <c r="D59"/>
      <c r="E59"/>
      <c r="F59"/>
      <c r="G59"/>
      <c r="H59"/>
      <c r="I59"/>
      <c r="J59"/>
    </row>
    <row r="60" spans="1:10">
      <c r="A60"/>
      <c r="B60"/>
      <c r="C60"/>
      <c r="D60"/>
      <c r="E60"/>
      <c r="F60"/>
      <c r="G60"/>
      <c r="H60"/>
      <c r="I60"/>
      <c r="J60"/>
    </row>
    <row r="61" spans="1:10">
      <c r="A61"/>
      <c r="B61"/>
      <c r="C61"/>
      <c r="D61"/>
      <c r="E61"/>
      <c r="F61"/>
      <c r="G61"/>
      <c r="H61"/>
      <c r="I61"/>
      <c r="J61"/>
    </row>
    <row r="62" spans="1:10">
      <c r="A62"/>
      <c r="B62"/>
      <c r="C62"/>
      <c r="D62"/>
      <c r="E62"/>
      <c r="F62"/>
      <c r="G62"/>
      <c r="H62"/>
      <c r="I62"/>
      <c r="J62"/>
    </row>
    <row r="63" spans="1:10">
      <c r="A63"/>
      <c r="B63"/>
      <c r="C63"/>
      <c r="D63"/>
      <c r="E63"/>
      <c r="F63"/>
      <c r="G63"/>
      <c r="H63"/>
      <c r="I63"/>
      <c r="J63"/>
    </row>
    <row r="64" spans="1:10">
      <c r="A64"/>
      <c r="B64"/>
      <c r="C64"/>
      <c r="D64"/>
      <c r="E64"/>
      <c r="F64"/>
      <c r="G64"/>
      <c r="H64"/>
      <c r="I64"/>
      <c r="J64"/>
    </row>
    <row r="65" spans="1:10">
      <c r="A65"/>
      <c r="B65"/>
      <c r="C65"/>
      <c r="D65"/>
      <c r="E65"/>
      <c r="F65"/>
      <c r="G65"/>
      <c r="H65"/>
      <c r="I65"/>
      <c r="J65"/>
    </row>
    <row r="66" spans="1:10">
      <c r="A66"/>
      <c r="B66"/>
      <c r="C66"/>
      <c r="D66"/>
      <c r="E66"/>
      <c r="F66"/>
      <c r="G66"/>
      <c r="H66"/>
      <c r="I66"/>
      <c r="J66"/>
    </row>
    <row r="67" spans="1:10">
      <c r="A67"/>
      <c r="B67"/>
      <c r="C67"/>
      <c r="D67"/>
      <c r="E67"/>
      <c r="F67"/>
      <c r="G67"/>
      <c r="H67"/>
      <c r="I67"/>
      <c r="J67"/>
    </row>
    <row r="68" spans="1:10">
      <c r="A68"/>
      <c r="B68"/>
      <c r="C68"/>
      <c r="D68"/>
      <c r="E68"/>
      <c r="F68"/>
      <c r="G68"/>
      <c r="H68"/>
      <c r="I68"/>
      <c r="J68"/>
    </row>
    <row r="69" spans="1:10">
      <c r="A69"/>
      <c r="B69"/>
      <c r="C69"/>
      <c r="D69"/>
      <c r="E69"/>
      <c r="F69"/>
      <c r="G69"/>
      <c r="H69"/>
      <c r="I69"/>
      <c r="J69"/>
    </row>
    <row r="70" spans="1:10">
      <c r="A70"/>
      <c r="B70"/>
      <c r="C70"/>
      <c r="D70"/>
      <c r="E70"/>
      <c r="F70"/>
      <c r="G70"/>
      <c r="H70"/>
      <c r="I70"/>
      <c r="J70"/>
    </row>
    <row r="71" spans="1:10">
      <c r="A71"/>
      <c r="B71"/>
      <c r="C71"/>
      <c r="D71"/>
      <c r="E71"/>
      <c r="F71"/>
      <c r="G71"/>
      <c r="H71"/>
      <c r="I71"/>
      <c r="J71"/>
    </row>
    <row r="72" spans="1:10">
      <c r="A72"/>
      <c r="B72"/>
      <c r="C72"/>
      <c r="D72"/>
      <c r="E72"/>
      <c r="F72"/>
      <c r="G72"/>
      <c r="H72"/>
      <c r="I72"/>
      <c r="J72"/>
    </row>
  </sheetData>
  <mergeCells count="2">
    <mergeCell ref="I7:K7"/>
    <mergeCell ref="M7:O7"/>
  </mergeCells>
  <pageMargins left="0.75" right="0.75" top="0.56999999999999995" bottom="0.36" header="0.5" footer="0.27"/>
  <pageSetup scale="81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>
      <selection activeCell="L30" sqref="L30"/>
    </sheetView>
  </sheetViews>
  <sheetFormatPr defaultRowHeight="12.75"/>
  <cols>
    <col min="1" max="1" width="4.42578125" style="1" customWidth="1"/>
    <col min="2" max="2" width="1" style="1" customWidth="1"/>
    <col min="3" max="3" width="44.28515625" style="1" customWidth="1"/>
    <col min="4" max="4" width="1" style="1" customWidth="1"/>
    <col min="5" max="5" width="16.85546875" style="1" bestFit="1" customWidth="1"/>
    <col min="6" max="6" width="1" style="1" customWidth="1"/>
    <col min="7" max="7" width="15.140625" style="1" bestFit="1" customWidth="1"/>
    <col min="8" max="8" width="1.42578125" style="1" customWidth="1"/>
    <col min="9" max="9" width="16.7109375" style="1" bestFit="1" customWidth="1"/>
    <col min="10" max="10" width="9.140625" style="1"/>
    <col min="11" max="11" width="11.5703125" style="1" bestFit="1" customWidth="1"/>
    <col min="12" max="16384" width="9.140625" style="1"/>
  </cols>
  <sheetData>
    <row r="1" spans="1:11">
      <c r="A1" s="1" t="str">
        <f>A!$A$1</f>
        <v>Louisville Gas and Electric Company</v>
      </c>
      <c r="G1" s="10"/>
      <c r="I1" s="27" t="str">
        <f>Contents!A4</f>
        <v>Exhibit RCS-2</v>
      </c>
    </row>
    <row r="2" spans="1:11">
      <c r="A2" s="1" t="s">
        <v>31</v>
      </c>
      <c r="G2" s="10"/>
      <c r="I2" s="27" t="s">
        <v>98</v>
      </c>
    </row>
    <row r="3" spans="1:11">
      <c r="G3" s="10"/>
      <c r="I3" s="27" t="str">
        <f>A!K3</f>
        <v>Case No. 2016-00371</v>
      </c>
    </row>
    <row r="4" spans="1:11">
      <c r="A4" s="1" t="s">
        <v>287</v>
      </c>
      <c r="B4" s="64"/>
      <c r="C4" s="64"/>
      <c r="D4" s="64"/>
      <c r="E4" s="64"/>
      <c r="F4" s="12"/>
      <c r="G4" s="10"/>
      <c r="I4" s="27" t="s">
        <v>37</v>
      </c>
    </row>
    <row r="7" spans="1:11">
      <c r="A7" s="93" t="s">
        <v>0</v>
      </c>
      <c r="E7" s="93" t="s">
        <v>45</v>
      </c>
      <c r="G7" s="93" t="s">
        <v>155</v>
      </c>
      <c r="I7" s="93" t="s">
        <v>155</v>
      </c>
    </row>
    <row r="8" spans="1:11">
      <c r="A8" s="11" t="s">
        <v>2</v>
      </c>
      <c r="C8" s="2" t="s">
        <v>3</v>
      </c>
      <c r="E8" s="11" t="s">
        <v>1</v>
      </c>
      <c r="F8" s="93"/>
      <c r="G8" s="11" t="s">
        <v>4</v>
      </c>
      <c r="I8" s="11" t="s">
        <v>1</v>
      </c>
    </row>
    <row r="9" spans="1:11">
      <c r="A9" s="93"/>
      <c r="C9" s="1" t="s">
        <v>186</v>
      </c>
      <c r="E9" s="93" t="s">
        <v>6</v>
      </c>
      <c r="G9" s="93" t="s">
        <v>7</v>
      </c>
      <c r="I9" s="93" t="s">
        <v>18</v>
      </c>
    </row>
    <row r="10" spans="1:11">
      <c r="A10" s="93"/>
      <c r="C10" s="1" t="s">
        <v>291</v>
      </c>
      <c r="E10" s="4"/>
      <c r="G10" s="93"/>
    </row>
    <row r="11" spans="1:11">
      <c r="A11" s="93">
        <v>1</v>
      </c>
      <c r="C11" s="1" t="s">
        <v>258</v>
      </c>
      <c r="E11" s="4">
        <f>1269519494-24905873</f>
        <v>1244613621</v>
      </c>
      <c r="G11" s="16">
        <f>B.1!E10</f>
        <v>20455562.886675742</v>
      </c>
      <c r="I11" s="42">
        <f>E11+G11</f>
        <v>1265069183.8866758</v>
      </c>
    </row>
    <row r="13" spans="1:11">
      <c r="A13" s="93"/>
      <c r="C13" s="1" t="s">
        <v>259</v>
      </c>
      <c r="E13" s="4"/>
      <c r="G13" s="93"/>
    </row>
    <row r="14" spans="1:11">
      <c r="A14" s="93">
        <f>A11+1</f>
        <v>2</v>
      </c>
      <c r="C14" s="100" t="s">
        <v>260</v>
      </c>
      <c r="E14" s="4">
        <v>373470160</v>
      </c>
      <c r="G14" s="16">
        <f>B.1!E13</f>
        <v>289085.33237541298</v>
      </c>
      <c r="I14" s="42">
        <f>E14+G14</f>
        <v>373759245.33237541</v>
      </c>
    </row>
    <row r="15" spans="1:11">
      <c r="A15" s="93"/>
      <c r="E15" s="4"/>
      <c r="G15" s="16"/>
      <c r="I15" s="42"/>
    </row>
    <row r="16" spans="1:11">
      <c r="A16" s="93">
        <f t="shared" ref="A16" si="0">A14+1</f>
        <v>3</v>
      </c>
      <c r="C16" s="1" t="s">
        <v>188</v>
      </c>
      <c r="E16" s="47">
        <f>E11-E14</f>
        <v>871143461</v>
      </c>
      <c r="G16" s="47">
        <f>G11-G14</f>
        <v>20166477.554300327</v>
      </c>
      <c r="I16" s="47">
        <f>I11-I14</f>
        <v>891309938.55430043</v>
      </c>
      <c r="K16" s="42"/>
    </row>
    <row r="17" spans="1:9">
      <c r="A17" s="93"/>
      <c r="E17" s="19"/>
      <c r="G17" s="19"/>
      <c r="I17" s="19"/>
    </row>
    <row r="18" spans="1:9">
      <c r="A18" s="93">
        <f>A16+1</f>
        <v>4</v>
      </c>
      <c r="C18" s="1" t="s">
        <v>327</v>
      </c>
      <c r="E18" s="19">
        <v>24905873.017692305</v>
      </c>
      <c r="G18" s="19">
        <f>B.1!E17</f>
        <v>-7723592.2530000005</v>
      </c>
      <c r="I18" s="42">
        <f>E18+G18</f>
        <v>17182280.764692307</v>
      </c>
    </row>
    <row r="19" spans="1:9">
      <c r="A19" s="93"/>
      <c r="E19" s="19"/>
      <c r="G19" s="19"/>
      <c r="I19" s="19"/>
    </row>
    <row r="20" spans="1:9">
      <c r="A20" s="93"/>
      <c r="C20" s="1" t="s">
        <v>261</v>
      </c>
      <c r="E20" s="4"/>
    </row>
    <row r="21" spans="1:9">
      <c r="A21" s="93">
        <f>A18+1</f>
        <v>5</v>
      </c>
      <c r="C21" s="100" t="s">
        <v>262</v>
      </c>
      <c r="E21" s="4">
        <v>53441</v>
      </c>
      <c r="G21" s="16">
        <v>0</v>
      </c>
      <c r="I21" s="42">
        <f>E21+G21</f>
        <v>53441</v>
      </c>
    </row>
    <row r="22" spans="1:9">
      <c r="A22" s="93">
        <f t="shared" ref="A22:A23" si="1">A21+1</f>
        <v>6</v>
      </c>
      <c r="C22" s="100" t="s">
        <v>263</v>
      </c>
      <c r="E22" s="4">
        <v>221284688</v>
      </c>
      <c r="G22" s="16">
        <f>B.1!E21</f>
        <v>5697990.94820661</v>
      </c>
      <c r="I22" s="42">
        <f>E22+G22</f>
        <v>226982678.9482066</v>
      </c>
    </row>
    <row r="23" spans="1:9">
      <c r="A23" s="93">
        <f t="shared" si="1"/>
        <v>7</v>
      </c>
      <c r="C23" s="1" t="s">
        <v>264</v>
      </c>
      <c r="E23" s="136">
        <f>SUM(E21:E22)</f>
        <v>221338129</v>
      </c>
      <c r="G23" s="48">
        <f>SUM(G21:G22)</f>
        <v>5697990.94820661</v>
      </c>
      <c r="I23" s="48">
        <f>SUM(I21:I22)</f>
        <v>227036119.9482066</v>
      </c>
    </row>
    <row r="24" spans="1:9">
      <c r="A24" s="93"/>
      <c r="E24" s="137"/>
      <c r="G24" s="38"/>
      <c r="I24" s="38"/>
    </row>
    <row r="25" spans="1:9">
      <c r="A25" s="93">
        <f>A23+1</f>
        <v>8</v>
      </c>
      <c r="C25" s="1" t="s">
        <v>270</v>
      </c>
      <c r="E25" s="136">
        <f>E16+E18-E23</f>
        <v>674711205.01769233</v>
      </c>
      <c r="G25" s="136">
        <f>G16+G18-G23</f>
        <v>6744894.3530937163</v>
      </c>
      <c r="I25" s="136">
        <f>I16+I18-I23</f>
        <v>681456099.37078619</v>
      </c>
    </row>
    <row r="26" spans="1:9">
      <c r="A26" s="93"/>
      <c r="E26" s="38"/>
    </row>
    <row r="27" spans="1:9">
      <c r="A27" s="93"/>
      <c r="C27" s="1" t="s">
        <v>265</v>
      </c>
    </row>
    <row r="28" spans="1:9">
      <c r="A28" s="93">
        <f>A25+1</f>
        <v>9</v>
      </c>
      <c r="C28" s="100" t="s">
        <v>189</v>
      </c>
      <c r="E28" s="4">
        <v>323951</v>
      </c>
      <c r="G28" s="16">
        <f>B.1!E27</f>
        <v>0</v>
      </c>
      <c r="I28" s="42">
        <f t="shared" ref="I28:I32" si="2">E28+G28</f>
        <v>323951</v>
      </c>
    </row>
    <row r="29" spans="1:9">
      <c r="A29" s="93">
        <f t="shared" ref="A29:A33" si="3">A28+1</f>
        <v>10</v>
      </c>
      <c r="C29" s="100" t="s">
        <v>266</v>
      </c>
      <c r="E29" s="4">
        <v>2521950</v>
      </c>
      <c r="G29" s="16">
        <f>B.1!E28</f>
        <v>0</v>
      </c>
      <c r="I29" s="42">
        <f t="shared" si="2"/>
        <v>2521950</v>
      </c>
    </row>
    <row r="30" spans="1:9">
      <c r="A30" s="93">
        <f t="shared" si="3"/>
        <v>11</v>
      </c>
      <c r="C30" s="100" t="s">
        <v>283</v>
      </c>
      <c r="E30" s="4">
        <v>24895211</v>
      </c>
      <c r="G30" s="16">
        <f>B.1!E29</f>
        <v>0</v>
      </c>
      <c r="I30" s="42">
        <f t="shared" si="2"/>
        <v>24895211</v>
      </c>
    </row>
    <row r="31" spans="1:9">
      <c r="A31" s="93">
        <f t="shared" si="3"/>
        <v>12</v>
      </c>
      <c r="C31" s="100" t="s">
        <v>128</v>
      </c>
      <c r="E31" s="4">
        <v>9932409</v>
      </c>
      <c r="G31" s="16">
        <f>B.1!E30</f>
        <v>-109594</v>
      </c>
      <c r="I31" s="42">
        <f t="shared" si="2"/>
        <v>9822815</v>
      </c>
    </row>
    <row r="32" spans="1:9">
      <c r="A32" s="93">
        <f t="shared" si="3"/>
        <v>13</v>
      </c>
      <c r="C32" s="100" t="s">
        <v>267</v>
      </c>
      <c r="E32" s="4">
        <v>0</v>
      </c>
      <c r="G32" s="16">
        <f>B.1!E31</f>
        <v>0</v>
      </c>
      <c r="I32" s="42">
        <f t="shared" si="2"/>
        <v>0</v>
      </c>
    </row>
    <row r="33" spans="1:11">
      <c r="A33" s="93">
        <f t="shared" si="3"/>
        <v>14</v>
      </c>
      <c r="C33" s="1" t="s">
        <v>268</v>
      </c>
      <c r="E33" s="47">
        <f>SUM(E28:E32)</f>
        <v>37673521</v>
      </c>
      <c r="G33" s="47">
        <f>SUM(G28:G32)</f>
        <v>-109594</v>
      </c>
      <c r="I33" s="47">
        <f>SUM(I28:I32)</f>
        <v>37563927</v>
      </c>
    </row>
    <row r="34" spans="1:11">
      <c r="A34" s="93"/>
      <c r="E34" s="19"/>
      <c r="G34" s="19"/>
      <c r="I34" s="19"/>
    </row>
    <row r="35" spans="1:11" ht="13.5" thickBot="1">
      <c r="A35" s="93">
        <f>A33+1</f>
        <v>15</v>
      </c>
      <c r="C35" s="1" t="s">
        <v>269</v>
      </c>
      <c r="E35" s="18">
        <f>E25+E33</f>
        <v>712384726.01769233</v>
      </c>
      <c r="F35" s="1">
        <f t="shared" ref="F35:I35" si="4">F25+F33</f>
        <v>0</v>
      </c>
      <c r="G35" s="18">
        <f>G25+G33</f>
        <v>6635300.3530937163</v>
      </c>
      <c r="H35" s="1">
        <f t="shared" si="4"/>
        <v>0</v>
      </c>
      <c r="I35" s="18">
        <f t="shared" si="4"/>
        <v>719020026.37078619</v>
      </c>
    </row>
    <row r="36" spans="1:11" ht="13.5" thickTop="1">
      <c r="A36" s="93"/>
      <c r="E36" s="19"/>
      <c r="G36" s="19"/>
      <c r="I36" s="19"/>
    </row>
    <row r="37" spans="1:11">
      <c r="A37" s="93">
        <f>A35+1</f>
        <v>16</v>
      </c>
      <c r="C37" s="1" t="s">
        <v>285</v>
      </c>
      <c r="E37" s="19">
        <v>14203989</v>
      </c>
      <c r="G37" s="19">
        <f>B.1!E36</f>
        <v>0</v>
      </c>
      <c r="I37" s="19">
        <f>E37+G37</f>
        <v>14203989</v>
      </c>
    </row>
    <row r="38" spans="1:11">
      <c r="A38" s="93"/>
      <c r="E38" s="19"/>
      <c r="G38" s="19"/>
      <c r="I38" s="19"/>
    </row>
    <row r="39" spans="1:11" ht="13.5" thickBot="1">
      <c r="A39" s="93">
        <f>A37+1</f>
        <v>17</v>
      </c>
      <c r="C39" s="1" t="s">
        <v>271</v>
      </c>
      <c r="E39" s="18">
        <f>E35+E37</f>
        <v>726588715.01769233</v>
      </c>
      <c r="G39" s="18">
        <f>G35+G37</f>
        <v>6635300.3530937163</v>
      </c>
      <c r="I39" s="18">
        <f t="shared" ref="I39" si="5">I35+I37</f>
        <v>733224015.37078619</v>
      </c>
      <c r="K39" s="42"/>
    </row>
    <row r="40" spans="1:11" ht="13.5" thickTop="1">
      <c r="A40" s="93"/>
      <c r="E40" s="19"/>
      <c r="G40" s="19"/>
      <c r="I40" s="19"/>
    </row>
    <row r="41" spans="1:11" ht="13.5" thickBot="1">
      <c r="A41" s="93">
        <f>A39+1</f>
        <v>18</v>
      </c>
      <c r="C41" s="1" t="s">
        <v>239</v>
      </c>
      <c r="E41" s="20">
        <f>'D P2'!M15</f>
        <v>706897908.12292981</v>
      </c>
      <c r="G41" s="20">
        <f>'D P3'!O16</f>
        <v>7213471.0178445457</v>
      </c>
      <c r="I41" s="20">
        <f>E41+G41</f>
        <v>714111379.14077437</v>
      </c>
    </row>
    <row r="42" spans="1:11" ht="13.5" thickTop="1">
      <c r="A42" s="93"/>
      <c r="E42" s="5"/>
    </row>
    <row r="43" spans="1:11">
      <c r="G43" s="42"/>
    </row>
    <row r="44" spans="1:11">
      <c r="A44" s="2" t="s">
        <v>9</v>
      </c>
      <c r="B44" s="2"/>
      <c r="C44" s="2"/>
      <c r="D44" s="2"/>
      <c r="E44" s="2"/>
      <c r="F44" s="2"/>
      <c r="G44" s="2"/>
      <c r="H44" s="2"/>
      <c r="I44" s="2"/>
    </row>
    <row r="45" spans="1:11">
      <c r="A45" s="1" t="s">
        <v>284</v>
      </c>
    </row>
    <row r="46" spans="1:11">
      <c r="A46" s="1" t="s">
        <v>228</v>
      </c>
      <c r="G46" s="42"/>
    </row>
  </sheetData>
  <pageMargins left="0.7" right="0.7" top="0.75" bottom="0.75" header="0.3" footer="0.3"/>
  <pageSetup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U992"/>
  <sheetViews>
    <sheetView zoomScaleSheetLayoutView="90" workbookViewId="0">
      <selection activeCell="E64" sqref="E64"/>
    </sheetView>
  </sheetViews>
  <sheetFormatPr defaultColWidth="12.42578125" defaultRowHeight="12.75"/>
  <cols>
    <col min="1" max="1" width="4.7109375" style="64" customWidth="1"/>
    <col min="2" max="2" width="1" style="64" customWidth="1"/>
    <col min="3" max="3" width="45.5703125" style="64" bestFit="1" customWidth="1"/>
    <col min="4" max="4" width="1.28515625" style="64" customWidth="1"/>
    <col min="5" max="5" width="15.5703125" style="64" bestFit="1" customWidth="1"/>
    <col min="6" max="6" width="1.140625" style="64" customWidth="1"/>
    <col min="7" max="7" width="15.5703125" style="64" bestFit="1" customWidth="1"/>
    <col min="8" max="8" width="14.140625" style="64" customWidth="1"/>
    <col min="9" max="9" width="12.85546875" style="64" bestFit="1" customWidth="1"/>
    <col min="10" max="10" width="12.42578125" style="64"/>
    <col min="11" max="11" width="12.85546875" style="64" bestFit="1" customWidth="1"/>
    <col min="12" max="16384" width="12.42578125" style="64"/>
  </cols>
  <sheetData>
    <row r="1" spans="1:21">
      <c r="A1" s="1" t="str">
        <f>Contents!A1</f>
        <v>Louisville Gas and Electric Company</v>
      </c>
      <c r="B1" s="1"/>
      <c r="C1" s="1"/>
      <c r="D1" s="1"/>
      <c r="E1" s="1"/>
      <c r="F1" s="1"/>
      <c r="G1" s="1"/>
      <c r="H1" s="1"/>
      <c r="I1" s="107"/>
      <c r="K1" s="240" t="str">
        <f>Contents!A4</f>
        <v>Exhibit RCS-2</v>
      </c>
    </row>
    <row r="2" spans="1:21">
      <c r="A2" s="1" t="s">
        <v>33</v>
      </c>
      <c r="B2" s="1"/>
      <c r="C2" s="1"/>
      <c r="D2" s="1"/>
      <c r="E2" s="1"/>
      <c r="F2" s="1"/>
      <c r="G2" s="1"/>
      <c r="H2" s="1"/>
      <c r="I2" s="107"/>
      <c r="K2" s="107" t="s">
        <v>100</v>
      </c>
    </row>
    <row r="3" spans="1:21">
      <c r="A3" s="39"/>
      <c r="B3" s="1"/>
      <c r="C3" s="1"/>
      <c r="D3" s="1"/>
      <c r="E3" s="1"/>
      <c r="F3" s="1"/>
      <c r="G3" s="1"/>
      <c r="H3" s="1"/>
      <c r="I3" s="107"/>
      <c r="K3" s="240" t="str">
        <f>Contents!A2</f>
        <v>Case No. 2016-00371</v>
      </c>
    </row>
    <row r="4" spans="1:21">
      <c r="A4" s="1" t="s">
        <v>287</v>
      </c>
      <c r="B4" s="1"/>
      <c r="C4" s="1"/>
      <c r="D4" s="1"/>
      <c r="E4" s="1"/>
      <c r="F4" s="1"/>
      <c r="G4" s="1"/>
      <c r="H4" s="1"/>
      <c r="I4" s="107"/>
      <c r="K4" s="107" t="s">
        <v>37</v>
      </c>
    </row>
    <row r="5" spans="1:21">
      <c r="F5" s="12"/>
      <c r="G5" s="12"/>
      <c r="H5" s="12"/>
    </row>
    <row r="6" spans="1:21" ht="39" customHeight="1">
      <c r="A6" s="61" t="s">
        <v>40</v>
      </c>
      <c r="B6" s="1"/>
      <c r="C6" s="2" t="s">
        <v>3</v>
      </c>
      <c r="D6" s="1"/>
      <c r="E6" s="61" t="s">
        <v>163</v>
      </c>
      <c r="F6" s="1"/>
      <c r="G6" s="61" t="s">
        <v>341</v>
      </c>
      <c r="H6" s="84" t="s">
        <v>488</v>
      </c>
      <c r="I6" s="84" t="s">
        <v>128</v>
      </c>
      <c r="J6" s="84" t="s">
        <v>424</v>
      </c>
      <c r="K6" s="84" t="s">
        <v>371</v>
      </c>
    </row>
    <row r="7" spans="1:21">
      <c r="A7" s="1"/>
      <c r="B7" s="1"/>
      <c r="C7" s="1"/>
      <c r="D7" s="1"/>
      <c r="E7" s="1"/>
      <c r="F7" s="1"/>
      <c r="G7" s="66" t="str">
        <f>Contents!$A17</f>
        <v>B-1</v>
      </c>
      <c r="H7" s="66" t="str">
        <f>Contents!$A18</f>
        <v>B-2</v>
      </c>
      <c r="I7" s="66" t="str">
        <f>Contents!$A19</f>
        <v>B-3</v>
      </c>
      <c r="J7" s="218" t="s">
        <v>422</v>
      </c>
      <c r="K7" s="218" t="s">
        <v>489</v>
      </c>
    </row>
    <row r="8" spans="1:21">
      <c r="A8" s="93"/>
      <c r="B8" s="1"/>
      <c r="C8" s="1" t="s">
        <v>186</v>
      </c>
      <c r="D8" s="1"/>
      <c r="E8" s="1"/>
      <c r="F8" s="1"/>
      <c r="G8" s="1"/>
      <c r="H8" s="93" t="s">
        <v>407</v>
      </c>
      <c r="I8" s="1"/>
      <c r="J8" s="93" t="s">
        <v>423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>
      <c r="A9" s="93"/>
      <c r="B9" s="1"/>
      <c r="C9" s="1" t="s">
        <v>187</v>
      </c>
      <c r="D9" s="1"/>
      <c r="E9" s="4"/>
      <c r="F9" s="1"/>
      <c r="G9" s="4"/>
      <c r="H9" s="4"/>
      <c r="I9" s="4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>
      <c r="A10" s="93">
        <v>1</v>
      </c>
      <c r="B10" s="1"/>
      <c r="C10" s="1" t="s">
        <v>258</v>
      </c>
      <c r="D10" s="1"/>
      <c r="E10" s="16">
        <f>SUM(G10:M10)</f>
        <v>20455562.886675742</v>
      </c>
      <c r="F10" s="1"/>
      <c r="G10" s="4">
        <f>'B-1'!O24</f>
        <v>-5482810.9702472575</v>
      </c>
      <c r="H10" s="4"/>
      <c r="I10" s="4"/>
      <c r="J10" s="4"/>
      <c r="K10" s="4">
        <f>'B-5'!I10</f>
        <v>25938373.856922999</v>
      </c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>
      <c r="A11" s="1"/>
      <c r="B11" s="1"/>
      <c r="C11" s="1"/>
      <c r="D11" s="1"/>
      <c r="E11" s="1"/>
      <c r="F11" s="1"/>
      <c r="G11" s="4"/>
      <c r="H11" s="4"/>
      <c r="I11" s="4"/>
      <c r="J11" s="4"/>
      <c r="K11" s="4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>
      <c r="A12" s="93">
        <f>A10+1</f>
        <v>2</v>
      </c>
      <c r="B12" s="1"/>
      <c r="C12" s="1" t="s">
        <v>259</v>
      </c>
      <c r="D12" s="1"/>
      <c r="E12" s="93"/>
      <c r="F12" s="1"/>
      <c r="G12" s="4"/>
      <c r="H12" s="4"/>
      <c r="I12" s="4"/>
      <c r="J12" s="4"/>
      <c r="K12" s="4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>
      <c r="A13" s="93">
        <f>A12+1</f>
        <v>3</v>
      </c>
      <c r="B13" s="1"/>
      <c r="C13" s="100" t="s">
        <v>260</v>
      </c>
      <c r="D13" s="1"/>
      <c r="E13" s="16">
        <f>SUM(G13:M13)</f>
        <v>289085.33237541298</v>
      </c>
      <c r="F13" s="13"/>
      <c r="G13" s="19"/>
      <c r="H13" s="19"/>
      <c r="I13" s="19"/>
      <c r="J13" s="4"/>
      <c r="K13" s="4">
        <f>'B-5'!I12</f>
        <v>289085.33237541298</v>
      </c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>
      <c r="A14" s="93"/>
      <c r="B14" s="1"/>
      <c r="C14" s="1"/>
      <c r="D14" s="1"/>
      <c r="E14" s="16"/>
      <c r="F14" s="1"/>
      <c r="G14" s="4"/>
      <c r="H14" s="4"/>
      <c r="I14" s="4"/>
      <c r="J14" s="4"/>
      <c r="K14" s="4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>
      <c r="A15" s="93">
        <f t="shared" ref="A15" si="0">A13+1</f>
        <v>4</v>
      </c>
      <c r="B15" s="1"/>
      <c r="C15" s="1" t="s">
        <v>188</v>
      </c>
      <c r="D15" s="1"/>
      <c r="E15" s="47">
        <f>E10-E13</f>
        <v>20166477.554300327</v>
      </c>
      <c r="F15" s="1"/>
      <c r="G15" s="47">
        <f t="shared" ref="G15:J15" si="1">G10-G13</f>
        <v>-5482810.9702472575</v>
      </c>
      <c r="H15" s="47">
        <f>SUM(H10:H13)</f>
        <v>0</v>
      </c>
      <c r="I15" s="47">
        <f t="shared" si="1"/>
        <v>0</v>
      </c>
      <c r="J15" s="47">
        <f t="shared" si="1"/>
        <v>0</v>
      </c>
      <c r="K15" s="47">
        <f>SUM(K10:K13)</f>
        <v>26227459.189298414</v>
      </c>
      <c r="L15" s="42"/>
      <c r="M15" s="1"/>
      <c r="N15" s="1"/>
      <c r="O15" s="1"/>
      <c r="P15" s="1"/>
      <c r="Q15" s="1"/>
      <c r="R15" s="1"/>
      <c r="S15" s="1"/>
      <c r="T15" s="1"/>
      <c r="U15" s="1"/>
    </row>
    <row r="16" spans="1:21">
      <c r="A16" s="93"/>
      <c r="B16" s="1"/>
      <c r="C16" s="1"/>
      <c r="D16" s="1"/>
      <c r="E16" s="19"/>
      <c r="F16" s="1"/>
      <c r="G16" s="19"/>
      <c r="H16" s="19"/>
      <c r="I16" s="19"/>
      <c r="J16" s="19"/>
      <c r="K16" s="4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>
      <c r="A17" s="93">
        <f>A15+1</f>
        <v>5</v>
      </c>
      <c r="B17" s="1"/>
      <c r="C17" s="1" t="s">
        <v>327</v>
      </c>
      <c r="D17" s="1"/>
      <c r="E17" s="16">
        <f>SUM(G17:M17)</f>
        <v>-7723592.2530000005</v>
      </c>
      <c r="F17" s="1"/>
      <c r="G17" s="19"/>
      <c r="H17" s="19"/>
      <c r="I17" s="19"/>
      <c r="J17" s="19">
        <f>'B-4'!E12</f>
        <v>-7723592.2530000005</v>
      </c>
      <c r="K17" s="4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>
      <c r="A18" s="93"/>
      <c r="B18" s="1"/>
      <c r="C18" s="1"/>
      <c r="D18" s="1"/>
      <c r="E18" s="19"/>
      <c r="F18" s="1"/>
      <c r="G18" s="19"/>
      <c r="H18" s="19"/>
      <c r="I18" s="19"/>
      <c r="J18" s="19"/>
      <c r="K18" s="4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>
      <c r="A19" s="93"/>
      <c r="B19" s="1"/>
      <c r="C19" s="1" t="s">
        <v>261</v>
      </c>
      <c r="D19" s="1"/>
      <c r="E19" s="1"/>
      <c r="F19" s="1"/>
      <c r="G19" s="4"/>
      <c r="H19" s="4"/>
      <c r="I19" s="4"/>
      <c r="J19" s="4"/>
      <c r="K19" s="4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>
      <c r="A20" s="93">
        <f>A17+1</f>
        <v>6</v>
      </c>
      <c r="B20" s="1"/>
      <c r="C20" s="100" t="s">
        <v>262</v>
      </c>
      <c r="D20" s="1"/>
      <c r="E20" s="16">
        <f t="shared" ref="E20:E21" si="2">SUM(G20:M20)</f>
        <v>0</v>
      </c>
      <c r="F20" s="1"/>
      <c r="G20" s="4"/>
      <c r="H20" s="4"/>
      <c r="I20" s="4"/>
      <c r="J20" s="4"/>
      <c r="K20" s="4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>
      <c r="A21" s="93">
        <f t="shared" ref="A21" si="3">A20+1</f>
        <v>7</v>
      </c>
      <c r="B21" s="1"/>
      <c r="C21" s="100" t="s">
        <v>263</v>
      </c>
      <c r="D21" s="1"/>
      <c r="E21" s="16">
        <f t="shared" si="2"/>
        <v>5697990.94820661</v>
      </c>
      <c r="H21" s="214"/>
      <c r="J21" s="4">
        <f>-'B-4'!E14</f>
        <v>-550200</v>
      </c>
      <c r="K21" s="4">
        <f>'B-5'!I16</f>
        <v>6248190.94820661</v>
      </c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>
      <c r="A22" s="93">
        <f>A21+1</f>
        <v>8</v>
      </c>
      <c r="B22" s="1"/>
      <c r="C22" s="1" t="s">
        <v>264</v>
      </c>
      <c r="D22" s="1"/>
      <c r="E22" s="48">
        <f>SUM(E20:E21)</f>
        <v>5697990.94820661</v>
      </c>
      <c r="F22" s="1"/>
      <c r="G22" s="48">
        <f>SUM(G20:G21)</f>
        <v>0</v>
      </c>
      <c r="H22" s="48">
        <f>SUM(H20:H21)</f>
        <v>0</v>
      </c>
      <c r="I22" s="48">
        <f>SUM(I20:I21)</f>
        <v>0</v>
      </c>
      <c r="J22" s="48">
        <f>SUM(J20:J21)</f>
        <v>-550200</v>
      </c>
      <c r="K22" s="48">
        <f>SUM(K20:K21)</f>
        <v>6248190.94820661</v>
      </c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>
      <c r="A23" s="93"/>
      <c r="B23" s="1"/>
      <c r="C23" s="1"/>
      <c r="D23" s="1"/>
      <c r="E23" s="38"/>
      <c r="F23" s="1"/>
      <c r="G23" s="4"/>
      <c r="H23" s="4"/>
      <c r="I23" s="4"/>
      <c r="J23" s="1"/>
      <c r="K23" s="4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>
      <c r="A24" s="93">
        <f>A22+1</f>
        <v>9</v>
      </c>
      <c r="B24" s="1"/>
      <c r="C24" s="1" t="s">
        <v>270</v>
      </c>
      <c r="D24" s="1"/>
      <c r="E24" s="48">
        <f>E15+E17-E22</f>
        <v>6744894.3530937163</v>
      </c>
      <c r="F24" s="1"/>
      <c r="G24" s="48">
        <f t="shared" ref="G24:I24" si="4">G15+G17+G22</f>
        <v>-5482810.9702472575</v>
      </c>
      <c r="H24" s="48">
        <f>H15+H17-H22</f>
        <v>0</v>
      </c>
      <c r="I24" s="48">
        <f t="shared" si="4"/>
        <v>0</v>
      </c>
      <c r="J24" s="48">
        <f>J15+J17-J22</f>
        <v>-7173392.2530000005</v>
      </c>
      <c r="K24" s="48">
        <f>K15+K17-K22</f>
        <v>19979268.241091803</v>
      </c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>
      <c r="A25" s="93"/>
      <c r="B25" s="1"/>
      <c r="C25" s="1"/>
      <c r="D25" s="1"/>
      <c r="E25" s="1"/>
      <c r="F25" s="1"/>
      <c r="G25" s="4"/>
      <c r="H25" s="4"/>
      <c r="I25" s="4"/>
      <c r="J25" s="1"/>
      <c r="K25" s="4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>
      <c r="A26" s="93"/>
      <c r="B26" s="1"/>
      <c r="C26" s="1" t="s">
        <v>265</v>
      </c>
      <c r="D26" s="1"/>
      <c r="E26" s="1"/>
      <c r="F26" s="1"/>
      <c r="G26" s="4"/>
      <c r="H26" s="4"/>
      <c r="I26" s="4"/>
      <c r="J26" s="1"/>
      <c r="K26" s="4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>
      <c r="A27" s="93">
        <f>A24+1</f>
        <v>10</v>
      </c>
      <c r="B27" s="1"/>
      <c r="C27" s="100" t="s">
        <v>189</v>
      </c>
      <c r="D27" s="1"/>
      <c r="E27" s="16">
        <f t="shared" ref="E27:E31" si="5">SUM(G27:M27)</f>
        <v>0</v>
      </c>
      <c r="F27" s="1"/>
      <c r="G27" s="4"/>
      <c r="H27" s="4"/>
      <c r="I27" s="4"/>
      <c r="J27" s="1"/>
      <c r="K27" s="4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>
      <c r="A28" s="93">
        <f t="shared" ref="A28:A32" si="6">A27+1</f>
        <v>11</v>
      </c>
      <c r="B28" s="1"/>
      <c r="C28" s="100" t="s">
        <v>266</v>
      </c>
      <c r="D28" s="1"/>
      <c r="E28" s="16">
        <f t="shared" si="5"/>
        <v>0</v>
      </c>
      <c r="F28" s="13"/>
      <c r="G28" s="19"/>
      <c r="H28" s="19"/>
      <c r="I28" s="19"/>
      <c r="J28" s="1"/>
      <c r="K28" s="4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>
      <c r="A29" s="93">
        <f t="shared" si="6"/>
        <v>12</v>
      </c>
      <c r="B29" s="1"/>
      <c r="C29" s="100" t="s">
        <v>283</v>
      </c>
      <c r="D29" s="1"/>
      <c r="E29" s="16">
        <f t="shared" si="5"/>
        <v>0</v>
      </c>
      <c r="F29" s="13"/>
      <c r="G29" s="38"/>
      <c r="H29" s="38"/>
      <c r="I29" s="38"/>
      <c r="J29" s="1"/>
      <c r="K29" s="4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>
      <c r="A30" s="93">
        <f t="shared" si="6"/>
        <v>13</v>
      </c>
      <c r="B30" s="1"/>
      <c r="C30" s="100" t="s">
        <v>128</v>
      </c>
      <c r="D30" s="1"/>
      <c r="E30" s="16">
        <f t="shared" si="5"/>
        <v>-109594</v>
      </c>
      <c r="F30" s="1"/>
      <c r="G30" s="1"/>
      <c r="H30" s="1"/>
      <c r="I30" s="4">
        <f>'B-3'!G20</f>
        <v>-109594</v>
      </c>
      <c r="J30" s="1"/>
      <c r="K30" s="4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>
      <c r="A31" s="93">
        <f t="shared" si="6"/>
        <v>14</v>
      </c>
      <c r="B31" s="1"/>
      <c r="C31" s="100" t="s">
        <v>267</v>
      </c>
      <c r="D31" s="1"/>
      <c r="E31" s="16">
        <f t="shared" si="5"/>
        <v>0</v>
      </c>
      <c r="F31" s="1"/>
      <c r="G31" s="4"/>
      <c r="H31" s="4"/>
      <c r="I31" s="4"/>
      <c r="J31" s="1"/>
      <c r="K31" s="4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>
      <c r="A32" s="93">
        <f t="shared" si="6"/>
        <v>15</v>
      </c>
      <c r="B32" s="1"/>
      <c r="C32" s="1" t="s">
        <v>268</v>
      </c>
      <c r="D32" s="1"/>
      <c r="E32" s="47">
        <f>SUM(E27:E31)</f>
        <v>-109594</v>
      </c>
      <c r="F32" s="13"/>
      <c r="G32" s="47">
        <f t="shared" ref="G32:K32" si="7">SUM(G27:G31)</f>
        <v>0</v>
      </c>
      <c r="H32" s="47">
        <f t="shared" si="7"/>
        <v>0</v>
      </c>
      <c r="I32" s="47">
        <f t="shared" si="7"/>
        <v>-109594</v>
      </c>
      <c r="J32" s="47">
        <f t="shared" si="7"/>
        <v>0</v>
      </c>
      <c r="K32" s="47">
        <f t="shared" si="7"/>
        <v>0</v>
      </c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>
      <c r="A33" s="93"/>
      <c r="B33" s="1"/>
      <c r="C33" s="1"/>
      <c r="D33" s="1"/>
      <c r="J33" s="1"/>
      <c r="K33" s="4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3.5" thickBot="1">
      <c r="A34" s="93">
        <f>A32+1</f>
        <v>16</v>
      </c>
      <c r="B34" s="1"/>
      <c r="C34" s="1" t="s">
        <v>269</v>
      </c>
      <c r="D34" s="1"/>
      <c r="E34" s="43">
        <f>E24+E32</f>
        <v>6635300.3530937163</v>
      </c>
      <c r="F34" s="1"/>
      <c r="G34" s="43">
        <f t="shared" ref="G34:K34" si="8">G24+G32</f>
        <v>-5482810.9702472575</v>
      </c>
      <c r="H34" s="43">
        <f t="shared" si="8"/>
        <v>0</v>
      </c>
      <c r="I34" s="43">
        <f t="shared" si="8"/>
        <v>-109594</v>
      </c>
      <c r="J34" s="43">
        <f t="shared" si="8"/>
        <v>-7173392.2530000005</v>
      </c>
      <c r="K34" s="43">
        <f t="shared" si="8"/>
        <v>19979268.241091803</v>
      </c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3.5" thickTop="1">
      <c r="A35" s="93"/>
      <c r="B35" s="1"/>
      <c r="C35" s="1"/>
      <c r="D35" s="1"/>
      <c r="E35" s="1"/>
      <c r="F35" s="1"/>
      <c r="G35" s="1"/>
      <c r="H35" s="1"/>
      <c r="I35" s="1"/>
      <c r="J35" s="1"/>
      <c r="K35" s="4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>
      <c r="A36" s="93">
        <f>A34+1</f>
        <v>17</v>
      </c>
      <c r="B36" s="1"/>
      <c r="C36" s="1" t="s">
        <v>285</v>
      </c>
      <c r="D36" s="1"/>
      <c r="E36" s="16">
        <f>SUM(G36:M36)</f>
        <v>0</v>
      </c>
      <c r="F36" s="1"/>
      <c r="G36" s="4"/>
      <c r="H36" s="4"/>
      <c r="I36" s="4"/>
      <c r="J36" s="1"/>
      <c r="K36" s="4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>
      <c r="A37" s="93"/>
      <c r="B37" s="1"/>
      <c r="C37" s="1"/>
      <c r="D37" s="1"/>
      <c r="E37" s="4"/>
      <c r="F37" s="1"/>
      <c r="G37" s="4"/>
      <c r="H37" s="4"/>
      <c r="I37" s="4"/>
      <c r="J37" s="1"/>
      <c r="K37" s="4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3.5" thickBot="1">
      <c r="A38" s="93">
        <f>A36+1</f>
        <v>18</v>
      </c>
      <c r="B38" s="1"/>
      <c r="C38" s="1" t="s">
        <v>271</v>
      </c>
      <c r="D38" s="1"/>
      <c r="E38" s="43">
        <f>E34+E36</f>
        <v>6635300.3530937163</v>
      </c>
      <c r="F38" s="1"/>
      <c r="G38" s="43">
        <f t="shared" ref="G38:K38" si="9">G34+G36</f>
        <v>-5482810.9702472575</v>
      </c>
      <c r="H38" s="43">
        <f t="shared" si="9"/>
        <v>0</v>
      </c>
      <c r="I38" s="43">
        <f t="shared" si="9"/>
        <v>-109594</v>
      </c>
      <c r="J38" s="43">
        <f t="shared" si="9"/>
        <v>-7173392.2530000005</v>
      </c>
      <c r="K38" s="43">
        <f t="shared" si="9"/>
        <v>19979268.241091803</v>
      </c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3.5" thickTop="1">
      <c r="A39" s="9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>
      <c r="A40" s="9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>
      <c r="A41" s="2" t="s">
        <v>9</v>
      </c>
      <c r="B41" s="2"/>
      <c r="C41" s="2"/>
      <c r="D41" s="2"/>
      <c r="E41" s="2"/>
      <c r="F41" s="2"/>
      <c r="G41" s="2"/>
      <c r="H41" s="2"/>
      <c r="I41" s="67"/>
      <c r="J41" s="67"/>
      <c r="K41" s="67"/>
    </row>
    <row r="42" spans="1:21">
      <c r="A42" s="1" t="s">
        <v>124</v>
      </c>
      <c r="B42" s="1"/>
      <c r="C42" s="49"/>
      <c r="D42" s="1"/>
      <c r="E42" s="1"/>
      <c r="F42" s="1"/>
      <c r="G42" s="1"/>
      <c r="H42" s="1"/>
      <c r="J42" s="65"/>
      <c r="K42" s="65"/>
    </row>
    <row r="43" spans="1:21">
      <c r="A43" s="1"/>
      <c r="B43" s="1"/>
      <c r="C43" s="49"/>
      <c r="D43" s="1"/>
      <c r="E43" s="1"/>
      <c r="F43" s="1"/>
      <c r="G43" s="1"/>
      <c r="H43" s="1"/>
    </row>
    <row r="44" spans="1:21">
      <c r="A44" s="1"/>
      <c r="B44" s="1"/>
      <c r="C44" s="1"/>
      <c r="D44" s="1"/>
      <c r="E44" s="1"/>
      <c r="F44" s="1"/>
      <c r="G44" s="42"/>
      <c r="H44" s="1"/>
    </row>
    <row r="45" spans="1:21">
      <c r="A45" s="1"/>
      <c r="B45" s="1"/>
      <c r="C45" s="1"/>
      <c r="D45" s="1"/>
      <c r="E45" s="1"/>
      <c r="F45" s="1"/>
      <c r="G45" s="1"/>
      <c r="H45" s="1"/>
    </row>
    <row r="46" spans="1:21">
      <c r="A46" s="1"/>
      <c r="B46" s="1"/>
      <c r="C46" s="1"/>
      <c r="D46" s="1"/>
      <c r="E46" s="1"/>
      <c r="F46" s="1"/>
      <c r="G46" s="1"/>
      <c r="H46" s="1"/>
    </row>
    <row r="47" spans="1:21">
      <c r="A47" s="1"/>
      <c r="B47" s="1"/>
      <c r="C47" s="1"/>
      <c r="D47" s="1"/>
      <c r="E47" s="1"/>
      <c r="F47" s="1"/>
      <c r="G47" s="1"/>
      <c r="H47" s="1"/>
    </row>
    <row r="48" spans="1:21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 ht="15" customHeight="1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 s="1" customFormat="1"/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  <row r="416" spans="1:8">
      <c r="A416" s="1"/>
      <c r="B416" s="1"/>
      <c r="C416" s="1"/>
      <c r="D416" s="1"/>
      <c r="E416" s="1"/>
      <c r="F416" s="1"/>
      <c r="G416" s="1"/>
      <c r="H416" s="1"/>
    </row>
    <row r="417" spans="1:8">
      <c r="A417" s="1"/>
      <c r="B417" s="1"/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  <row r="419" spans="1:8">
      <c r="A419" s="1"/>
      <c r="B419" s="1"/>
      <c r="C419" s="1"/>
      <c r="D419" s="1"/>
      <c r="E419" s="1"/>
      <c r="F419" s="1"/>
      <c r="G419" s="1"/>
      <c r="H419" s="1"/>
    </row>
    <row r="420" spans="1:8">
      <c r="A420" s="1"/>
      <c r="B420" s="1"/>
      <c r="C420" s="1"/>
      <c r="D420" s="1"/>
      <c r="E420" s="1"/>
      <c r="F420" s="1"/>
      <c r="G420" s="1"/>
      <c r="H420" s="1"/>
    </row>
    <row r="421" spans="1:8">
      <c r="A421" s="1"/>
      <c r="B421" s="1"/>
      <c r="C421" s="1"/>
      <c r="D421" s="1"/>
      <c r="E421" s="1"/>
      <c r="F421" s="1"/>
      <c r="G421" s="1"/>
      <c r="H421" s="1"/>
    </row>
    <row r="422" spans="1:8">
      <c r="A422" s="1"/>
      <c r="B422" s="1"/>
      <c r="C422" s="1"/>
      <c r="D422" s="1"/>
      <c r="E422" s="1"/>
      <c r="F422" s="1"/>
      <c r="G422" s="1"/>
      <c r="H422" s="1"/>
    </row>
    <row r="423" spans="1:8">
      <c r="A423" s="1"/>
      <c r="B423" s="1"/>
      <c r="C423" s="1"/>
      <c r="D423" s="1"/>
      <c r="E423" s="1"/>
      <c r="F423" s="1"/>
      <c r="G423" s="1"/>
      <c r="H423" s="1"/>
    </row>
    <row r="424" spans="1:8">
      <c r="A424" s="1"/>
      <c r="B424" s="1"/>
      <c r="C424" s="1"/>
      <c r="D424" s="1"/>
      <c r="E424" s="1"/>
      <c r="F424" s="1"/>
      <c r="G424" s="1"/>
      <c r="H424" s="1"/>
    </row>
    <row r="425" spans="1:8">
      <c r="A425" s="1"/>
      <c r="B425" s="1"/>
      <c r="C425" s="1"/>
      <c r="D425" s="1"/>
      <c r="E425" s="1"/>
      <c r="F425" s="1"/>
      <c r="G425" s="1"/>
      <c r="H425" s="1"/>
    </row>
    <row r="426" spans="1:8">
      <c r="A426" s="1"/>
      <c r="B426" s="1"/>
      <c r="C426" s="1"/>
      <c r="D426" s="1"/>
      <c r="E426" s="1"/>
      <c r="F426" s="1"/>
      <c r="G426" s="1"/>
      <c r="H426" s="1"/>
    </row>
    <row r="427" spans="1:8">
      <c r="A427" s="1"/>
      <c r="B427" s="1"/>
      <c r="C427" s="1"/>
      <c r="D427" s="1"/>
      <c r="E427" s="1"/>
      <c r="F427" s="1"/>
      <c r="G427" s="1"/>
      <c r="H427" s="1"/>
    </row>
    <row r="428" spans="1:8">
      <c r="A428" s="1"/>
      <c r="B428" s="1"/>
      <c r="C428" s="1"/>
      <c r="D428" s="1"/>
      <c r="E428" s="1"/>
      <c r="F428" s="1"/>
      <c r="G428" s="1"/>
      <c r="H428" s="1"/>
    </row>
    <row r="429" spans="1:8">
      <c r="A429" s="1"/>
      <c r="B429" s="1"/>
      <c r="C429" s="1"/>
      <c r="D429" s="1"/>
      <c r="E429" s="1"/>
      <c r="F429" s="1"/>
      <c r="G429" s="1"/>
      <c r="H429" s="1"/>
    </row>
    <row r="430" spans="1:8">
      <c r="A430" s="1"/>
      <c r="B430" s="1"/>
      <c r="C430" s="1"/>
      <c r="D430" s="1"/>
      <c r="E430" s="1"/>
      <c r="F430" s="1"/>
      <c r="G430" s="1"/>
      <c r="H430" s="1"/>
    </row>
    <row r="431" spans="1:8">
      <c r="A431" s="1"/>
      <c r="B431" s="1"/>
      <c r="C431" s="1"/>
      <c r="D431" s="1"/>
      <c r="E431" s="1"/>
      <c r="F431" s="1"/>
      <c r="G431" s="1"/>
      <c r="H431" s="1"/>
    </row>
    <row r="432" spans="1:8">
      <c r="A432" s="1"/>
      <c r="B432" s="1"/>
      <c r="C432" s="1"/>
      <c r="D432" s="1"/>
      <c r="E432" s="1"/>
      <c r="F432" s="1"/>
      <c r="G432" s="1"/>
      <c r="H432" s="1"/>
    </row>
    <row r="433" spans="1:8">
      <c r="A433" s="1"/>
      <c r="B433" s="1"/>
      <c r="C433" s="1"/>
      <c r="D433" s="1"/>
      <c r="E433" s="1"/>
      <c r="F433" s="1"/>
      <c r="G433" s="1"/>
      <c r="H433" s="1"/>
    </row>
    <row r="434" spans="1:8">
      <c r="A434" s="1"/>
      <c r="B434" s="1"/>
      <c r="C434" s="1"/>
      <c r="D434" s="1"/>
      <c r="E434" s="1"/>
      <c r="F434" s="1"/>
      <c r="G434" s="1"/>
      <c r="H434" s="1"/>
    </row>
    <row r="435" spans="1:8">
      <c r="A435" s="1"/>
      <c r="B435" s="1"/>
      <c r="C435" s="1"/>
      <c r="D435" s="1"/>
      <c r="E435" s="1"/>
      <c r="F435" s="1"/>
      <c r="G435" s="1"/>
      <c r="H435" s="1"/>
    </row>
    <row r="436" spans="1:8">
      <c r="A436" s="1"/>
      <c r="B436" s="1"/>
      <c r="C436" s="1"/>
      <c r="D436" s="1"/>
      <c r="E436" s="1"/>
      <c r="F436" s="1"/>
      <c r="G436" s="1"/>
      <c r="H436" s="1"/>
    </row>
    <row r="437" spans="1:8">
      <c r="A437" s="1"/>
      <c r="B437" s="1"/>
      <c r="C437" s="1"/>
      <c r="D437" s="1"/>
      <c r="E437" s="1"/>
      <c r="F437" s="1"/>
      <c r="G437" s="1"/>
      <c r="H437" s="1"/>
    </row>
    <row r="438" spans="1:8">
      <c r="A438" s="1"/>
      <c r="B438" s="1"/>
      <c r="C438" s="1"/>
      <c r="D438" s="1"/>
      <c r="E438" s="1"/>
      <c r="F438" s="1"/>
      <c r="G438" s="1"/>
      <c r="H438" s="1"/>
    </row>
    <row r="439" spans="1:8">
      <c r="A439" s="1"/>
      <c r="B439" s="1"/>
      <c r="C439" s="1"/>
      <c r="D439" s="1"/>
      <c r="E439" s="1"/>
      <c r="F439" s="1"/>
      <c r="G439" s="1"/>
      <c r="H439" s="1"/>
    </row>
    <row r="440" spans="1:8">
      <c r="A440" s="1"/>
      <c r="B440" s="1"/>
      <c r="C440" s="1"/>
      <c r="D440" s="1"/>
      <c r="E440" s="1"/>
      <c r="F440" s="1"/>
      <c r="G440" s="1"/>
      <c r="H440" s="1"/>
    </row>
    <row r="441" spans="1:8">
      <c r="A441" s="1"/>
      <c r="B441" s="1"/>
      <c r="C441" s="1"/>
      <c r="D441" s="1"/>
      <c r="E441" s="1"/>
      <c r="F441" s="1"/>
      <c r="G441" s="1"/>
      <c r="H441" s="1"/>
    </row>
    <row r="442" spans="1:8">
      <c r="A442" s="1"/>
      <c r="B442" s="1"/>
      <c r="C442" s="1"/>
      <c r="D442" s="1"/>
      <c r="E442" s="1"/>
      <c r="F442" s="1"/>
      <c r="G442" s="1"/>
      <c r="H442" s="1"/>
    </row>
    <row r="443" spans="1:8">
      <c r="A443" s="1"/>
      <c r="B443" s="1"/>
      <c r="C443" s="1"/>
      <c r="D443" s="1"/>
      <c r="E443" s="1"/>
      <c r="F443" s="1"/>
      <c r="G443" s="1"/>
      <c r="H443" s="1"/>
    </row>
    <row r="444" spans="1:8">
      <c r="A444" s="1"/>
      <c r="B444" s="1"/>
      <c r="C444" s="1"/>
      <c r="D444" s="1"/>
      <c r="E444" s="1"/>
      <c r="F444" s="1"/>
      <c r="G444" s="1"/>
      <c r="H444" s="1"/>
    </row>
    <row r="445" spans="1:8">
      <c r="A445" s="1"/>
      <c r="B445" s="1"/>
      <c r="C445" s="1"/>
      <c r="D445" s="1"/>
      <c r="E445" s="1"/>
      <c r="F445" s="1"/>
      <c r="G445" s="1"/>
      <c r="H445" s="1"/>
    </row>
    <row r="446" spans="1:8">
      <c r="A446" s="1"/>
      <c r="B446" s="1"/>
      <c r="C446" s="1"/>
      <c r="D446" s="1"/>
      <c r="E446" s="1"/>
      <c r="F446" s="1"/>
      <c r="G446" s="1"/>
      <c r="H446" s="1"/>
    </row>
    <row r="447" spans="1:8">
      <c r="A447" s="1"/>
      <c r="B447" s="1"/>
      <c r="C447" s="1"/>
      <c r="D447" s="1"/>
      <c r="E447" s="1"/>
      <c r="F447" s="1"/>
      <c r="G447" s="1"/>
      <c r="H447" s="1"/>
    </row>
    <row r="448" spans="1:8">
      <c r="A448" s="1"/>
      <c r="B448" s="1"/>
      <c r="C448" s="1"/>
      <c r="D448" s="1"/>
      <c r="E448" s="1"/>
      <c r="F448" s="1"/>
      <c r="G448" s="1"/>
      <c r="H448" s="1"/>
    </row>
    <row r="449" spans="1:8">
      <c r="A449" s="1"/>
      <c r="B449" s="1"/>
      <c r="C449" s="1"/>
      <c r="D449" s="1"/>
      <c r="E449" s="1"/>
      <c r="F449" s="1"/>
      <c r="G449" s="1"/>
      <c r="H449" s="1"/>
    </row>
    <row r="450" spans="1:8">
      <c r="A450" s="1"/>
      <c r="B450" s="1"/>
      <c r="C450" s="1"/>
      <c r="D450" s="1"/>
      <c r="E450" s="1"/>
      <c r="F450" s="1"/>
      <c r="G450" s="1"/>
      <c r="H450" s="1"/>
    </row>
    <row r="451" spans="1:8">
      <c r="A451" s="1"/>
      <c r="B451" s="1"/>
      <c r="C451" s="1"/>
      <c r="D451" s="1"/>
      <c r="E451" s="1"/>
      <c r="F451" s="1"/>
      <c r="G451" s="1"/>
      <c r="H451" s="1"/>
    </row>
    <row r="452" spans="1:8">
      <c r="A452" s="1"/>
      <c r="B452" s="1"/>
      <c r="C452" s="1"/>
      <c r="D452" s="1"/>
      <c r="E452" s="1"/>
      <c r="F452" s="1"/>
      <c r="G452" s="1"/>
      <c r="H452" s="1"/>
    </row>
    <row r="453" spans="1:8">
      <c r="A453" s="1"/>
      <c r="B453" s="1"/>
      <c r="C453" s="1"/>
      <c r="D453" s="1"/>
      <c r="E453" s="1"/>
      <c r="F453" s="1"/>
      <c r="G453" s="1"/>
      <c r="H453" s="1"/>
    </row>
    <row r="454" spans="1:8">
      <c r="A454" s="1"/>
      <c r="B454" s="1"/>
      <c r="C454" s="1"/>
      <c r="D454" s="1"/>
      <c r="E454" s="1"/>
      <c r="F454" s="1"/>
      <c r="G454" s="1"/>
      <c r="H454" s="1"/>
    </row>
    <row r="455" spans="1:8">
      <c r="A455" s="1"/>
      <c r="B455" s="1"/>
      <c r="C455" s="1"/>
      <c r="D455" s="1"/>
      <c r="E455" s="1"/>
      <c r="F455" s="1"/>
      <c r="G455" s="1"/>
      <c r="H455" s="1"/>
    </row>
    <row r="456" spans="1:8">
      <c r="A456" s="1"/>
      <c r="B456" s="1"/>
      <c r="C456" s="1"/>
      <c r="D456" s="1"/>
      <c r="E456" s="1"/>
      <c r="F456" s="1"/>
      <c r="G456" s="1"/>
      <c r="H456" s="1"/>
    </row>
    <row r="457" spans="1:8">
      <c r="A457" s="1"/>
      <c r="B457" s="1"/>
      <c r="C457" s="1"/>
      <c r="D457" s="1"/>
      <c r="E457" s="1"/>
      <c r="F457" s="1"/>
      <c r="G457" s="1"/>
      <c r="H457" s="1"/>
    </row>
    <row r="458" spans="1:8">
      <c r="A458" s="1"/>
      <c r="B458" s="1"/>
      <c r="C458" s="1"/>
      <c r="D458" s="1"/>
      <c r="E458" s="1"/>
      <c r="F458" s="1"/>
      <c r="G458" s="1"/>
      <c r="H458" s="1"/>
    </row>
    <row r="459" spans="1:8">
      <c r="A459" s="1"/>
      <c r="B459" s="1"/>
      <c r="C459" s="1"/>
      <c r="D459" s="1"/>
      <c r="E459" s="1"/>
      <c r="F459" s="1"/>
      <c r="G459" s="1"/>
      <c r="H459" s="1"/>
    </row>
    <row r="460" spans="1:8">
      <c r="A460" s="1"/>
      <c r="B460" s="1"/>
      <c r="C460" s="1"/>
      <c r="D460" s="1"/>
      <c r="E460" s="1"/>
      <c r="F460" s="1"/>
      <c r="G460" s="1"/>
      <c r="H460" s="1"/>
    </row>
    <row r="461" spans="1:8">
      <c r="A461" s="1"/>
      <c r="B461" s="1"/>
      <c r="C461" s="1"/>
      <c r="D461" s="1"/>
      <c r="E461" s="1"/>
      <c r="F461" s="1"/>
      <c r="G461" s="1"/>
      <c r="H461" s="1"/>
    </row>
    <row r="462" spans="1:8">
      <c r="A462" s="1"/>
      <c r="B462" s="1"/>
      <c r="C462" s="1"/>
      <c r="D462" s="1"/>
      <c r="E462" s="1"/>
      <c r="F462" s="1"/>
      <c r="G462" s="1"/>
      <c r="H462" s="1"/>
    </row>
    <row r="463" spans="1:8">
      <c r="A463" s="1"/>
      <c r="B463" s="1"/>
      <c r="C463" s="1"/>
      <c r="D463" s="1"/>
      <c r="E463" s="1"/>
      <c r="F463" s="1"/>
      <c r="G463" s="1"/>
      <c r="H463" s="1"/>
    </row>
    <row r="464" spans="1:8">
      <c r="A464" s="1"/>
      <c r="B464" s="1"/>
      <c r="C464" s="1"/>
      <c r="D464" s="1"/>
      <c r="E464" s="1"/>
      <c r="F464" s="1"/>
      <c r="G464" s="1"/>
      <c r="H464" s="1"/>
    </row>
    <row r="465" spans="1:8">
      <c r="A465" s="1"/>
      <c r="B465" s="1"/>
      <c r="C465" s="1"/>
      <c r="D465" s="1"/>
      <c r="E465" s="1"/>
      <c r="F465" s="1"/>
      <c r="G465" s="1"/>
      <c r="H465" s="1"/>
    </row>
    <row r="466" spans="1:8">
      <c r="A466" s="1"/>
      <c r="B466" s="1"/>
      <c r="C466" s="1"/>
      <c r="D466" s="1"/>
      <c r="E466" s="1"/>
      <c r="F466" s="1"/>
      <c r="G466" s="1"/>
      <c r="H466" s="1"/>
    </row>
    <row r="467" spans="1:8">
      <c r="A467" s="1"/>
      <c r="B467" s="1"/>
      <c r="C467" s="1"/>
      <c r="D467" s="1"/>
      <c r="E467" s="1"/>
      <c r="F467" s="1"/>
      <c r="G467" s="1"/>
      <c r="H467" s="1"/>
    </row>
    <row r="468" spans="1:8">
      <c r="A468" s="1"/>
      <c r="B468" s="1"/>
      <c r="C468" s="1"/>
      <c r="D468" s="1"/>
      <c r="E468" s="1"/>
      <c r="F468" s="1"/>
      <c r="G468" s="1"/>
      <c r="H468" s="1"/>
    </row>
    <row r="469" spans="1:8">
      <c r="A469" s="1"/>
      <c r="B469" s="1"/>
      <c r="C469" s="1"/>
      <c r="D469" s="1"/>
      <c r="E469" s="1"/>
      <c r="F469" s="1"/>
      <c r="G469" s="1"/>
      <c r="H469" s="1"/>
    </row>
    <row r="470" spans="1:8">
      <c r="A470" s="1"/>
      <c r="B470" s="1"/>
      <c r="C470" s="1"/>
      <c r="D470" s="1"/>
      <c r="E470" s="1"/>
      <c r="F470" s="1"/>
      <c r="G470" s="1"/>
      <c r="H470" s="1"/>
    </row>
    <row r="471" spans="1:8">
      <c r="A471" s="1"/>
      <c r="B471" s="1"/>
      <c r="C471" s="1"/>
      <c r="D471" s="1"/>
      <c r="E471" s="1"/>
      <c r="F471" s="1"/>
      <c r="G471" s="1"/>
      <c r="H471" s="1"/>
    </row>
    <row r="472" spans="1:8">
      <c r="A472" s="1"/>
      <c r="B472" s="1"/>
      <c r="C472" s="1"/>
      <c r="D472" s="1"/>
      <c r="E472" s="1"/>
      <c r="F472" s="1"/>
      <c r="G472" s="1"/>
      <c r="H472" s="1"/>
    </row>
    <row r="473" spans="1:8">
      <c r="A473" s="1"/>
      <c r="B473" s="1"/>
      <c r="C473" s="1"/>
      <c r="D473" s="1"/>
      <c r="E473" s="1"/>
      <c r="F473" s="1"/>
      <c r="G473" s="1"/>
      <c r="H473" s="1"/>
    </row>
    <row r="474" spans="1:8">
      <c r="A474" s="1"/>
      <c r="B474" s="1"/>
      <c r="C474" s="1"/>
      <c r="D474" s="1"/>
      <c r="E474" s="1"/>
      <c r="F474" s="1"/>
      <c r="G474" s="1"/>
      <c r="H474" s="1"/>
    </row>
    <row r="475" spans="1:8">
      <c r="A475" s="1"/>
      <c r="B475" s="1"/>
      <c r="C475" s="1"/>
      <c r="D475" s="1"/>
      <c r="E475" s="1"/>
      <c r="F475" s="1"/>
      <c r="G475" s="1"/>
      <c r="H475" s="1"/>
    </row>
    <row r="476" spans="1:8">
      <c r="A476" s="1"/>
      <c r="B476" s="1"/>
      <c r="C476" s="1"/>
      <c r="D476" s="1"/>
      <c r="E476" s="1"/>
      <c r="F476" s="1"/>
      <c r="G476" s="1"/>
      <c r="H476" s="1"/>
    </row>
    <row r="477" spans="1:8">
      <c r="A477" s="1"/>
      <c r="B477" s="1"/>
      <c r="C477" s="1"/>
      <c r="D477" s="1"/>
      <c r="E477" s="1"/>
      <c r="F477" s="1"/>
      <c r="G477" s="1"/>
      <c r="H477" s="1"/>
    </row>
    <row r="478" spans="1:8">
      <c r="A478" s="1"/>
      <c r="B478" s="1"/>
      <c r="C478" s="1"/>
      <c r="D478" s="1"/>
      <c r="E478" s="1"/>
      <c r="F478" s="1"/>
      <c r="G478" s="1"/>
      <c r="H478" s="1"/>
    </row>
    <row r="479" spans="1:8">
      <c r="A479" s="1"/>
      <c r="B479" s="1"/>
      <c r="C479" s="1"/>
      <c r="D479" s="1"/>
      <c r="E479" s="1"/>
      <c r="F479" s="1"/>
      <c r="G479" s="1"/>
      <c r="H479" s="1"/>
    </row>
    <row r="480" spans="1:8">
      <c r="A480" s="1"/>
      <c r="B480" s="1"/>
      <c r="C480" s="1"/>
      <c r="D480" s="1"/>
      <c r="E480" s="1"/>
      <c r="F480" s="1"/>
      <c r="G480" s="1"/>
      <c r="H480" s="1"/>
    </row>
    <row r="481" spans="1:8">
      <c r="A481" s="1"/>
      <c r="B481" s="1"/>
      <c r="C481" s="1"/>
      <c r="D481" s="1"/>
      <c r="E481" s="1"/>
      <c r="F481" s="1"/>
      <c r="G481" s="1"/>
      <c r="H481" s="1"/>
    </row>
    <row r="482" spans="1:8">
      <c r="A482" s="1"/>
      <c r="B482" s="1"/>
      <c r="C482" s="1"/>
      <c r="D482" s="1"/>
      <c r="E482" s="1"/>
      <c r="F482" s="1"/>
      <c r="G482" s="1"/>
      <c r="H482" s="1"/>
    </row>
    <row r="483" spans="1:8">
      <c r="A483" s="1"/>
      <c r="B483" s="1"/>
      <c r="C483" s="1"/>
      <c r="D483" s="1"/>
      <c r="E483" s="1"/>
      <c r="F483" s="1"/>
      <c r="G483" s="1"/>
      <c r="H483" s="1"/>
    </row>
    <row r="484" spans="1:8">
      <c r="A484" s="1"/>
      <c r="B484" s="1"/>
      <c r="C484" s="1"/>
      <c r="D484" s="1"/>
      <c r="E484" s="1"/>
      <c r="F484" s="1"/>
      <c r="G484" s="1"/>
      <c r="H484" s="1"/>
    </row>
    <row r="485" spans="1:8">
      <c r="A485" s="1"/>
      <c r="B485" s="1"/>
      <c r="C485" s="1"/>
      <c r="D485" s="1"/>
      <c r="E485" s="1"/>
      <c r="F485" s="1"/>
      <c r="G485" s="1"/>
      <c r="H485" s="1"/>
    </row>
    <row r="486" spans="1:8">
      <c r="A486" s="1"/>
      <c r="B486" s="1"/>
      <c r="C486" s="1"/>
      <c r="D486" s="1"/>
      <c r="E486" s="1"/>
      <c r="F486" s="1"/>
      <c r="G486" s="1"/>
      <c r="H486" s="1"/>
    </row>
    <row r="487" spans="1:8">
      <c r="A487" s="1"/>
      <c r="B487" s="1"/>
      <c r="C487" s="1"/>
      <c r="D487" s="1"/>
      <c r="E487" s="1"/>
      <c r="F487" s="1"/>
      <c r="G487" s="1"/>
      <c r="H487" s="1"/>
    </row>
    <row r="488" spans="1:8">
      <c r="A488" s="1"/>
      <c r="B488" s="1"/>
      <c r="C488" s="1"/>
      <c r="D488" s="1"/>
      <c r="E488" s="1"/>
      <c r="F488" s="1"/>
      <c r="G488" s="1"/>
      <c r="H488" s="1"/>
    </row>
    <row r="489" spans="1:8">
      <c r="A489" s="1"/>
      <c r="B489" s="1"/>
      <c r="C489" s="1"/>
      <c r="D489" s="1"/>
      <c r="E489" s="1"/>
      <c r="F489" s="1"/>
      <c r="G489" s="1"/>
      <c r="H489" s="1"/>
    </row>
    <row r="490" spans="1:8">
      <c r="A490" s="1"/>
      <c r="B490" s="1"/>
      <c r="C490" s="1"/>
      <c r="D490" s="1"/>
      <c r="E490" s="1"/>
      <c r="F490" s="1"/>
      <c r="G490" s="1"/>
      <c r="H490" s="1"/>
    </row>
    <row r="491" spans="1:8">
      <c r="A491" s="1"/>
      <c r="B491" s="1"/>
      <c r="C491" s="1"/>
      <c r="D491" s="1"/>
      <c r="E491" s="1"/>
      <c r="F491" s="1"/>
      <c r="G491" s="1"/>
      <c r="H491" s="1"/>
    </row>
    <row r="492" spans="1:8">
      <c r="A492" s="1"/>
      <c r="B492" s="1"/>
      <c r="C492" s="1"/>
      <c r="D492" s="1"/>
      <c r="E492" s="1"/>
      <c r="F492" s="1"/>
      <c r="G492" s="1"/>
      <c r="H492" s="1"/>
    </row>
    <row r="493" spans="1:8">
      <c r="A493" s="1"/>
      <c r="B493" s="1"/>
      <c r="C493" s="1"/>
      <c r="D493" s="1"/>
      <c r="E493" s="1"/>
      <c r="F493" s="1"/>
      <c r="G493" s="1"/>
      <c r="H493" s="1"/>
    </row>
    <row r="494" spans="1:8">
      <c r="A494" s="1"/>
      <c r="B494" s="1"/>
      <c r="C494" s="1"/>
      <c r="D494" s="1"/>
      <c r="E494" s="1"/>
      <c r="F494" s="1"/>
      <c r="G494" s="1"/>
      <c r="H494" s="1"/>
    </row>
    <row r="495" spans="1:8">
      <c r="A495" s="1"/>
      <c r="B495" s="1"/>
      <c r="C495" s="1"/>
      <c r="D495" s="1"/>
      <c r="E495" s="1"/>
      <c r="F495" s="1"/>
      <c r="G495" s="1"/>
      <c r="H495" s="1"/>
    </row>
    <row r="496" spans="1:8">
      <c r="A496" s="1"/>
      <c r="B496" s="1"/>
      <c r="C496" s="1"/>
      <c r="D496" s="1"/>
      <c r="E496" s="1"/>
      <c r="F496" s="1"/>
      <c r="G496" s="1"/>
      <c r="H496" s="1"/>
    </row>
    <row r="497" spans="1:8">
      <c r="A497" s="1"/>
      <c r="B497" s="1"/>
      <c r="C497" s="1"/>
      <c r="D497" s="1"/>
      <c r="E497" s="1"/>
      <c r="F497" s="1"/>
      <c r="G497" s="1"/>
      <c r="H497" s="1"/>
    </row>
    <row r="498" spans="1:8">
      <c r="A498" s="1"/>
      <c r="B498" s="1"/>
      <c r="C498" s="1"/>
      <c r="D498" s="1"/>
      <c r="E498" s="1"/>
      <c r="F498" s="1"/>
      <c r="G498" s="1"/>
      <c r="H498" s="1"/>
    </row>
    <row r="499" spans="1:8">
      <c r="A499" s="1"/>
      <c r="B499" s="1"/>
      <c r="C499" s="1"/>
      <c r="D499" s="1"/>
      <c r="E499" s="1"/>
      <c r="F499" s="1"/>
      <c r="G499" s="1"/>
      <c r="H499" s="1"/>
    </row>
    <row r="500" spans="1:8">
      <c r="A500" s="1"/>
      <c r="B500" s="1"/>
      <c r="C500" s="1"/>
      <c r="D500" s="1"/>
      <c r="E500" s="1"/>
      <c r="F500" s="1"/>
      <c r="G500" s="1"/>
      <c r="H500" s="1"/>
    </row>
    <row r="501" spans="1:8">
      <c r="A501" s="1"/>
      <c r="B501" s="1"/>
      <c r="C501" s="1"/>
      <c r="D501" s="1"/>
      <c r="E501" s="1"/>
      <c r="F501" s="1"/>
      <c r="G501" s="1"/>
      <c r="H501" s="1"/>
    </row>
    <row r="502" spans="1:8">
      <c r="A502" s="1"/>
      <c r="B502" s="1"/>
      <c r="C502" s="1"/>
      <c r="D502" s="1"/>
      <c r="E502" s="1"/>
      <c r="F502" s="1"/>
      <c r="G502" s="1"/>
      <c r="H502" s="1"/>
    </row>
    <row r="503" spans="1:8">
      <c r="A503" s="1"/>
      <c r="B503" s="1"/>
      <c r="C503" s="1"/>
      <c r="D503" s="1"/>
      <c r="E503" s="1"/>
      <c r="F503" s="1"/>
      <c r="G503" s="1"/>
      <c r="H503" s="1"/>
    </row>
    <row r="504" spans="1:8">
      <c r="A504" s="1"/>
      <c r="B504" s="1"/>
      <c r="C504" s="1"/>
      <c r="D504" s="1"/>
      <c r="E504" s="1"/>
      <c r="F504" s="1"/>
      <c r="G504" s="1"/>
      <c r="H504" s="1"/>
    </row>
    <row r="505" spans="1:8">
      <c r="A505" s="1"/>
      <c r="B505" s="1"/>
      <c r="C505" s="1"/>
      <c r="D505" s="1"/>
      <c r="E505" s="1"/>
      <c r="F505" s="1"/>
      <c r="G505" s="1"/>
      <c r="H505" s="1"/>
    </row>
    <row r="506" spans="1:8">
      <c r="A506" s="1"/>
      <c r="B506" s="1"/>
      <c r="C506" s="1"/>
      <c r="D506" s="1"/>
      <c r="E506" s="1"/>
      <c r="F506" s="1"/>
      <c r="G506" s="1"/>
      <c r="H506" s="1"/>
    </row>
    <row r="507" spans="1:8">
      <c r="A507" s="1"/>
      <c r="B507" s="1"/>
      <c r="C507" s="1"/>
      <c r="D507" s="1"/>
      <c r="E507" s="1"/>
      <c r="F507" s="1"/>
      <c r="G507" s="1"/>
      <c r="H507" s="1"/>
    </row>
    <row r="508" spans="1:8">
      <c r="A508" s="1"/>
      <c r="B508" s="1"/>
      <c r="C508" s="1"/>
      <c r="D508" s="1"/>
      <c r="E508" s="1"/>
      <c r="F508" s="1"/>
      <c r="G508" s="1"/>
      <c r="H508" s="1"/>
    </row>
    <row r="509" spans="1:8">
      <c r="A509" s="1"/>
      <c r="B509" s="1"/>
      <c r="C509" s="1"/>
      <c r="D509" s="1"/>
      <c r="E509" s="1"/>
      <c r="F509" s="1"/>
      <c r="G509" s="1"/>
      <c r="H509" s="1"/>
    </row>
    <row r="510" spans="1:8">
      <c r="A510" s="1"/>
      <c r="B510" s="1"/>
      <c r="C510" s="1"/>
      <c r="D510" s="1"/>
      <c r="E510" s="1"/>
      <c r="F510" s="1"/>
      <c r="G510" s="1"/>
      <c r="H510" s="1"/>
    </row>
    <row r="511" spans="1:8">
      <c r="A511" s="1"/>
      <c r="B511" s="1"/>
      <c r="C511" s="1"/>
      <c r="D511" s="1"/>
      <c r="E511" s="1"/>
      <c r="F511" s="1"/>
      <c r="G511" s="1"/>
      <c r="H511" s="1"/>
    </row>
    <row r="512" spans="1:8">
      <c r="A512" s="1"/>
      <c r="B512" s="1"/>
      <c r="C512" s="1"/>
      <c r="D512" s="1"/>
      <c r="E512" s="1"/>
      <c r="F512" s="1"/>
      <c r="G512" s="1"/>
      <c r="H512" s="1"/>
    </row>
    <row r="513" spans="1:8">
      <c r="A513" s="1"/>
      <c r="B513" s="1"/>
      <c r="C513" s="1"/>
      <c r="D513" s="1"/>
      <c r="E513" s="1"/>
      <c r="F513" s="1"/>
      <c r="G513" s="1"/>
      <c r="H513" s="1"/>
    </row>
    <row r="514" spans="1:8">
      <c r="A514" s="1"/>
      <c r="B514" s="1"/>
      <c r="C514" s="1"/>
      <c r="D514" s="1"/>
      <c r="E514" s="1"/>
      <c r="F514" s="1"/>
      <c r="G514" s="1"/>
      <c r="H514" s="1"/>
    </row>
    <row r="515" spans="1:8">
      <c r="A515" s="1"/>
      <c r="B515" s="1"/>
      <c r="C515" s="1"/>
      <c r="D515" s="1"/>
      <c r="E515" s="1"/>
      <c r="F515" s="1"/>
      <c r="G515" s="1"/>
      <c r="H515" s="1"/>
    </row>
    <row r="516" spans="1:8">
      <c r="A516" s="1"/>
      <c r="B516" s="1"/>
      <c r="C516" s="1"/>
      <c r="D516" s="1"/>
      <c r="E516" s="1"/>
      <c r="F516" s="1"/>
      <c r="G516" s="1"/>
      <c r="H516" s="1"/>
    </row>
    <row r="517" spans="1:8">
      <c r="A517" s="1"/>
      <c r="B517" s="1"/>
      <c r="C517" s="1"/>
      <c r="D517" s="1"/>
      <c r="E517" s="1"/>
      <c r="F517" s="1"/>
      <c r="G517" s="1"/>
      <c r="H517" s="1"/>
    </row>
    <row r="518" spans="1:8">
      <c r="A518" s="1"/>
      <c r="B518" s="1"/>
      <c r="C518" s="1"/>
      <c r="D518" s="1"/>
      <c r="E518" s="1"/>
      <c r="F518" s="1"/>
      <c r="G518" s="1"/>
      <c r="H518" s="1"/>
    </row>
    <row r="519" spans="1:8">
      <c r="A519" s="1"/>
      <c r="B519" s="1"/>
      <c r="C519" s="1"/>
      <c r="D519" s="1"/>
      <c r="E519" s="1"/>
      <c r="F519" s="1"/>
      <c r="G519" s="1"/>
      <c r="H519" s="1"/>
    </row>
    <row r="520" spans="1:8">
      <c r="A520" s="1"/>
      <c r="B520" s="1"/>
      <c r="C520" s="1"/>
      <c r="D520" s="1"/>
      <c r="E520" s="1"/>
      <c r="F520" s="1"/>
      <c r="G520" s="1"/>
      <c r="H520" s="1"/>
    </row>
    <row r="521" spans="1:8">
      <c r="A521" s="1"/>
      <c r="B521" s="1"/>
      <c r="C521" s="1"/>
      <c r="D521" s="1"/>
      <c r="E521" s="1"/>
      <c r="F521" s="1"/>
      <c r="G521" s="1"/>
      <c r="H521" s="1"/>
    </row>
    <row r="522" spans="1:8">
      <c r="A522" s="1"/>
      <c r="B522" s="1"/>
      <c r="C522" s="1"/>
      <c r="D522" s="1"/>
      <c r="E522" s="1"/>
      <c r="F522" s="1"/>
      <c r="G522" s="1"/>
      <c r="H522" s="1"/>
    </row>
    <row r="523" spans="1:8">
      <c r="A523" s="1"/>
      <c r="B523" s="1"/>
      <c r="C523" s="1"/>
      <c r="D523" s="1"/>
      <c r="E523" s="1"/>
      <c r="F523" s="1"/>
      <c r="G523" s="1"/>
      <c r="H523" s="1"/>
    </row>
    <row r="524" spans="1:8">
      <c r="A524" s="1"/>
      <c r="B524" s="1"/>
      <c r="C524" s="1"/>
      <c r="D524" s="1"/>
      <c r="E524" s="1"/>
      <c r="F524" s="1"/>
      <c r="G524" s="1"/>
      <c r="H524" s="1"/>
    </row>
    <row r="525" spans="1:8">
      <c r="A525" s="1"/>
      <c r="B525" s="1"/>
      <c r="C525" s="1"/>
      <c r="D525" s="1"/>
      <c r="E525" s="1"/>
      <c r="F525" s="1"/>
      <c r="G525" s="1"/>
      <c r="H525" s="1"/>
    </row>
    <row r="526" spans="1:8">
      <c r="A526" s="1"/>
      <c r="B526" s="1"/>
      <c r="C526" s="1"/>
      <c r="D526" s="1"/>
      <c r="E526" s="1"/>
      <c r="F526" s="1"/>
      <c r="G526" s="1"/>
      <c r="H526" s="1"/>
    </row>
    <row r="527" spans="1:8">
      <c r="A527" s="1"/>
      <c r="B527" s="1"/>
      <c r="C527" s="1"/>
      <c r="D527" s="1"/>
      <c r="E527" s="1"/>
      <c r="F527" s="1"/>
      <c r="G527" s="1"/>
      <c r="H527" s="1"/>
    </row>
    <row r="528" spans="1:8">
      <c r="A528" s="1"/>
      <c r="B528" s="1"/>
      <c r="C528" s="1"/>
      <c r="D528" s="1"/>
      <c r="E528" s="1"/>
      <c r="F528" s="1"/>
      <c r="G528" s="1"/>
      <c r="H528" s="1"/>
    </row>
    <row r="529" spans="1:8">
      <c r="A529" s="1"/>
      <c r="B529" s="1"/>
      <c r="C529" s="1"/>
      <c r="D529" s="1"/>
      <c r="E529" s="1"/>
      <c r="F529" s="1"/>
      <c r="G529" s="1"/>
      <c r="H529" s="1"/>
    </row>
    <row r="530" spans="1:8">
      <c r="A530" s="1"/>
      <c r="B530" s="1"/>
      <c r="C530" s="1"/>
      <c r="D530" s="1"/>
      <c r="E530" s="1"/>
      <c r="F530" s="1"/>
      <c r="G530" s="1"/>
      <c r="H530" s="1"/>
    </row>
    <row r="531" spans="1:8">
      <c r="A531" s="1"/>
      <c r="B531" s="1"/>
      <c r="C531" s="1"/>
      <c r="D531" s="1"/>
      <c r="E531" s="1"/>
      <c r="F531" s="1"/>
      <c r="G531" s="1"/>
      <c r="H531" s="1"/>
    </row>
    <row r="532" spans="1:8">
      <c r="A532" s="1"/>
      <c r="B532" s="1"/>
      <c r="C532" s="1"/>
      <c r="D532" s="1"/>
      <c r="E532" s="1"/>
      <c r="F532" s="1"/>
      <c r="G532" s="1"/>
      <c r="H532" s="1"/>
    </row>
    <row r="533" spans="1:8">
      <c r="A533" s="1"/>
      <c r="B533" s="1"/>
      <c r="C533" s="1"/>
      <c r="D533" s="1"/>
      <c r="E533" s="1"/>
      <c r="F533" s="1"/>
      <c r="G533" s="1"/>
      <c r="H533" s="1"/>
    </row>
    <row r="534" spans="1:8">
      <c r="A534" s="1"/>
      <c r="B534" s="1"/>
      <c r="C534" s="1"/>
      <c r="D534" s="1"/>
      <c r="E534" s="1"/>
      <c r="F534" s="1"/>
      <c r="G534" s="1"/>
      <c r="H534" s="1"/>
    </row>
    <row r="535" spans="1:8">
      <c r="A535" s="1"/>
      <c r="B535" s="1"/>
      <c r="C535" s="1"/>
      <c r="D535" s="1"/>
      <c r="E535" s="1"/>
      <c r="F535" s="1"/>
      <c r="G535" s="1"/>
      <c r="H535" s="1"/>
    </row>
    <row r="536" spans="1:8">
      <c r="A536" s="1"/>
      <c r="B536" s="1"/>
      <c r="C536" s="1"/>
      <c r="D536" s="1"/>
      <c r="E536" s="1"/>
      <c r="F536" s="1"/>
      <c r="G536" s="1"/>
      <c r="H536" s="1"/>
    </row>
    <row r="537" spans="1:8">
      <c r="A537" s="1"/>
      <c r="B537" s="1"/>
      <c r="C537" s="1"/>
      <c r="D537" s="1"/>
      <c r="E537" s="1"/>
      <c r="F537" s="1"/>
      <c r="G537" s="1"/>
      <c r="H537" s="1"/>
    </row>
    <row r="538" spans="1:8">
      <c r="A538" s="1"/>
      <c r="B538" s="1"/>
      <c r="C538" s="1"/>
      <c r="D538" s="1"/>
      <c r="E538" s="1"/>
      <c r="F538" s="1"/>
      <c r="G538" s="1"/>
      <c r="H538" s="1"/>
    </row>
    <row r="539" spans="1:8">
      <c r="A539" s="1"/>
      <c r="B539" s="1"/>
      <c r="C539" s="1"/>
      <c r="D539" s="1"/>
      <c r="E539" s="1"/>
      <c r="F539" s="1"/>
      <c r="G539" s="1"/>
      <c r="H539" s="1"/>
    </row>
    <row r="540" spans="1:8">
      <c r="A540" s="1"/>
      <c r="B540" s="1"/>
      <c r="C540" s="1"/>
      <c r="D540" s="1"/>
      <c r="E540" s="1"/>
      <c r="F540" s="1"/>
      <c r="G540" s="1"/>
      <c r="H540" s="1"/>
    </row>
    <row r="541" spans="1:8">
      <c r="A541" s="1"/>
      <c r="B541" s="1"/>
      <c r="C541" s="1"/>
      <c r="D541" s="1"/>
      <c r="E541" s="1"/>
      <c r="F541" s="1"/>
      <c r="G541" s="1"/>
      <c r="H541" s="1"/>
    </row>
    <row r="542" spans="1:8">
      <c r="A542" s="1"/>
      <c r="B542" s="1"/>
      <c r="C542" s="1"/>
      <c r="D542" s="1"/>
      <c r="E542" s="1"/>
      <c r="F542" s="1"/>
      <c r="G542" s="1"/>
      <c r="H542" s="1"/>
    </row>
    <row r="543" spans="1:8">
      <c r="A543" s="1"/>
      <c r="B543" s="1"/>
      <c r="C543" s="1"/>
      <c r="D543" s="1"/>
      <c r="E543" s="1"/>
      <c r="F543" s="1"/>
      <c r="G543" s="1"/>
      <c r="H543" s="1"/>
    </row>
    <row r="544" spans="1:8">
      <c r="A544" s="1"/>
      <c r="B544" s="1"/>
      <c r="C544" s="1"/>
      <c r="D544" s="1"/>
      <c r="E544" s="1"/>
      <c r="F544" s="1"/>
      <c r="G544" s="1"/>
      <c r="H544" s="1"/>
    </row>
    <row r="545" spans="1:8">
      <c r="A545" s="1"/>
      <c r="B545" s="1"/>
      <c r="C545" s="1"/>
      <c r="D545" s="1"/>
      <c r="E545" s="1"/>
      <c r="F545" s="1"/>
      <c r="G545" s="1"/>
      <c r="H545" s="1"/>
    </row>
    <row r="546" spans="1:8">
      <c r="A546" s="1"/>
      <c r="B546" s="1"/>
      <c r="C546" s="1"/>
      <c r="D546" s="1"/>
      <c r="E546" s="1"/>
      <c r="F546" s="1"/>
      <c r="G546" s="1"/>
      <c r="H546" s="1"/>
    </row>
    <row r="547" spans="1:8">
      <c r="A547" s="1"/>
      <c r="B547" s="1"/>
      <c r="C547" s="1"/>
      <c r="D547" s="1"/>
      <c r="E547" s="1"/>
      <c r="F547" s="1"/>
      <c r="G547" s="1"/>
      <c r="H547" s="1"/>
    </row>
    <row r="548" spans="1:8">
      <c r="A548" s="1"/>
      <c r="B548" s="1"/>
      <c r="C548" s="1"/>
      <c r="D548" s="1"/>
      <c r="E548" s="1"/>
      <c r="F548" s="1"/>
      <c r="G548" s="1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  <row r="617" spans="1:8">
      <c r="A617" s="1"/>
      <c r="B617" s="1"/>
      <c r="C617" s="1"/>
      <c r="D617" s="1"/>
      <c r="E617" s="1"/>
      <c r="F617" s="1"/>
      <c r="G617" s="1"/>
      <c r="H617" s="1"/>
    </row>
    <row r="618" spans="1:8">
      <c r="A618" s="1"/>
      <c r="B618" s="1"/>
      <c r="C618" s="1"/>
      <c r="D618" s="1"/>
      <c r="E618" s="1"/>
      <c r="F618" s="1"/>
      <c r="G618" s="1"/>
      <c r="H618" s="1"/>
    </row>
    <row r="619" spans="1:8">
      <c r="A619" s="1"/>
      <c r="B619" s="1"/>
      <c r="C619" s="1"/>
      <c r="D619" s="1"/>
      <c r="E619" s="1"/>
      <c r="F619" s="1"/>
      <c r="G619" s="1"/>
      <c r="H619" s="1"/>
    </row>
    <row r="620" spans="1:8">
      <c r="A620" s="1"/>
      <c r="B620" s="1"/>
      <c r="C620" s="1"/>
      <c r="D620" s="1"/>
      <c r="E620" s="1"/>
      <c r="F620" s="1"/>
      <c r="G620" s="1"/>
      <c r="H620" s="1"/>
    </row>
    <row r="621" spans="1:8">
      <c r="A621" s="1"/>
      <c r="B621" s="1"/>
      <c r="C621" s="1"/>
      <c r="D621" s="1"/>
      <c r="E621" s="1"/>
      <c r="F621" s="1"/>
      <c r="G621" s="1"/>
      <c r="H621" s="1"/>
    </row>
    <row r="622" spans="1:8">
      <c r="A622" s="1"/>
      <c r="B622" s="1"/>
      <c r="C622" s="1"/>
      <c r="D622" s="1"/>
      <c r="E622" s="1"/>
      <c r="F622" s="1"/>
      <c r="G622" s="1"/>
      <c r="H622" s="1"/>
    </row>
    <row r="623" spans="1:8">
      <c r="A623" s="1"/>
      <c r="B623" s="1"/>
      <c r="C623" s="1"/>
      <c r="D623" s="1"/>
      <c r="E623" s="1"/>
      <c r="F623" s="1"/>
      <c r="G623" s="1"/>
      <c r="H623" s="1"/>
    </row>
    <row r="624" spans="1:8">
      <c r="A624" s="1"/>
      <c r="B624" s="1"/>
      <c r="C624" s="1"/>
      <c r="D624" s="1"/>
      <c r="E624" s="1"/>
      <c r="F624" s="1"/>
      <c r="G624" s="1"/>
      <c r="H624" s="1"/>
    </row>
    <row r="625" spans="1:8">
      <c r="A625" s="1"/>
      <c r="B625" s="1"/>
      <c r="C625" s="1"/>
      <c r="D625" s="1"/>
      <c r="E625" s="1"/>
      <c r="F625" s="1"/>
      <c r="G625" s="1"/>
      <c r="H625" s="1"/>
    </row>
    <row r="626" spans="1:8">
      <c r="A626" s="1"/>
      <c r="B626" s="1"/>
      <c r="C626" s="1"/>
      <c r="D626" s="1"/>
      <c r="E626" s="1"/>
      <c r="F626" s="1"/>
      <c r="G626" s="1"/>
      <c r="H626" s="1"/>
    </row>
    <row r="627" spans="1:8">
      <c r="A627" s="1"/>
      <c r="B627" s="1"/>
      <c r="C627" s="1"/>
      <c r="D627" s="1"/>
      <c r="E627" s="1"/>
      <c r="F627" s="1"/>
      <c r="G627" s="1"/>
      <c r="H627" s="1"/>
    </row>
    <row r="628" spans="1:8">
      <c r="A628" s="1"/>
      <c r="B628" s="1"/>
      <c r="C628" s="1"/>
      <c r="D628" s="1"/>
      <c r="E628" s="1"/>
      <c r="F628" s="1"/>
      <c r="G628" s="1"/>
      <c r="H628" s="1"/>
    </row>
    <row r="629" spans="1:8">
      <c r="A629" s="1"/>
      <c r="B629" s="1"/>
      <c r="C629" s="1"/>
      <c r="D629" s="1"/>
      <c r="E629" s="1"/>
      <c r="F629" s="1"/>
      <c r="G629" s="1"/>
      <c r="H629" s="1"/>
    </row>
    <row r="630" spans="1:8">
      <c r="A630" s="1"/>
      <c r="B630" s="1"/>
      <c r="C630" s="1"/>
      <c r="D630" s="1"/>
      <c r="E630" s="1"/>
      <c r="F630" s="1"/>
      <c r="G630" s="1"/>
      <c r="H630" s="1"/>
    </row>
    <row r="631" spans="1:8">
      <c r="A631" s="1"/>
      <c r="B631" s="1"/>
      <c r="C631" s="1"/>
      <c r="D631" s="1"/>
      <c r="E631" s="1"/>
      <c r="F631" s="1"/>
      <c r="G631" s="1"/>
      <c r="H631" s="1"/>
    </row>
    <row r="632" spans="1:8">
      <c r="A632" s="1"/>
      <c r="B632" s="1"/>
      <c r="C632" s="1"/>
      <c r="D632" s="1"/>
      <c r="E632" s="1"/>
      <c r="F632" s="1"/>
      <c r="G632" s="1"/>
      <c r="H632" s="1"/>
    </row>
    <row r="633" spans="1:8">
      <c r="A633" s="1"/>
      <c r="B633" s="1"/>
      <c r="C633" s="1"/>
      <c r="D633" s="1"/>
      <c r="E633" s="1"/>
      <c r="F633" s="1"/>
      <c r="G633" s="1"/>
      <c r="H633" s="1"/>
    </row>
    <row r="634" spans="1:8">
      <c r="A634" s="1"/>
      <c r="B634" s="1"/>
      <c r="C634" s="1"/>
      <c r="D634" s="1"/>
      <c r="E634" s="1"/>
      <c r="F634" s="1"/>
      <c r="G634" s="1"/>
      <c r="H634" s="1"/>
    </row>
    <row r="635" spans="1:8">
      <c r="A635" s="1"/>
      <c r="B635" s="1"/>
      <c r="C635" s="1"/>
      <c r="D635" s="1"/>
      <c r="E635" s="1"/>
      <c r="F635" s="1"/>
      <c r="G635" s="1"/>
      <c r="H635" s="1"/>
    </row>
    <row r="636" spans="1:8">
      <c r="A636" s="1"/>
      <c r="B636" s="1"/>
      <c r="C636" s="1"/>
      <c r="D636" s="1"/>
      <c r="E636" s="1"/>
      <c r="F636" s="1"/>
      <c r="G636" s="1"/>
      <c r="H636" s="1"/>
    </row>
    <row r="637" spans="1:8">
      <c r="A637" s="1"/>
      <c r="B637" s="1"/>
      <c r="C637" s="1"/>
      <c r="D637" s="1"/>
      <c r="E637" s="1"/>
      <c r="F637" s="1"/>
      <c r="G637" s="1"/>
      <c r="H637" s="1"/>
    </row>
    <row r="638" spans="1:8">
      <c r="A638" s="1"/>
      <c r="B638" s="1"/>
      <c r="C638" s="1"/>
      <c r="D638" s="1"/>
      <c r="E638" s="1"/>
      <c r="F638" s="1"/>
      <c r="G638" s="1"/>
      <c r="H638" s="1"/>
    </row>
    <row r="639" spans="1:8">
      <c r="A639" s="1"/>
      <c r="B639" s="1"/>
      <c r="C639" s="1"/>
      <c r="D639" s="1"/>
      <c r="E639" s="1"/>
      <c r="F639" s="1"/>
      <c r="G639" s="1"/>
      <c r="H639" s="1"/>
    </row>
    <row r="640" spans="1:8">
      <c r="A640" s="1"/>
      <c r="B640" s="1"/>
      <c r="C640" s="1"/>
      <c r="D640" s="1"/>
      <c r="E640" s="1"/>
      <c r="F640" s="1"/>
      <c r="G640" s="1"/>
      <c r="H640" s="1"/>
    </row>
    <row r="641" spans="1:8">
      <c r="A641" s="1"/>
      <c r="B641" s="1"/>
      <c r="C641" s="1"/>
      <c r="D641" s="1"/>
      <c r="E641" s="1"/>
      <c r="F641" s="1"/>
      <c r="G641" s="1"/>
      <c r="H641" s="1"/>
    </row>
    <row r="642" spans="1:8">
      <c r="A642" s="1"/>
      <c r="B642" s="1"/>
      <c r="C642" s="1"/>
      <c r="D642" s="1"/>
      <c r="E642" s="1"/>
      <c r="F642" s="1"/>
      <c r="G642" s="1"/>
      <c r="H642" s="1"/>
    </row>
    <row r="643" spans="1:8">
      <c r="A643" s="1"/>
      <c r="B643" s="1"/>
      <c r="C643" s="1"/>
      <c r="D643" s="1"/>
      <c r="E643" s="1"/>
      <c r="F643" s="1"/>
      <c r="G643" s="1"/>
      <c r="H643" s="1"/>
    </row>
    <row r="644" spans="1:8">
      <c r="A644" s="1"/>
      <c r="B644" s="1"/>
      <c r="C644" s="1"/>
      <c r="D644" s="1"/>
      <c r="E644" s="1"/>
      <c r="F644" s="1"/>
      <c r="G644" s="1"/>
      <c r="H644" s="1"/>
    </row>
    <row r="645" spans="1:8">
      <c r="A645" s="1"/>
      <c r="B645" s="1"/>
      <c r="C645" s="1"/>
      <c r="D645" s="1"/>
      <c r="E645" s="1"/>
      <c r="F645" s="1"/>
      <c r="G645" s="1"/>
      <c r="H645" s="1"/>
    </row>
    <row r="646" spans="1:8">
      <c r="A646" s="1"/>
      <c r="B646" s="1"/>
      <c r="C646" s="1"/>
      <c r="D646" s="1"/>
      <c r="E646" s="1"/>
      <c r="F646" s="1"/>
      <c r="G646" s="1"/>
      <c r="H646" s="1"/>
    </row>
    <row r="647" spans="1:8">
      <c r="A647" s="1"/>
      <c r="B647" s="1"/>
      <c r="C647" s="1"/>
      <c r="D647" s="1"/>
      <c r="E647" s="1"/>
      <c r="F647" s="1"/>
      <c r="G647" s="1"/>
      <c r="H647" s="1"/>
    </row>
    <row r="648" spans="1:8">
      <c r="A648" s="1"/>
      <c r="B648" s="1"/>
      <c r="C648" s="1"/>
      <c r="D648" s="1"/>
      <c r="E648" s="1"/>
      <c r="F648" s="1"/>
      <c r="G648" s="1"/>
      <c r="H648" s="1"/>
    </row>
    <row r="649" spans="1:8">
      <c r="A649" s="1"/>
      <c r="B649" s="1"/>
      <c r="C649" s="1"/>
      <c r="D649" s="1"/>
      <c r="E649" s="1"/>
      <c r="F649" s="1"/>
      <c r="G649" s="1"/>
      <c r="H649" s="1"/>
    </row>
    <row r="650" spans="1:8">
      <c r="A650" s="1"/>
      <c r="B650" s="1"/>
      <c r="C650" s="1"/>
      <c r="D650" s="1"/>
      <c r="E650" s="1"/>
      <c r="F650" s="1"/>
      <c r="G650" s="1"/>
      <c r="H650" s="1"/>
    </row>
    <row r="651" spans="1:8">
      <c r="A651" s="1"/>
      <c r="B651" s="1"/>
      <c r="C651" s="1"/>
      <c r="D651" s="1"/>
      <c r="E651" s="1"/>
      <c r="F651" s="1"/>
      <c r="G651" s="1"/>
      <c r="H651" s="1"/>
    </row>
    <row r="652" spans="1:8">
      <c r="A652" s="1"/>
      <c r="B652" s="1"/>
      <c r="C652" s="1"/>
      <c r="D652" s="1"/>
      <c r="E652" s="1"/>
      <c r="F652" s="1"/>
      <c r="G652" s="1"/>
      <c r="H652" s="1"/>
    </row>
    <row r="653" spans="1:8">
      <c r="A653" s="1"/>
      <c r="B653" s="1"/>
      <c r="C653" s="1"/>
      <c r="D653" s="1"/>
      <c r="E653" s="1"/>
      <c r="F653" s="1"/>
      <c r="G653" s="1"/>
      <c r="H653" s="1"/>
    </row>
    <row r="654" spans="1:8">
      <c r="A654" s="1"/>
      <c r="B654" s="1"/>
      <c r="C654" s="1"/>
      <c r="D654" s="1"/>
      <c r="E654" s="1"/>
      <c r="F654" s="1"/>
      <c r="G654" s="1"/>
      <c r="H654" s="1"/>
    </row>
    <row r="655" spans="1:8">
      <c r="A655" s="1"/>
      <c r="B655" s="1"/>
      <c r="C655" s="1"/>
      <c r="D655" s="1"/>
      <c r="E655" s="1"/>
      <c r="F655" s="1"/>
      <c r="G655" s="1"/>
      <c r="H655" s="1"/>
    </row>
    <row r="656" spans="1:8">
      <c r="A656" s="1"/>
      <c r="B656" s="1"/>
      <c r="C656" s="1"/>
      <c r="D656" s="1"/>
      <c r="E656" s="1"/>
      <c r="F656" s="1"/>
      <c r="G656" s="1"/>
      <c r="H656" s="1"/>
    </row>
    <row r="657" spans="1:8">
      <c r="A657" s="1"/>
      <c r="B657" s="1"/>
      <c r="C657" s="1"/>
      <c r="D657" s="1"/>
      <c r="E657" s="1"/>
      <c r="F657" s="1"/>
      <c r="G657" s="1"/>
      <c r="H657" s="1"/>
    </row>
    <row r="658" spans="1:8">
      <c r="A658" s="1"/>
      <c r="B658" s="1"/>
      <c r="C658" s="1"/>
      <c r="D658" s="1"/>
      <c r="E658" s="1"/>
      <c r="F658" s="1"/>
      <c r="G658" s="1"/>
      <c r="H658" s="1"/>
    </row>
    <row r="659" spans="1:8">
      <c r="A659" s="1"/>
      <c r="B659" s="1"/>
      <c r="C659" s="1"/>
      <c r="D659" s="1"/>
      <c r="E659" s="1"/>
      <c r="F659" s="1"/>
      <c r="G659" s="1"/>
      <c r="H659" s="1"/>
    </row>
    <row r="660" spans="1:8">
      <c r="A660" s="1"/>
      <c r="B660" s="1"/>
      <c r="C660" s="1"/>
      <c r="D660" s="1"/>
      <c r="E660" s="1"/>
      <c r="F660" s="1"/>
      <c r="G660" s="1"/>
      <c r="H660" s="1"/>
    </row>
    <row r="661" spans="1:8">
      <c r="A661" s="1"/>
      <c r="B661" s="1"/>
      <c r="C661" s="1"/>
      <c r="D661" s="1"/>
      <c r="E661" s="1"/>
      <c r="F661" s="1"/>
      <c r="G661" s="1"/>
      <c r="H661" s="1"/>
    </row>
    <row r="662" spans="1:8">
      <c r="A662" s="1"/>
      <c r="B662" s="1"/>
      <c r="C662" s="1"/>
      <c r="D662" s="1"/>
      <c r="E662" s="1"/>
      <c r="F662" s="1"/>
      <c r="G662" s="1"/>
      <c r="H662" s="1"/>
    </row>
    <row r="663" spans="1:8">
      <c r="A663" s="1"/>
      <c r="B663" s="1"/>
      <c r="C663" s="1"/>
      <c r="D663" s="1"/>
      <c r="E663" s="1"/>
      <c r="F663" s="1"/>
      <c r="G663" s="1"/>
      <c r="H663" s="1"/>
    </row>
    <row r="664" spans="1:8">
      <c r="A664" s="1"/>
      <c r="B664" s="1"/>
      <c r="C664" s="1"/>
      <c r="D664" s="1"/>
      <c r="E664" s="1"/>
      <c r="F664" s="1"/>
      <c r="G664" s="1"/>
      <c r="H664" s="1"/>
    </row>
    <row r="665" spans="1:8">
      <c r="A665" s="1"/>
      <c r="B665" s="1"/>
      <c r="C665" s="1"/>
      <c r="D665" s="1"/>
      <c r="E665" s="1"/>
      <c r="F665" s="1"/>
      <c r="G665" s="1"/>
      <c r="H665" s="1"/>
    </row>
    <row r="666" spans="1:8">
      <c r="A666" s="1"/>
      <c r="B666" s="1"/>
      <c r="C666" s="1"/>
      <c r="D666" s="1"/>
      <c r="E666" s="1"/>
      <c r="F666" s="1"/>
      <c r="G666" s="1"/>
      <c r="H666" s="1"/>
    </row>
    <row r="667" spans="1:8">
      <c r="A667" s="1"/>
      <c r="B667" s="1"/>
      <c r="C667" s="1"/>
      <c r="D667" s="1"/>
      <c r="E667" s="1"/>
      <c r="F667" s="1"/>
      <c r="G667" s="1"/>
      <c r="H667" s="1"/>
    </row>
    <row r="668" spans="1:8">
      <c r="A668" s="1"/>
      <c r="B668" s="1"/>
      <c r="C668" s="1"/>
      <c r="D668" s="1"/>
      <c r="E668" s="1"/>
      <c r="F668" s="1"/>
      <c r="G668" s="1"/>
      <c r="H668" s="1"/>
    </row>
    <row r="669" spans="1:8">
      <c r="A669" s="1"/>
      <c r="B669" s="1"/>
      <c r="C669" s="1"/>
      <c r="D669" s="1"/>
      <c r="E669" s="1"/>
      <c r="F669" s="1"/>
      <c r="G669" s="1"/>
      <c r="H669" s="1"/>
    </row>
    <row r="670" spans="1:8">
      <c r="A670" s="1"/>
      <c r="B670" s="1"/>
      <c r="C670" s="1"/>
      <c r="D670" s="1"/>
      <c r="E670" s="1"/>
      <c r="F670" s="1"/>
      <c r="G670" s="1"/>
      <c r="H670" s="1"/>
    </row>
    <row r="671" spans="1:8">
      <c r="A671" s="1"/>
      <c r="B671" s="1"/>
      <c r="C671" s="1"/>
      <c r="D671" s="1"/>
      <c r="E671" s="1"/>
      <c r="F671" s="1"/>
      <c r="G671" s="1"/>
      <c r="H671" s="1"/>
    </row>
    <row r="672" spans="1:8">
      <c r="A672" s="1"/>
      <c r="B672" s="1"/>
      <c r="C672" s="1"/>
      <c r="D672" s="1"/>
      <c r="E672" s="1"/>
      <c r="F672" s="1"/>
      <c r="G672" s="1"/>
      <c r="H672" s="1"/>
    </row>
    <row r="673" spans="1:8">
      <c r="A673" s="1"/>
      <c r="B673" s="1"/>
      <c r="C673" s="1"/>
      <c r="D673" s="1"/>
      <c r="E673" s="1"/>
      <c r="F673" s="1"/>
      <c r="G673" s="1"/>
      <c r="H673" s="1"/>
    </row>
    <row r="674" spans="1:8">
      <c r="A674" s="1"/>
      <c r="B674" s="1"/>
      <c r="C674" s="1"/>
      <c r="D674" s="1"/>
      <c r="E674" s="1"/>
      <c r="F674" s="1"/>
      <c r="G674" s="1"/>
      <c r="H674" s="1"/>
    </row>
    <row r="675" spans="1:8">
      <c r="A675" s="1"/>
      <c r="B675" s="1"/>
      <c r="C675" s="1"/>
      <c r="D675" s="1"/>
      <c r="E675" s="1"/>
      <c r="F675" s="1"/>
      <c r="G675" s="1"/>
      <c r="H675" s="1"/>
    </row>
    <row r="676" spans="1:8">
      <c r="A676" s="1"/>
      <c r="B676" s="1"/>
      <c r="C676" s="1"/>
      <c r="D676" s="1"/>
      <c r="E676" s="1"/>
      <c r="F676" s="1"/>
      <c r="G676" s="1"/>
      <c r="H676" s="1"/>
    </row>
    <row r="677" spans="1:8">
      <c r="A677" s="1"/>
      <c r="B677" s="1"/>
      <c r="C677" s="1"/>
      <c r="D677" s="1"/>
      <c r="E677" s="1"/>
      <c r="F677" s="1"/>
      <c r="G677" s="1"/>
      <c r="H677" s="1"/>
    </row>
    <row r="678" spans="1:8">
      <c r="A678" s="1"/>
      <c r="B678" s="1"/>
      <c r="C678" s="1"/>
      <c r="D678" s="1"/>
      <c r="E678" s="1"/>
      <c r="F678" s="1"/>
      <c r="G678" s="1"/>
      <c r="H678" s="1"/>
    </row>
    <row r="679" spans="1:8">
      <c r="A679" s="1"/>
      <c r="B679" s="1"/>
      <c r="C679" s="1"/>
      <c r="D679" s="1"/>
      <c r="E679" s="1"/>
      <c r="F679" s="1"/>
      <c r="G679" s="1"/>
      <c r="H679" s="1"/>
    </row>
    <row r="680" spans="1:8">
      <c r="A680" s="1"/>
      <c r="B680" s="1"/>
      <c r="C680" s="1"/>
      <c r="D680" s="1"/>
      <c r="E680" s="1"/>
      <c r="F680" s="1"/>
      <c r="G680" s="1"/>
      <c r="H680" s="1"/>
    </row>
    <row r="681" spans="1:8">
      <c r="A681" s="1"/>
      <c r="B681" s="1"/>
      <c r="C681" s="1"/>
      <c r="D681" s="1"/>
      <c r="E681" s="1"/>
      <c r="F681" s="1"/>
      <c r="G681" s="1"/>
      <c r="H681" s="1"/>
    </row>
    <row r="682" spans="1:8">
      <c r="A682" s="1"/>
      <c r="B682" s="1"/>
      <c r="C682" s="1"/>
      <c r="D682" s="1"/>
      <c r="E682" s="1"/>
      <c r="F682" s="1"/>
      <c r="G682" s="1"/>
      <c r="H682" s="1"/>
    </row>
    <row r="683" spans="1:8">
      <c r="A683" s="1"/>
      <c r="B683" s="1"/>
      <c r="C683" s="1"/>
      <c r="D683" s="1"/>
      <c r="E683" s="1"/>
      <c r="F683" s="1"/>
      <c r="G683" s="1"/>
      <c r="H683" s="1"/>
    </row>
    <row r="684" spans="1:8">
      <c r="A684" s="1"/>
      <c r="B684" s="1"/>
      <c r="C684" s="1"/>
      <c r="D684" s="1"/>
      <c r="E684" s="1"/>
      <c r="F684" s="1"/>
      <c r="G684" s="1"/>
      <c r="H684" s="1"/>
    </row>
    <row r="685" spans="1:8">
      <c r="A685" s="1"/>
      <c r="B685" s="1"/>
      <c r="C685" s="1"/>
      <c r="D685" s="1"/>
      <c r="E685" s="1"/>
      <c r="F685" s="1"/>
      <c r="G685" s="1"/>
      <c r="H685" s="1"/>
    </row>
    <row r="686" spans="1:8">
      <c r="A686" s="1"/>
      <c r="B686" s="1"/>
      <c r="C686" s="1"/>
      <c r="D686" s="1"/>
      <c r="E686" s="1"/>
      <c r="F686" s="1"/>
      <c r="G686" s="1"/>
      <c r="H686" s="1"/>
    </row>
    <row r="687" spans="1:8">
      <c r="A687" s="1"/>
      <c r="B687" s="1"/>
      <c r="C687" s="1"/>
      <c r="D687" s="1"/>
      <c r="E687" s="1"/>
      <c r="F687" s="1"/>
      <c r="G687" s="1"/>
      <c r="H687" s="1"/>
    </row>
    <row r="688" spans="1:8">
      <c r="A688" s="1"/>
      <c r="B688" s="1"/>
      <c r="C688" s="1"/>
      <c r="D688" s="1"/>
      <c r="E688" s="1"/>
      <c r="F688" s="1"/>
      <c r="G688" s="1"/>
      <c r="H688" s="1"/>
    </row>
    <row r="689" spans="1:8">
      <c r="A689" s="1"/>
      <c r="B689" s="1"/>
      <c r="C689" s="1"/>
      <c r="D689" s="1"/>
      <c r="E689" s="1"/>
      <c r="F689" s="1"/>
      <c r="G689" s="1"/>
      <c r="H689" s="1"/>
    </row>
    <row r="690" spans="1:8">
      <c r="A690" s="1"/>
      <c r="B690" s="1"/>
      <c r="C690" s="1"/>
      <c r="D690" s="1"/>
      <c r="E690" s="1"/>
      <c r="F690" s="1"/>
      <c r="G690" s="1"/>
      <c r="H690" s="1"/>
    </row>
    <row r="691" spans="1:8">
      <c r="A691" s="1"/>
      <c r="B691" s="1"/>
      <c r="C691" s="1"/>
      <c r="D691" s="1"/>
      <c r="E691" s="1"/>
      <c r="F691" s="1"/>
      <c r="G691" s="1"/>
      <c r="H691" s="1"/>
    </row>
    <row r="692" spans="1:8">
      <c r="A692" s="1"/>
      <c r="B692" s="1"/>
      <c r="C692" s="1"/>
      <c r="D692" s="1"/>
      <c r="E692" s="1"/>
      <c r="F692" s="1"/>
      <c r="G692" s="1"/>
      <c r="H692" s="1"/>
    </row>
    <row r="693" spans="1:8">
      <c r="A693" s="1"/>
      <c r="B693" s="1"/>
      <c r="C693" s="1"/>
      <c r="D693" s="1"/>
      <c r="E693" s="1"/>
      <c r="F693" s="1"/>
      <c r="G693" s="1"/>
      <c r="H693" s="1"/>
    </row>
    <row r="694" spans="1:8">
      <c r="A694" s="1"/>
      <c r="B694" s="1"/>
      <c r="C694" s="1"/>
      <c r="D694" s="1"/>
      <c r="E694" s="1"/>
      <c r="F694" s="1"/>
      <c r="G694" s="1"/>
      <c r="H694" s="1"/>
    </row>
    <row r="695" spans="1:8">
      <c r="A695" s="1"/>
      <c r="B695" s="1"/>
      <c r="C695" s="1"/>
      <c r="D695" s="1"/>
      <c r="E695" s="1"/>
      <c r="F695" s="1"/>
      <c r="G695" s="1"/>
      <c r="H695" s="1"/>
    </row>
    <row r="696" spans="1:8">
      <c r="A696" s="1"/>
      <c r="B696" s="1"/>
      <c r="C696" s="1"/>
      <c r="D696" s="1"/>
      <c r="E696" s="1"/>
      <c r="F696" s="1"/>
      <c r="G696" s="1"/>
      <c r="H696" s="1"/>
    </row>
    <row r="697" spans="1:8">
      <c r="A697" s="1"/>
      <c r="B697" s="1"/>
      <c r="C697" s="1"/>
      <c r="D697" s="1"/>
      <c r="E697" s="1"/>
      <c r="F697" s="1"/>
      <c r="G697" s="1"/>
      <c r="H697" s="1"/>
    </row>
    <row r="698" spans="1:8">
      <c r="A698" s="1"/>
      <c r="B698" s="1"/>
      <c r="C698" s="1"/>
      <c r="D698" s="1"/>
      <c r="E698" s="1"/>
      <c r="F698" s="1"/>
      <c r="G698" s="1"/>
      <c r="H698" s="1"/>
    </row>
    <row r="699" spans="1:8">
      <c r="A699" s="1"/>
      <c r="B699" s="1"/>
      <c r="C699" s="1"/>
      <c r="D699" s="1"/>
      <c r="E699" s="1"/>
      <c r="F699" s="1"/>
      <c r="G699" s="1"/>
      <c r="H699" s="1"/>
    </row>
    <row r="700" spans="1:8">
      <c r="A700" s="1"/>
      <c r="B700" s="1"/>
      <c r="C700" s="1"/>
      <c r="D700" s="1"/>
      <c r="E700" s="1"/>
      <c r="F700" s="1"/>
      <c r="G700" s="1"/>
      <c r="H700" s="1"/>
    </row>
    <row r="701" spans="1:8">
      <c r="A701" s="1"/>
      <c r="B701" s="1"/>
      <c r="C701" s="1"/>
      <c r="D701" s="1"/>
      <c r="E701" s="1"/>
      <c r="F701" s="1"/>
      <c r="G701" s="1"/>
      <c r="H701" s="1"/>
    </row>
    <row r="702" spans="1:8">
      <c r="A702" s="1"/>
      <c r="B702" s="1"/>
      <c r="C702" s="1"/>
      <c r="D702" s="1"/>
      <c r="E702" s="1"/>
      <c r="F702" s="1"/>
      <c r="G702" s="1"/>
      <c r="H702" s="1"/>
    </row>
    <row r="703" spans="1:8">
      <c r="A703" s="1"/>
      <c r="B703" s="1"/>
      <c r="C703" s="1"/>
      <c r="D703" s="1"/>
      <c r="E703" s="1"/>
      <c r="F703" s="1"/>
      <c r="G703" s="1"/>
      <c r="H703" s="1"/>
    </row>
    <row r="704" spans="1:8">
      <c r="A704" s="1"/>
      <c r="B704" s="1"/>
      <c r="C704" s="1"/>
      <c r="D704" s="1"/>
      <c r="E704" s="1"/>
      <c r="F704" s="1"/>
      <c r="G704" s="1"/>
      <c r="H704" s="1"/>
    </row>
    <row r="705" spans="1:8">
      <c r="A705" s="1"/>
      <c r="B705" s="1"/>
      <c r="C705" s="1"/>
      <c r="D705" s="1"/>
      <c r="E705" s="1"/>
      <c r="F705" s="1"/>
      <c r="G705" s="1"/>
      <c r="H705" s="1"/>
    </row>
    <row r="706" spans="1:8">
      <c r="A706" s="1"/>
      <c r="B706" s="1"/>
      <c r="C706" s="1"/>
      <c r="D706" s="1"/>
      <c r="E706" s="1"/>
      <c r="F706" s="1"/>
      <c r="G706" s="1"/>
      <c r="H706" s="1"/>
    </row>
    <row r="707" spans="1:8">
      <c r="A707" s="1"/>
      <c r="B707" s="1"/>
      <c r="C707" s="1"/>
      <c r="D707" s="1"/>
      <c r="E707" s="1"/>
      <c r="F707" s="1"/>
      <c r="G707" s="1"/>
      <c r="H707" s="1"/>
    </row>
    <row r="708" spans="1:8">
      <c r="A708" s="1"/>
      <c r="B708" s="1"/>
      <c r="C708" s="1"/>
      <c r="D708" s="1"/>
      <c r="E708" s="1"/>
      <c r="F708" s="1"/>
      <c r="G708" s="1"/>
      <c r="H708" s="1"/>
    </row>
    <row r="709" spans="1:8">
      <c r="A709" s="1"/>
      <c r="B709" s="1"/>
      <c r="C709" s="1"/>
      <c r="D709" s="1"/>
      <c r="E709" s="1"/>
      <c r="F709" s="1"/>
      <c r="G709" s="1"/>
      <c r="H709" s="1"/>
    </row>
    <row r="710" spans="1:8">
      <c r="A710" s="1"/>
      <c r="B710" s="1"/>
      <c r="C710" s="1"/>
      <c r="D710" s="1"/>
      <c r="E710" s="1"/>
      <c r="F710" s="1"/>
      <c r="G710" s="1"/>
      <c r="H710" s="1"/>
    </row>
    <row r="711" spans="1:8">
      <c r="A711" s="1"/>
      <c r="B711" s="1"/>
      <c r="C711" s="1"/>
      <c r="D711" s="1"/>
      <c r="E711" s="1"/>
      <c r="F711" s="1"/>
      <c r="G711" s="1"/>
      <c r="H711" s="1"/>
    </row>
    <row r="712" spans="1:8">
      <c r="A712" s="1"/>
      <c r="B712" s="1"/>
      <c r="C712" s="1"/>
      <c r="D712" s="1"/>
      <c r="E712" s="1"/>
      <c r="F712" s="1"/>
      <c r="G712" s="1"/>
      <c r="H712" s="1"/>
    </row>
    <row r="713" spans="1:8">
      <c r="A713" s="1"/>
      <c r="B713" s="1"/>
      <c r="C713" s="1"/>
      <c r="D713" s="1"/>
      <c r="E713" s="1"/>
      <c r="F713" s="1"/>
      <c r="G713" s="1"/>
      <c r="H713" s="1"/>
    </row>
    <row r="714" spans="1:8">
      <c r="A714" s="1"/>
      <c r="B714" s="1"/>
      <c r="C714" s="1"/>
      <c r="D714" s="1"/>
      <c r="E714" s="1"/>
      <c r="F714" s="1"/>
      <c r="G714" s="1"/>
      <c r="H714" s="1"/>
    </row>
    <row r="715" spans="1:8">
      <c r="A715" s="1"/>
      <c r="B715" s="1"/>
      <c r="C715" s="1"/>
      <c r="D715" s="1"/>
      <c r="E715" s="1"/>
      <c r="F715" s="1"/>
      <c r="G715" s="1"/>
      <c r="H715" s="1"/>
    </row>
    <row r="716" spans="1:8">
      <c r="A716" s="1"/>
      <c r="B716" s="1"/>
      <c r="C716" s="1"/>
      <c r="D716" s="1"/>
      <c r="E716" s="1"/>
      <c r="F716" s="1"/>
      <c r="G716" s="1"/>
      <c r="H716" s="1"/>
    </row>
    <row r="717" spans="1:8">
      <c r="A717" s="1"/>
      <c r="B717" s="1"/>
      <c r="C717" s="1"/>
      <c r="D717" s="1"/>
      <c r="E717" s="1"/>
      <c r="F717" s="1"/>
      <c r="G717" s="1"/>
      <c r="H717" s="1"/>
    </row>
    <row r="718" spans="1:8">
      <c r="A718" s="1"/>
      <c r="B718" s="1"/>
      <c r="C718" s="1"/>
      <c r="D718" s="1"/>
      <c r="E718" s="1"/>
      <c r="F718" s="1"/>
      <c r="G718" s="1"/>
      <c r="H718" s="1"/>
    </row>
    <row r="719" spans="1:8">
      <c r="A719" s="1"/>
      <c r="B719" s="1"/>
      <c r="C719" s="1"/>
      <c r="D719" s="1"/>
      <c r="E719" s="1"/>
      <c r="F719" s="1"/>
      <c r="G719" s="1"/>
      <c r="H719" s="1"/>
    </row>
    <row r="720" spans="1:8">
      <c r="A720" s="1"/>
      <c r="B720" s="1"/>
      <c r="C720" s="1"/>
      <c r="D720" s="1"/>
      <c r="E720" s="1"/>
      <c r="F720" s="1"/>
      <c r="G720" s="1"/>
      <c r="H720" s="1"/>
    </row>
    <row r="721" spans="1:8">
      <c r="A721" s="1"/>
      <c r="B721" s="1"/>
      <c r="C721" s="1"/>
      <c r="D721" s="1"/>
      <c r="E721" s="1"/>
      <c r="F721" s="1"/>
      <c r="G721" s="1"/>
      <c r="H721" s="1"/>
    </row>
    <row r="722" spans="1:8">
      <c r="A722" s="1"/>
      <c r="B722" s="1"/>
      <c r="C722" s="1"/>
      <c r="D722" s="1"/>
      <c r="E722" s="1"/>
      <c r="F722" s="1"/>
      <c r="G722" s="1"/>
      <c r="H722" s="1"/>
    </row>
    <row r="723" spans="1:8">
      <c r="A723" s="1"/>
      <c r="B723" s="1"/>
      <c r="C723" s="1"/>
      <c r="D723" s="1"/>
      <c r="E723" s="1"/>
      <c r="F723" s="1"/>
      <c r="G723" s="1"/>
      <c r="H723" s="1"/>
    </row>
    <row r="724" spans="1:8">
      <c r="A724" s="1"/>
      <c r="B724" s="1"/>
      <c r="C724" s="1"/>
      <c r="D724" s="1"/>
      <c r="E724" s="1"/>
      <c r="F724" s="1"/>
      <c r="G724" s="1"/>
      <c r="H724" s="1"/>
    </row>
    <row r="725" spans="1:8">
      <c r="A725" s="1"/>
      <c r="B725" s="1"/>
      <c r="C725" s="1"/>
      <c r="D725" s="1"/>
      <c r="E725" s="1"/>
      <c r="F725" s="1"/>
      <c r="G725" s="1"/>
      <c r="H725" s="1"/>
    </row>
    <row r="726" spans="1:8">
      <c r="A726" s="1"/>
      <c r="B726" s="1"/>
      <c r="C726" s="1"/>
      <c r="D726" s="1"/>
      <c r="E726" s="1"/>
      <c r="F726" s="1"/>
      <c r="G726" s="1"/>
      <c r="H726" s="1"/>
    </row>
    <row r="727" spans="1:8">
      <c r="A727" s="1"/>
      <c r="B727" s="1"/>
      <c r="C727" s="1"/>
      <c r="D727" s="1"/>
      <c r="E727" s="1"/>
      <c r="F727" s="1"/>
      <c r="G727" s="1"/>
      <c r="H727" s="1"/>
    </row>
    <row r="728" spans="1:8">
      <c r="A728" s="1"/>
      <c r="B728" s="1"/>
      <c r="C728" s="1"/>
      <c r="D728" s="1"/>
      <c r="E728" s="1"/>
      <c r="F728" s="1"/>
      <c r="G728" s="1"/>
      <c r="H728" s="1"/>
    </row>
    <row r="729" spans="1:8">
      <c r="A729" s="1"/>
      <c r="B729" s="1"/>
      <c r="C729" s="1"/>
      <c r="D729" s="1"/>
      <c r="E729" s="1"/>
      <c r="F729" s="1"/>
      <c r="G729" s="1"/>
      <c r="H729" s="1"/>
    </row>
    <row r="730" spans="1:8">
      <c r="A730" s="1"/>
      <c r="B730" s="1"/>
      <c r="C730" s="1"/>
      <c r="D730" s="1"/>
      <c r="E730" s="1"/>
      <c r="F730" s="1"/>
      <c r="G730" s="1"/>
      <c r="H730" s="1"/>
    </row>
    <row r="731" spans="1:8">
      <c r="A731" s="1"/>
      <c r="B731" s="1"/>
      <c r="C731" s="1"/>
      <c r="D731" s="1"/>
      <c r="E731" s="1"/>
      <c r="F731" s="1"/>
      <c r="G731" s="1"/>
      <c r="H731" s="1"/>
    </row>
    <row r="732" spans="1:8">
      <c r="A732" s="1"/>
      <c r="B732" s="1"/>
      <c r="C732" s="1"/>
      <c r="D732" s="1"/>
      <c r="E732" s="1"/>
      <c r="F732" s="1"/>
      <c r="G732" s="1"/>
      <c r="H732" s="1"/>
    </row>
    <row r="733" spans="1:8">
      <c r="A733" s="1"/>
      <c r="B733" s="1"/>
      <c r="C733" s="1"/>
      <c r="D733" s="1"/>
      <c r="E733" s="1"/>
      <c r="F733" s="1"/>
      <c r="G733" s="1"/>
      <c r="H733" s="1"/>
    </row>
    <row r="734" spans="1:8">
      <c r="A734" s="1"/>
      <c r="B734" s="1"/>
      <c r="C734" s="1"/>
      <c r="D734" s="1"/>
      <c r="E734" s="1"/>
      <c r="F734" s="1"/>
      <c r="G734" s="1"/>
      <c r="H734" s="1"/>
    </row>
    <row r="735" spans="1:8">
      <c r="A735" s="1"/>
      <c r="B735" s="1"/>
      <c r="C735" s="1"/>
      <c r="D735" s="1"/>
      <c r="E735" s="1"/>
      <c r="F735" s="1"/>
      <c r="G735" s="1"/>
      <c r="H735" s="1"/>
    </row>
    <row r="736" spans="1:8">
      <c r="A736" s="1"/>
      <c r="B736" s="1"/>
      <c r="C736" s="1"/>
      <c r="D736" s="1"/>
      <c r="E736" s="1"/>
      <c r="F736" s="1"/>
      <c r="G736" s="1"/>
      <c r="H736" s="1"/>
    </row>
    <row r="737" spans="1:8">
      <c r="A737" s="1"/>
      <c r="B737" s="1"/>
      <c r="C737" s="1"/>
      <c r="D737" s="1"/>
      <c r="E737" s="1"/>
      <c r="F737" s="1"/>
      <c r="G737" s="1"/>
      <c r="H737" s="1"/>
    </row>
    <row r="738" spans="1:8">
      <c r="A738" s="1"/>
      <c r="B738" s="1"/>
      <c r="C738" s="1"/>
      <c r="D738" s="1"/>
      <c r="E738" s="1"/>
      <c r="F738" s="1"/>
      <c r="G738" s="1"/>
      <c r="H738" s="1"/>
    </row>
    <row r="739" spans="1:8">
      <c r="A739" s="1"/>
      <c r="B739" s="1"/>
      <c r="C739" s="1"/>
      <c r="D739" s="1"/>
      <c r="E739" s="1"/>
      <c r="F739" s="1"/>
      <c r="G739" s="1"/>
      <c r="H739" s="1"/>
    </row>
    <row r="740" spans="1:8">
      <c r="A740" s="1"/>
      <c r="B740" s="1"/>
      <c r="C740" s="1"/>
      <c r="D740" s="1"/>
      <c r="E740" s="1"/>
      <c r="F740" s="1"/>
      <c r="G740" s="1"/>
      <c r="H740" s="1"/>
    </row>
    <row r="741" spans="1:8">
      <c r="A741" s="1"/>
      <c r="B741" s="1"/>
      <c r="C741" s="1"/>
      <c r="D741" s="1"/>
      <c r="E741" s="1"/>
      <c r="F741" s="1"/>
      <c r="G741" s="1"/>
      <c r="H741" s="1"/>
    </row>
    <row r="742" spans="1:8">
      <c r="A742" s="1"/>
      <c r="B742" s="1"/>
      <c r="C742" s="1"/>
      <c r="D742" s="1"/>
      <c r="E742" s="1"/>
      <c r="F742" s="1"/>
      <c r="G742" s="1"/>
      <c r="H742" s="1"/>
    </row>
    <row r="743" spans="1:8">
      <c r="A743" s="1"/>
      <c r="B743" s="1"/>
      <c r="C743" s="1"/>
      <c r="D743" s="1"/>
      <c r="E743" s="1"/>
      <c r="F743" s="1"/>
      <c r="G743" s="1"/>
      <c r="H743" s="1"/>
    </row>
    <row r="744" spans="1:8">
      <c r="A744" s="1"/>
      <c r="B744" s="1"/>
      <c r="C744" s="1"/>
      <c r="D744" s="1"/>
      <c r="E744" s="1"/>
      <c r="F744" s="1"/>
      <c r="G744" s="1"/>
      <c r="H744" s="1"/>
    </row>
    <row r="745" spans="1:8">
      <c r="A745" s="1"/>
      <c r="B745" s="1"/>
      <c r="C745" s="1"/>
      <c r="D745" s="1"/>
      <c r="E745" s="1"/>
      <c r="F745" s="1"/>
      <c r="G745" s="1"/>
      <c r="H745" s="1"/>
    </row>
    <row r="746" spans="1:8">
      <c r="A746" s="1"/>
      <c r="B746" s="1"/>
      <c r="C746" s="1"/>
      <c r="D746" s="1"/>
      <c r="E746" s="1"/>
      <c r="F746" s="1"/>
      <c r="G746" s="1"/>
      <c r="H746" s="1"/>
    </row>
    <row r="747" spans="1:8">
      <c r="A747" s="1"/>
      <c r="B747" s="1"/>
      <c r="C747" s="1"/>
      <c r="D747" s="1"/>
      <c r="E747" s="1"/>
      <c r="F747" s="1"/>
      <c r="G747" s="1"/>
      <c r="H747" s="1"/>
    </row>
    <row r="748" spans="1:8">
      <c r="A748" s="1"/>
      <c r="B748" s="1"/>
      <c r="C748" s="1"/>
      <c r="D748" s="1"/>
      <c r="E748" s="1"/>
      <c r="F748" s="1"/>
      <c r="G748" s="1"/>
      <c r="H748" s="1"/>
    </row>
    <row r="749" spans="1:8">
      <c r="A749" s="1"/>
      <c r="B749" s="1"/>
      <c r="C749" s="1"/>
      <c r="D749" s="1"/>
      <c r="E749" s="1"/>
      <c r="F749" s="1"/>
      <c r="G749" s="1"/>
      <c r="H749" s="1"/>
    </row>
    <row r="750" spans="1:8">
      <c r="A750" s="1"/>
      <c r="B750" s="1"/>
      <c r="C750" s="1"/>
      <c r="D750" s="1"/>
      <c r="E750" s="1"/>
      <c r="F750" s="1"/>
      <c r="G750" s="1"/>
      <c r="H750" s="1"/>
    </row>
    <row r="751" spans="1:8">
      <c r="A751" s="1"/>
      <c r="B751" s="1"/>
      <c r="C751" s="1"/>
      <c r="D751" s="1"/>
      <c r="E751" s="1"/>
      <c r="F751" s="1"/>
      <c r="G751" s="1"/>
      <c r="H751" s="1"/>
    </row>
    <row r="752" spans="1:8">
      <c r="A752" s="1"/>
      <c r="B752" s="1"/>
      <c r="C752" s="1"/>
      <c r="D752" s="1"/>
      <c r="E752" s="1"/>
      <c r="F752" s="1"/>
      <c r="G752" s="1"/>
      <c r="H752" s="1"/>
    </row>
    <row r="753" spans="1:8">
      <c r="A753" s="1"/>
      <c r="B753" s="1"/>
      <c r="C753" s="1"/>
      <c r="D753" s="1"/>
      <c r="E753" s="1"/>
      <c r="F753" s="1"/>
      <c r="G753" s="1"/>
      <c r="H753" s="1"/>
    </row>
    <row r="754" spans="1:8">
      <c r="A754" s="1"/>
      <c r="B754" s="1"/>
      <c r="C754" s="1"/>
      <c r="D754" s="1"/>
      <c r="E754" s="1"/>
      <c r="F754" s="1"/>
      <c r="G754" s="1"/>
      <c r="H754" s="1"/>
    </row>
    <row r="755" spans="1:8">
      <c r="A755" s="1"/>
      <c r="B755" s="1"/>
      <c r="C755" s="1"/>
      <c r="D755" s="1"/>
      <c r="E755" s="1"/>
      <c r="F755" s="1"/>
      <c r="G755" s="1"/>
      <c r="H755" s="1"/>
    </row>
    <row r="756" spans="1:8">
      <c r="A756" s="1"/>
      <c r="B756" s="1"/>
      <c r="C756" s="1"/>
      <c r="D756" s="1"/>
      <c r="E756" s="1"/>
      <c r="F756" s="1"/>
      <c r="G756" s="1"/>
      <c r="H756" s="1"/>
    </row>
    <row r="757" spans="1:8">
      <c r="A757" s="1"/>
      <c r="B757" s="1"/>
      <c r="C757" s="1"/>
      <c r="D757" s="1"/>
      <c r="E757" s="1"/>
      <c r="F757" s="1"/>
      <c r="G757" s="1"/>
      <c r="H757" s="1"/>
    </row>
    <row r="758" spans="1:8">
      <c r="A758" s="1"/>
      <c r="B758" s="1"/>
      <c r="C758" s="1"/>
      <c r="D758" s="1"/>
      <c r="E758" s="1"/>
      <c r="F758" s="1"/>
      <c r="G758" s="1"/>
      <c r="H758" s="1"/>
    </row>
    <row r="759" spans="1:8">
      <c r="A759" s="1"/>
      <c r="B759" s="1"/>
      <c r="C759" s="1"/>
      <c r="D759" s="1"/>
      <c r="E759" s="1"/>
      <c r="F759" s="1"/>
      <c r="G759" s="1"/>
      <c r="H759" s="1"/>
    </row>
    <row r="760" spans="1:8">
      <c r="A760" s="1"/>
      <c r="B760" s="1"/>
      <c r="C760" s="1"/>
      <c r="D760" s="1"/>
      <c r="E760" s="1"/>
      <c r="F760" s="1"/>
      <c r="G760" s="1"/>
      <c r="H760" s="1"/>
    </row>
    <row r="761" spans="1:8">
      <c r="A761" s="1"/>
      <c r="B761" s="1"/>
      <c r="C761" s="1"/>
      <c r="D761" s="1"/>
      <c r="E761" s="1"/>
      <c r="F761" s="1"/>
      <c r="G761" s="1"/>
      <c r="H761" s="1"/>
    </row>
    <row r="762" spans="1:8">
      <c r="A762" s="1"/>
      <c r="B762" s="1"/>
      <c r="C762" s="1"/>
      <c r="D762" s="1"/>
      <c r="E762" s="1"/>
      <c r="F762" s="1"/>
      <c r="G762" s="1"/>
      <c r="H762" s="1"/>
    </row>
    <row r="763" spans="1:8">
      <c r="A763" s="1"/>
      <c r="B763" s="1"/>
      <c r="C763" s="1"/>
      <c r="D763" s="1"/>
      <c r="E763" s="1"/>
      <c r="F763" s="1"/>
      <c r="G763" s="1"/>
      <c r="H763" s="1"/>
    </row>
    <row r="764" spans="1:8">
      <c r="A764" s="1"/>
      <c r="B764" s="1"/>
      <c r="C764" s="1"/>
      <c r="D764" s="1"/>
      <c r="E764" s="1"/>
      <c r="F764" s="1"/>
      <c r="G764" s="1"/>
      <c r="H764" s="1"/>
    </row>
    <row r="765" spans="1:8">
      <c r="A765" s="1"/>
      <c r="B765" s="1"/>
      <c r="C765" s="1"/>
      <c r="D765" s="1"/>
      <c r="E765" s="1"/>
      <c r="F765" s="1"/>
      <c r="G765" s="1"/>
      <c r="H765" s="1"/>
    </row>
    <row r="766" spans="1:8">
      <c r="A766" s="1"/>
      <c r="B766" s="1"/>
      <c r="C766" s="1"/>
      <c r="D766" s="1"/>
      <c r="E766" s="1"/>
      <c r="F766" s="1"/>
      <c r="G766" s="1"/>
      <c r="H766" s="1"/>
    </row>
    <row r="767" spans="1:8">
      <c r="A767" s="1"/>
      <c r="B767" s="1"/>
      <c r="C767" s="1"/>
      <c r="D767" s="1"/>
      <c r="E767" s="1"/>
      <c r="F767" s="1"/>
      <c r="G767" s="1"/>
      <c r="H767" s="1"/>
    </row>
    <row r="768" spans="1:8">
      <c r="A768" s="1"/>
      <c r="B768" s="1"/>
      <c r="C768" s="1"/>
      <c r="D768" s="1"/>
      <c r="E768" s="1"/>
      <c r="F768" s="1"/>
      <c r="G768" s="1"/>
      <c r="H768" s="1"/>
    </row>
    <row r="769" spans="1:8">
      <c r="A769" s="1"/>
      <c r="B769" s="1"/>
      <c r="C769" s="1"/>
      <c r="D769" s="1"/>
      <c r="E769" s="1"/>
      <c r="F769" s="1"/>
      <c r="G769" s="1"/>
      <c r="H769" s="1"/>
    </row>
    <row r="770" spans="1:8">
      <c r="A770" s="1"/>
      <c r="B770" s="1"/>
      <c r="C770" s="1"/>
      <c r="D770" s="1"/>
      <c r="E770" s="1"/>
      <c r="F770" s="1"/>
      <c r="G770" s="1"/>
      <c r="H770" s="1"/>
    </row>
    <row r="771" spans="1:8">
      <c r="A771" s="1"/>
      <c r="B771" s="1"/>
      <c r="C771" s="1"/>
      <c r="D771" s="1"/>
      <c r="E771" s="1"/>
      <c r="F771" s="1"/>
      <c r="G771" s="1"/>
      <c r="H771" s="1"/>
    </row>
    <row r="772" spans="1:8">
      <c r="A772" s="1"/>
      <c r="B772" s="1"/>
      <c r="C772" s="1"/>
      <c r="D772" s="1"/>
      <c r="E772" s="1"/>
      <c r="F772" s="1"/>
      <c r="G772" s="1"/>
      <c r="H772" s="1"/>
    </row>
    <row r="773" spans="1:8">
      <c r="A773" s="1"/>
      <c r="B773" s="1"/>
      <c r="C773" s="1"/>
      <c r="D773" s="1"/>
      <c r="E773" s="1"/>
      <c r="F773" s="1"/>
      <c r="G773" s="1"/>
      <c r="H773" s="1"/>
    </row>
    <row r="774" spans="1:8">
      <c r="A774" s="1"/>
      <c r="B774" s="1"/>
      <c r="C774" s="1"/>
      <c r="D774" s="1"/>
      <c r="E774" s="1"/>
      <c r="F774" s="1"/>
      <c r="G774" s="1"/>
      <c r="H774" s="1"/>
    </row>
    <row r="775" spans="1:8">
      <c r="A775" s="1"/>
      <c r="B775" s="1"/>
      <c r="C775" s="1"/>
      <c r="D775" s="1"/>
      <c r="E775" s="1"/>
      <c r="F775" s="1"/>
      <c r="G775" s="1"/>
      <c r="H775" s="1"/>
    </row>
    <row r="776" spans="1:8">
      <c r="A776" s="1"/>
      <c r="B776" s="1"/>
      <c r="C776" s="1"/>
      <c r="D776" s="1"/>
      <c r="E776" s="1"/>
      <c r="F776" s="1"/>
      <c r="G776" s="1"/>
      <c r="H776" s="1"/>
    </row>
    <row r="777" spans="1:8">
      <c r="A777" s="1"/>
      <c r="B777" s="1"/>
      <c r="C777" s="1"/>
      <c r="D777" s="1"/>
      <c r="E777" s="1"/>
      <c r="F777" s="1"/>
      <c r="G777" s="1"/>
      <c r="H777" s="1"/>
    </row>
    <row r="778" spans="1:8">
      <c r="A778" s="1"/>
      <c r="B778" s="1"/>
      <c r="C778" s="1"/>
      <c r="D778" s="1"/>
      <c r="E778" s="1"/>
      <c r="F778" s="1"/>
      <c r="G778" s="1"/>
      <c r="H778" s="1"/>
    </row>
    <row r="779" spans="1:8">
      <c r="A779" s="1"/>
      <c r="B779" s="1"/>
      <c r="C779" s="1"/>
      <c r="D779" s="1"/>
      <c r="E779" s="1"/>
      <c r="F779" s="1"/>
      <c r="G779" s="1"/>
      <c r="H779" s="1"/>
    </row>
    <row r="780" spans="1:8">
      <c r="A780" s="1"/>
      <c r="B780" s="1"/>
      <c r="C780" s="1"/>
      <c r="D780" s="1"/>
      <c r="E780" s="1"/>
      <c r="F780" s="1"/>
      <c r="G780" s="1"/>
      <c r="H780" s="1"/>
    </row>
    <row r="781" spans="1:8">
      <c r="A781" s="1"/>
      <c r="B781" s="1"/>
      <c r="C781" s="1"/>
      <c r="D781" s="1"/>
      <c r="E781" s="1"/>
      <c r="F781" s="1"/>
      <c r="G781" s="1"/>
      <c r="H781" s="1"/>
    </row>
    <row r="782" spans="1:8">
      <c r="A782" s="1"/>
      <c r="B782" s="1"/>
      <c r="C782" s="1"/>
      <c r="D782" s="1"/>
      <c r="E782" s="1"/>
      <c r="F782" s="1"/>
      <c r="G782" s="1"/>
      <c r="H782" s="1"/>
    </row>
    <row r="783" spans="1:8">
      <c r="A783" s="1"/>
      <c r="B783" s="1"/>
      <c r="C783" s="1"/>
      <c r="D783" s="1"/>
      <c r="E783" s="1"/>
      <c r="F783" s="1"/>
      <c r="G783" s="1"/>
      <c r="H783" s="1"/>
    </row>
    <row r="784" spans="1:8">
      <c r="A784" s="1"/>
      <c r="B784" s="1"/>
      <c r="C784" s="1"/>
      <c r="D784" s="1"/>
      <c r="E784" s="1"/>
      <c r="F784" s="1"/>
      <c r="G784" s="1"/>
      <c r="H784" s="1"/>
    </row>
    <row r="785" spans="1:8">
      <c r="A785" s="1"/>
      <c r="B785" s="1"/>
      <c r="C785" s="1"/>
      <c r="D785" s="1"/>
      <c r="E785" s="1"/>
      <c r="F785" s="1"/>
      <c r="G785" s="1"/>
      <c r="H785" s="1"/>
    </row>
    <row r="786" spans="1:8">
      <c r="A786" s="1"/>
      <c r="B786" s="1"/>
      <c r="C786" s="1"/>
      <c r="D786" s="1"/>
      <c r="E786" s="1"/>
      <c r="F786" s="1"/>
      <c r="G786" s="1"/>
      <c r="H786" s="1"/>
    </row>
    <row r="787" spans="1:8">
      <c r="A787" s="1"/>
      <c r="B787" s="1"/>
      <c r="C787" s="1"/>
      <c r="D787" s="1"/>
      <c r="E787" s="1"/>
      <c r="F787" s="1"/>
      <c r="G787" s="1"/>
      <c r="H787" s="1"/>
    </row>
    <row r="788" spans="1:8">
      <c r="A788" s="1"/>
      <c r="B788" s="1"/>
      <c r="C788" s="1"/>
      <c r="D788" s="1"/>
      <c r="E788" s="1"/>
      <c r="F788" s="1"/>
      <c r="G788" s="1"/>
      <c r="H788" s="1"/>
    </row>
    <row r="789" spans="1:8">
      <c r="A789" s="1"/>
      <c r="B789" s="1"/>
      <c r="C789" s="1"/>
      <c r="D789" s="1"/>
      <c r="E789" s="1"/>
      <c r="F789" s="1"/>
      <c r="G789" s="1"/>
      <c r="H789" s="1"/>
    </row>
    <row r="790" spans="1:8">
      <c r="A790" s="1"/>
      <c r="B790" s="1"/>
      <c r="C790" s="1"/>
      <c r="D790" s="1"/>
      <c r="E790" s="1"/>
      <c r="F790" s="1"/>
      <c r="G790" s="1"/>
      <c r="H790" s="1"/>
    </row>
    <row r="791" spans="1:8">
      <c r="A791" s="1"/>
      <c r="B791" s="1"/>
      <c r="C791" s="1"/>
      <c r="D791" s="1"/>
      <c r="E791" s="1"/>
      <c r="F791" s="1"/>
      <c r="G791" s="1"/>
      <c r="H791" s="1"/>
    </row>
    <row r="792" spans="1:8">
      <c r="A792" s="1"/>
      <c r="B792" s="1"/>
      <c r="C792" s="1"/>
      <c r="D792" s="1"/>
      <c r="E792" s="1"/>
      <c r="F792" s="1"/>
      <c r="G792" s="1"/>
      <c r="H792" s="1"/>
    </row>
    <row r="793" spans="1:8">
      <c r="A793" s="1"/>
      <c r="B793" s="1"/>
      <c r="C793" s="1"/>
      <c r="D793" s="1"/>
      <c r="E793" s="1"/>
      <c r="F793" s="1"/>
      <c r="G793" s="1"/>
      <c r="H793" s="1"/>
    </row>
    <row r="794" spans="1:8">
      <c r="A794" s="1"/>
      <c r="B794" s="1"/>
      <c r="C794" s="1"/>
      <c r="D794" s="1"/>
      <c r="E794" s="1"/>
      <c r="F794" s="1"/>
      <c r="G794" s="1"/>
      <c r="H794" s="1"/>
    </row>
    <row r="795" spans="1:8">
      <c r="A795" s="1"/>
      <c r="B795" s="1"/>
      <c r="C795" s="1"/>
      <c r="D795" s="1"/>
      <c r="E795" s="1"/>
      <c r="F795" s="1"/>
      <c r="G795" s="1"/>
      <c r="H795" s="1"/>
    </row>
    <row r="796" spans="1:8">
      <c r="A796" s="1"/>
      <c r="B796" s="1"/>
      <c r="C796" s="1"/>
      <c r="D796" s="1"/>
      <c r="E796" s="1"/>
      <c r="F796" s="1"/>
      <c r="G796" s="1"/>
      <c r="H796" s="1"/>
    </row>
    <row r="797" spans="1:8">
      <c r="A797" s="1"/>
      <c r="B797" s="1"/>
      <c r="C797" s="1"/>
      <c r="D797" s="1"/>
      <c r="E797" s="1"/>
      <c r="F797" s="1"/>
      <c r="G797" s="1"/>
      <c r="H797" s="1"/>
    </row>
    <row r="798" spans="1:8">
      <c r="A798" s="1"/>
      <c r="B798" s="1"/>
      <c r="C798" s="1"/>
      <c r="D798" s="1"/>
      <c r="E798" s="1"/>
      <c r="F798" s="1"/>
      <c r="G798" s="1"/>
      <c r="H798" s="1"/>
    </row>
    <row r="799" spans="1:8">
      <c r="A799" s="1"/>
      <c r="B799" s="1"/>
      <c r="C799" s="1"/>
      <c r="D799" s="1"/>
      <c r="E799" s="1"/>
      <c r="F799" s="1"/>
      <c r="G799" s="1"/>
      <c r="H799" s="1"/>
    </row>
    <row r="800" spans="1:8">
      <c r="A800" s="1"/>
      <c r="B800" s="1"/>
      <c r="C800" s="1"/>
      <c r="D800" s="1"/>
      <c r="E800" s="1"/>
      <c r="F800" s="1"/>
      <c r="G800" s="1"/>
      <c r="H800" s="1"/>
    </row>
    <row r="801" spans="1:8">
      <c r="A801" s="1"/>
      <c r="B801" s="1"/>
      <c r="C801" s="1"/>
      <c r="D801" s="1"/>
      <c r="E801" s="1"/>
      <c r="F801" s="1"/>
      <c r="G801" s="1"/>
      <c r="H801" s="1"/>
    </row>
    <row r="802" spans="1:8">
      <c r="A802" s="1"/>
      <c r="B802" s="1"/>
      <c r="C802" s="1"/>
      <c r="D802" s="1"/>
      <c r="E802" s="1"/>
      <c r="F802" s="1"/>
      <c r="G802" s="1"/>
      <c r="H802" s="1"/>
    </row>
    <row r="803" spans="1:8">
      <c r="A803" s="1"/>
      <c r="B803" s="1"/>
      <c r="C803" s="1"/>
      <c r="D803" s="1"/>
      <c r="E803" s="1"/>
      <c r="F803" s="1"/>
      <c r="G803" s="1"/>
      <c r="H803" s="1"/>
    </row>
    <row r="804" spans="1:8">
      <c r="A804" s="1"/>
      <c r="B804" s="1"/>
      <c r="C804" s="1"/>
      <c r="D804" s="1"/>
      <c r="E804" s="1"/>
      <c r="F804" s="1"/>
      <c r="G804" s="1"/>
      <c r="H804" s="1"/>
    </row>
    <row r="805" spans="1:8">
      <c r="A805" s="1"/>
      <c r="B805" s="1"/>
      <c r="C805" s="1"/>
      <c r="D805" s="1"/>
      <c r="E805" s="1"/>
      <c r="F805" s="1"/>
      <c r="G805" s="1"/>
      <c r="H805" s="1"/>
    </row>
    <row r="806" spans="1:8">
      <c r="A806" s="1"/>
      <c r="B806" s="1"/>
      <c r="C806" s="1"/>
      <c r="D806" s="1"/>
      <c r="E806" s="1"/>
      <c r="F806" s="1"/>
      <c r="G806" s="1"/>
      <c r="H806" s="1"/>
    </row>
    <row r="807" spans="1:8">
      <c r="A807" s="1"/>
      <c r="B807" s="1"/>
      <c r="C807" s="1"/>
      <c r="D807" s="1"/>
      <c r="E807" s="1"/>
      <c r="F807" s="1"/>
      <c r="G807" s="1"/>
      <c r="H807" s="1"/>
    </row>
    <row r="808" spans="1:8">
      <c r="A808" s="1"/>
      <c r="B808" s="1"/>
      <c r="C808" s="1"/>
      <c r="D808" s="1"/>
      <c r="E808" s="1"/>
      <c r="F808" s="1"/>
      <c r="G808" s="1"/>
      <c r="H808" s="1"/>
    </row>
    <row r="809" spans="1:8">
      <c r="A809" s="1"/>
      <c r="B809" s="1"/>
      <c r="C809" s="1"/>
      <c r="D809" s="1"/>
      <c r="E809" s="1"/>
      <c r="F809" s="1"/>
      <c r="G809" s="1"/>
      <c r="H809" s="1"/>
    </row>
    <row r="810" spans="1:8">
      <c r="A810" s="1"/>
      <c r="B810" s="1"/>
      <c r="C810" s="1"/>
      <c r="D810" s="1"/>
      <c r="E810" s="1"/>
      <c r="F810" s="1"/>
      <c r="G810" s="1"/>
      <c r="H810" s="1"/>
    </row>
    <row r="811" spans="1:8">
      <c r="A811" s="1"/>
      <c r="B811" s="1"/>
      <c r="C811" s="1"/>
      <c r="D811" s="1"/>
      <c r="E811" s="1"/>
      <c r="F811" s="1"/>
      <c r="G811" s="1"/>
      <c r="H811" s="1"/>
    </row>
    <row r="812" spans="1:8">
      <c r="A812" s="1"/>
      <c r="B812" s="1"/>
      <c r="C812" s="1"/>
      <c r="D812" s="1"/>
      <c r="E812" s="1"/>
      <c r="F812" s="1"/>
      <c r="G812" s="1"/>
      <c r="H812" s="1"/>
    </row>
    <row r="813" spans="1:8">
      <c r="A813" s="1"/>
      <c r="B813" s="1"/>
      <c r="C813" s="1"/>
      <c r="D813" s="1"/>
      <c r="E813" s="1"/>
      <c r="F813" s="1"/>
      <c r="G813" s="1"/>
      <c r="H813" s="1"/>
    </row>
    <row r="814" spans="1:8">
      <c r="A814" s="1"/>
      <c r="B814" s="1"/>
      <c r="C814" s="1"/>
      <c r="D814" s="1"/>
      <c r="E814" s="1"/>
      <c r="F814" s="1"/>
      <c r="G814" s="1"/>
      <c r="H814" s="1"/>
    </row>
    <row r="815" spans="1:8">
      <c r="A815" s="1"/>
      <c r="B815" s="1"/>
      <c r="C815" s="1"/>
      <c r="D815" s="1"/>
      <c r="E815" s="1"/>
      <c r="F815" s="1"/>
      <c r="G815" s="1"/>
      <c r="H815" s="1"/>
    </row>
    <row r="816" spans="1:8">
      <c r="A816" s="1"/>
      <c r="B816" s="1"/>
      <c r="C816" s="1"/>
      <c r="D816" s="1"/>
      <c r="E816" s="1"/>
      <c r="F816" s="1"/>
      <c r="G816" s="1"/>
      <c r="H816" s="1"/>
    </row>
    <row r="817" spans="1:8">
      <c r="A817" s="1"/>
      <c r="B817" s="1"/>
      <c r="C817" s="1"/>
      <c r="D817" s="1"/>
      <c r="E817" s="1"/>
      <c r="F817" s="1"/>
      <c r="G817" s="1"/>
      <c r="H817" s="1"/>
    </row>
    <row r="818" spans="1:8">
      <c r="A818" s="1"/>
      <c r="B818" s="1"/>
      <c r="C818" s="1"/>
      <c r="D818" s="1"/>
      <c r="E818" s="1"/>
      <c r="F818" s="1"/>
      <c r="G818" s="1"/>
      <c r="H818" s="1"/>
    </row>
    <row r="819" spans="1:8">
      <c r="A819" s="1"/>
      <c r="B819" s="1"/>
      <c r="C819" s="1"/>
      <c r="D819" s="1"/>
      <c r="E819" s="1"/>
      <c r="F819" s="1"/>
      <c r="G819" s="1"/>
      <c r="H819" s="1"/>
    </row>
    <row r="820" spans="1:8">
      <c r="A820" s="1"/>
      <c r="B820" s="1"/>
      <c r="C820" s="1"/>
      <c r="D820" s="1"/>
      <c r="E820" s="1"/>
      <c r="F820" s="1"/>
      <c r="G820" s="1"/>
      <c r="H820" s="1"/>
    </row>
    <row r="821" spans="1:8">
      <c r="A821" s="1"/>
      <c r="B821" s="1"/>
      <c r="C821" s="1"/>
      <c r="D821" s="1"/>
      <c r="E821" s="1"/>
      <c r="F821" s="1"/>
      <c r="G821" s="1"/>
      <c r="H821" s="1"/>
    </row>
    <row r="822" spans="1:8">
      <c r="A822" s="1"/>
      <c r="B822" s="1"/>
      <c r="C822" s="1"/>
      <c r="D822" s="1"/>
      <c r="E822" s="1"/>
      <c r="F822" s="1"/>
      <c r="G822" s="1"/>
      <c r="H822" s="1"/>
    </row>
    <row r="823" spans="1:8">
      <c r="A823" s="1"/>
      <c r="B823" s="1"/>
      <c r="C823" s="1"/>
      <c r="D823" s="1"/>
      <c r="E823" s="1"/>
      <c r="F823" s="1"/>
      <c r="G823" s="1"/>
      <c r="H823" s="1"/>
    </row>
    <row r="824" spans="1:8">
      <c r="A824" s="1"/>
      <c r="B824" s="1"/>
      <c r="C824" s="1"/>
      <c r="D824" s="1"/>
      <c r="E824" s="1"/>
      <c r="F824" s="1"/>
      <c r="G824" s="1"/>
      <c r="H824" s="1"/>
    </row>
    <row r="825" spans="1:8">
      <c r="A825" s="1"/>
      <c r="B825" s="1"/>
      <c r="C825" s="1"/>
      <c r="D825" s="1"/>
      <c r="E825" s="1"/>
      <c r="F825" s="1"/>
      <c r="G825" s="1"/>
      <c r="H825" s="1"/>
    </row>
    <row r="826" spans="1:8">
      <c r="A826" s="1"/>
      <c r="B826" s="1"/>
      <c r="C826" s="1"/>
      <c r="D826" s="1"/>
      <c r="E826" s="1"/>
      <c r="F826" s="1"/>
      <c r="G826" s="1"/>
      <c r="H826" s="1"/>
    </row>
    <row r="827" spans="1:8">
      <c r="A827" s="1"/>
      <c r="B827" s="1"/>
      <c r="C827" s="1"/>
      <c r="D827" s="1"/>
      <c r="E827" s="1"/>
      <c r="F827" s="1"/>
      <c r="G827" s="1"/>
      <c r="H827" s="1"/>
    </row>
    <row r="828" spans="1:8">
      <c r="A828" s="1"/>
      <c r="B828" s="1"/>
      <c r="C828" s="1"/>
      <c r="D828" s="1"/>
      <c r="E828" s="1"/>
      <c r="F828" s="1"/>
      <c r="G828" s="1"/>
      <c r="H828" s="1"/>
    </row>
    <row r="829" spans="1:8">
      <c r="A829" s="1"/>
      <c r="B829" s="1"/>
      <c r="C829" s="1"/>
      <c r="D829" s="1"/>
      <c r="E829" s="1"/>
      <c r="F829" s="1"/>
      <c r="G829" s="1"/>
      <c r="H829" s="1"/>
    </row>
    <row r="830" spans="1:8">
      <c r="A830" s="1"/>
      <c r="B830" s="1"/>
      <c r="C830" s="1"/>
      <c r="D830" s="1"/>
      <c r="E830" s="1"/>
      <c r="F830" s="1"/>
      <c r="G830" s="1"/>
      <c r="H830" s="1"/>
    </row>
    <row r="831" spans="1:8">
      <c r="A831" s="1"/>
      <c r="B831" s="1"/>
      <c r="C831" s="1"/>
      <c r="D831" s="1"/>
      <c r="E831" s="1"/>
      <c r="F831" s="1"/>
      <c r="G831" s="1"/>
      <c r="H831" s="1"/>
    </row>
    <row r="832" spans="1:8">
      <c r="A832" s="1"/>
      <c r="B832" s="1"/>
      <c r="C832" s="1"/>
      <c r="D832" s="1"/>
      <c r="E832" s="1"/>
      <c r="F832" s="1"/>
      <c r="G832" s="1"/>
      <c r="H832" s="1"/>
    </row>
    <row r="833" spans="1:8">
      <c r="A833" s="1"/>
      <c r="B833" s="1"/>
      <c r="C833" s="1"/>
      <c r="D833" s="1"/>
      <c r="E833" s="1"/>
      <c r="F833" s="1"/>
      <c r="G833" s="1"/>
      <c r="H833" s="1"/>
    </row>
    <row r="834" spans="1:8">
      <c r="A834" s="1"/>
      <c r="B834" s="1"/>
      <c r="C834" s="1"/>
      <c r="D834" s="1"/>
      <c r="E834" s="1"/>
      <c r="F834" s="1"/>
      <c r="G834" s="1"/>
      <c r="H834" s="1"/>
    </row>
    <row r="835" spans="1:8">
      <c r="A835" s="1"/>
      <c r="B835" s="1"/>
      <c r="C835" s="1"/>
      <c r="D835" s="1"/>
      <c r="E835" s="1"/>
      <c r="F835" s="1"/>
      <c r="G835" s="1"/>
      <c r="H835" s="1"/>
    </row>
    <row r="836" spans="1:8">
      <c r="A836" s="1"/>
      <c r="B836" s="1"/>
      <c r="C836" s="1"/>
      <c r="D836" s="1"/>
      <c r="E836" s="1"/>
      <c r="F836" s="1"/>
      <c r="G836" s="1"/>
      <c r="H836" s="1"/>
    </row>
    <row r="837" spans="1:8">
      <c r="A837" s="1"/>
      <c r="B837" s="1"/>
      <c r="C837" s="1"/>
      <c r="D837" s="1"/>
      <c r="E837" s="1"/>
      <c r="F837" s="1"/>
      <c r="G837" s="1"/>
      <c r="H837" s="1"/>
    </row>
    <row r="838" spans="1:8">
      <c r="A838" s="1"/>
      <c r="B838" s="1"/>
      <c r="C838" s="1"/>
      <c r="D838" s="1"/>
      <c r="E838" s="1"/>
      <c r="F838" s="1"/>
      <c r="G838" s="1"/>
      <c r="H838" s="1"/>
    </row>
    <row r="839" spans="1:8">
      <c r="A839" s="1"/>
      <c r="B839" s="1"/>
      <c r="C839" s="1"/>
      <c r="D839" s="1"/>
      <c r="E839" s="1"/>
      <c r="F839" s="1"/>
      <c r="G839" s="1"/>
      <c r="H839" s="1"/>
    </row>
    <row r="840" spans="1:8">
      <c r="A840" s="1"/>
      <c r="B840" s="1"/>
      <c r="C840" s="1"/>
      <c r="D840" s="1"/>
      <c r="E840" s="1"/>
      <c r="F840" s="1"/>
      <c r="G840" s="1"/>
      <c r="H840" s="1"/>
    </row>
    <row r="841" spans="1:8">
      <c r="A841" s="1"/>
      <c r="B841" s="1"/>
      <c r="C841" s="1"/>
      <c r="D841" s="1"/>
      <c r="E841" s="1"/>
      <c r="F841" s="1"/>
      <c r="G841" s="1"/>
      <c r="H841" s="1"/>
    </row>
    <row r="842" spans="1:8">
      <c r="A842" s="1"/>
      <c r="B842" s="1"/>
      <c r="C842" s="1"/>
      <c r="D842" s="1"/>
      <c r="E842" s="1"/>
      <c r="F842" s="1"/>
      <c r="G842" s="1"/>
      <c r="H842" s="1"/>
    </row>
    <row r="843" spans="1:8">
      <c r="A843" s="1"/>
      <c r="B843" s="1"/>
      <c r="C843" s="1"/>
      <c r="D843" s="1"/>
      <c r="E843" s="1"/>
      <c r="F843" s="1"/>
      <c r="G843" s="1"/>
      <c r="H843" s="1"/>
    </row>
    <row r="844" spans="1:8">
      <c r="A844" s="1"/>
      <c r="B844" s="1"/>
      <c r="C844" s="1"/>
      <c r="D844" s="1"/>
      <c r="E844" s="1"/>
      <c r="F844" s="1"/>
      <c r="G844" s="1"/>
      <c r="H844" s="1"/>
    </row>
    <row r="845" spans="1:8">
      <c r="A845" s="1"/>
      <c r="B845" s="1"/>
      <c r="C845" s="1"/>
      <c r="D845" s="1"/>
      <c r="E845" s="1"/>
      <c r="F845" s="1"/>
      <c r="G845" s="1"/>
      <c r="H845" s="1"/>
    </row>
    <row r="846" spans="1:8">
      <c r="A846" s="1"/>
      <c r="B846" s="1"/>
      <c r="C846" s="1"/>
      <c r="D846" s="1"/>
      <c r="E846" s="1"/>
      <c r="F846" s="1"/>
      <c r="G846" s="1"/>
      <c r="H846" s="1"/>
    </row>
    <row r="847" spans="1:8">
      <c r="A847" s="1"/>
      <c r="B847" s="1"/>
      <c r="C847" s="1"/>
      <c r="D847" s="1"/>
      <c r="E847" s="1"/>
      <c r="F847" s="1"/>
      <c r="G847" s="1"/>
      <c r="H847" s="1"/>
    </row>
    <row r="848" spans="1:8">
      <c r="A848" s="1"/>
      <c r="B848" s="1"/>
      <c r="C848" s="1"/>
      <c r="D848" s="1"/>
      <c r="E848" s="1"/>
      <c r="F848" s="1"/>
      <c r="G848" s="1"/>
      <c r="H848" s="1"/>
    </row>
    <row r="849" spans="1:8">
      <c r="A849" s="1"/>
      <c r="B849" s="1"/>
      <c r="C849" s="1"/>
      <c r="D849" s="1"/>
      <c r="E849" s="1"/>
      <c r="F849" s="1"/>
      <c r="G849" s="1"/>
      <c r="H849" s="1"/>
    </row>
    <row r="850" spans="1:8">
      <c r="A850" s="1"/>
      <c r="B850" s="1"/>
      <c r="C850" s="1"/>
      <c r="D850" s="1"/>
      <c r="E850" s="1"/>
      <c r="F850" s="1"/>
      <c r="G850" s="1"/>
      <c r="H850" s="1"/>
    </row>
    <row r="851" spans="1:8">
      <c r="A851" s="1"/>
      <c r="B851" s="1"/>
      <c r="C851" s="1"/>
      <c r="D851" s="1"/>
      <c r="E851" s="1"/>
      <c r="F851" s="1"/>
      <c r="G851" s="1"/>
      <c r="H851" s="1"/>
    </row>
    <row r="852" spans="1:8">
      <c r="A852" s="1"/>
      <c r="B852" s="1"/>
      <c r="C852" s="1"/>
      <c r="D852" s="1"/>
      <c r="E852" s="1"/>
      <c r="F852" s="1"/>
      <c r="G852" s="1"/>
      <c r="H852" s="1"/>
    </row>
    <row r="853" spans="1:8">
      <c r="A853" s="1"/>
      <c r="B853" s="1"/>
      <c r="C853" s="1"/>
      <c r="D853" s="1"/>
      <c r="E853" s="1"/>
      <c r="F853" s="1"/>
      <c r="G853" s="1"/>
      <c r="H853" s="1"/>
    </row>
    <row r="854" spans="1:8">
      <c r="A854" s="1"/>
      <c r="B854" s="1"/>
      <c r="C854" s="1"/>
      <c r="D854" s="1"/>
      <c r="E854" s="1"/>
      <c r="F854" s="1"/>
      <c r="G854" s="1"/>
      <c r="H854" s="1"/>
    </row>
    <row r="855" spans="1:8">
      <c r="A855" s="1"/>
      <c r="B855" s="1"/>
      <c r="C855" s="1"/>
      <c r="D855" s="1"/>
      <c r="E855" s="1"/>
      <c r="F855" s="1"/>
      <c r="G855" s="1"/>
      <c r="H855" s="1"/>
    </row>
    <row r="856" spans="1:8">
      <c r="A856" s="1"/>
      <c r="B856" s="1"/>
      <c r="C856" s="1"/>
      <c r="D856" s="1"/>
      <c r="E856" s="1"/>
      <c r="F856" s="1"/>
      <c r="G856" s="1"/>
      <c r="H856" s="1"/>
    </row>
    <row r="857" spans="1:8">
      <c r="A857" s="1"/>
      <c r="B857" s="1"/>
      <c r="C857" s="1"/>
      <c r="D857" s="1"/>
      <c r="E857" s="1"/>
      <c r="F857" s="1"/>
      <c r="G857" s="1"/>
      <c r="H857" s="1"/>
    </row>
    <row r="858" spans="1:8">
      <c r="A858" s="1"/>
      <c r="B858" s="1"/>
      <c r="C858" s="1"/>
      <c r="D858" s="1"/>
      <c r="E858" s="1"/>
      <c r="F858" s="1"/>
      <c r="G858" s="1"/>
      <c r="H858" s="1"/>
    </row>
    <row r="859" spans="1:8">
      <c r="A859" s="1"/>
      <c r="B859" s="1"/>
      <c r="C859" s="1"/>
      <c r="D859" s="1"/>
      <c r="E859" s="1"/>
      <c r="F859" s="1"/>
      <c r="G859" s="1"/>
      <c r="H859" s="1"/>
    </row>
    <row r="860" spans="1:8">
      <c r="A860" s="1"/>
      <c r="B860" s="1"/>
      <c r="C860" s="1"/>
      <c r="D860" s="1"/>
      <c r="E860" s="1"/>
      <c r="F860" s="1"/>
      <c r="G860" s="1"/>
      <c r="H860" s="1"/>
    </row>
    <row r="861" spans="1:8">
      <c r="A861" s="1"/>
      <c r="B861" s="1"/>
      <c r="C861" s="1"/>
      <c r="D861" s="1"/>
      <c r="E861" s="1"/>
      <c r="F861" s="1"/>
      <c r="G861" s="1"/>
      <c r="H861" s="1"/>
    </row>
    <row r="862" spans="1:8">
      <c r="A862" s="1"/>
      <c r="B862" s="1"/>
      <c r="C862" s="1"/>
      <c r="D862" s="1"/>
      <c r="E862" s="1"/>
      <c r="F862" s="1"/>
      <c r="G862" s="1"/>
      <c r="H862" s="1"/>
    </row>
    <row r="863" spans="1:8">
      <c r="A863" s="1"/>
      <c r="B863" s="1"/>
      <c r="C863" s="1"/>
      <c r="D863" s="1"/>
      <c r="E863" s="1"/>
      <c r="F863" s="1"/>
      <c r="G863" s="1"/>
      <c r="H863" s="1"/>
    </row>
    <row r="864" spans="1:8">
      <c r="A864" s="1"/>
      <c r="B864" s="1"/>
      <c r="C864" s="1"/>
      <c r="D864" s="1"/>
      <c r="E864" s="1"/>
      <c r="F864" s="1"/>
      <c r="G864" s="1"/>
      <c r="H864" s="1"/>
    </row>
    <row r="865" spans="1:8">
      <c r="A865" s="1"/>
      <c r="B865" s="1"/>
      <c r="C865" s="1"/>
      <c r="D865" s="1"/>
      <c r="E865" s="1"/>
      <c r="F865" s="1"/>
      <c r="G865" s="1"/>
      <c r="H865" s="1"/>
    </row>
    <row r="866" spans="1:8">
      <c r="A866" s="1"/>
      <c r="B866" s="1"/>
      <c r="C866" s="1"/>
      <c r="D866" s="1"/>
      <c r="E866" s="1"/>
      <c r="F866" s="1"/>
      <c r="G866" s="1"/>
      <c r="H866" s="1"/>
    </row>
    <row r="867" spans="1:8">
      <c r="A867" s="1"/>
      <c r="B867" s="1"/>
      <c r="C867" s="1"/>
      <c r="D867" s="1"/>
      <c r="E867" s="1"/>
      <c r="F867" s="1"/>
      <c r="G867" s="1"/>
      <c r="H867" s="1"/>
    </row>
    <row r="868" spans="1:8">
      <c r="A868" s="1"/>
      <c r="B868" s="1"/>
      <c r="C868" s="1"/>
      <c r="D868" s="1"/>
      <c r="E868" s="1"/>
      <c r="F868" s="1"/>
      <c r="G868" s="1"/>
      <c r="H868" s="1"/>
    </row>
    <row r="869" spans="1:8">
      <c r="A869" s="1"/>
      <c r="B869" s="1"/>
      <c r="C869" s="1"/>
      <c r="D869" s="1"/>
      <c r="E869" s="1"/>
      <c r="F869" s="1"/>
      <c r="G869" s="1"/>
      <c r="H869" s="1"/>
    </row>
    <row r="870" spans="1:8">
      <c r="A870" s="1"/>
      <c r="B870" s="1"/>
      <c r="C870" s="1"/>
      <c r="D870" s="1"/>
      <c r="E870" s="1"/>
      <c r="F870" s="1"/>
      <c r="G870" s="1"/>
      <c r="H870" s="1"/>
    </row>
    <row r="871" spans="1:8">
      <c r="A871" s="1"/>
      <c r="B871" s="1"/>
      <c r="C871" s="1"/>
      <c r="D871" s="1"/>
      <c r="E871" s="1"/>
      <c r="F871" s="1"/>
      <c r="G871" s="1"/>
      <c r="H871" s="1"/>
    </row>
    <row r="872" spans="1:8">
      <c r="A872" s="1"/>
      <c r="B872" s="1"/>
      <c r="C872" s="1"/>
      <c r="D872" s="1"/>
      <c r="E872" s="1"/>
      <c r="F872" s="1"/>
      <c r="G872" s="1"/>
      <c r="H872" s="1"/>
    </row>
    <row r="873" spans="1:8">
      <c r="A873" s="1"/>
      <c r="B873" s="1"/>
      <c r="C873" s="1"/>
      <c r="D873" s="1"/>
      <c r="E873" s="1"/>
      <c r="F873" s="1"/>
      <c r="G873" s="1"/>
      <c r="H873" s="1"/>
    </row>
    <row r="874" spans="1:8">
      <c r="A874" s="1"/>
      <c r="B874" s="1"/>
      <c r="C874" s="1"/>
      <c r="D874" s="1"/>
      <c r="E874" s="1"/>
      <c r="F874" s="1"/>
      <c r="G874" s="1"/>
      <c r="H874" s="1"/>
    </row>
    <row r="875" spans="1:8">
      <c r="A875" s="1"/>
      <c r="B875" s="1"/>
      <c r="C875" s="1"/>
      <c r="D875" s="1"/>
      <c r="E875" s="1"/>
      <c r="F875" s="1"/>
      <c r="G875" s="1"/>
      <c r="H875" s="1"/>
    </row>
    <row r="876" spans="1:8">
      <c r="A876" s="1"/>
      <c r="B876" s="1"/>
      <c r="C876" s="1"/>
      <c r="D876" s="1"/>
      <c r="E876" s="1"/>
      <c r="F876" s="1"/>
      <c r="G876" s="1"/>
      <c r="H876" s="1"/>
    </row>
    <row r="877" spans="1:8">
      <c r="A877" s="1"/>
      <c r="B877" s="1"/>
      <c r="C877" s="1"/>
      <c r="D877" s="1"/>
      <c r="E877" s="1"/>
      <c r="F877" s="1"/>
      <c r="G877" s="1"/>
      <c r="H877" s="1"/>
    </row>
    <row r="878" spans="1:8">
      <c r="A878" s="1"/>
      <c r="B878" s="1"/>
      <c r="C878" s="1"/>
      <c r="D878" s="1"/>
      <c r="E878" s="1"/>
      <c r="F878" s="1"/>
      <c r="G878" s="1"/>
      <c r="H878" s="1"/>
    </row>
    <row r="879" spans="1:8">
      <c r="A879" s="1"/>
      <c r="B879" s="1"/>
      <c r="C879" s="1"/>
      <c r="D879" s="1"/>
      <c r="E879" s="1"/>
      <c r="F879" s="1"/>
      <c r="G879" s="1"/>
      <c r="H879" s="1"/>
    </row>
    <row r="880" spans="1:8">
      <c r="A880" s="1"/>
      <c r="B880" s="1"/>
      <c r="C880" s="1"/>
      <c r="D880" s="1"/>
      <c r="E880" s="1"/>
      <c r="F880" s="1"/>
      <c r="G880" s="1"/>
      <c r="H880" s="1"/>
    </row>
    <row r="881" spans="1:8">
      <c r="A881" s="1"/>
      <c r="B881" s="1"/>
      <c r="C881" s="1"/>
      <c r="D881" s="1"/>
      <c r="E881" s="1"/>
      <c r="F881" s="1"/>
      <c r="G881" s="1"/>
      <c r="H881" s="1"/>
    </row>
    <row r="882" spans="1:8">
      <c r="A882" s="1"/>
      <c r="B882" s="1"/>
      <c r="C882" s="1"/>
      <c r="D882" s="1"/>
      <c r="E882" s="1"/>
      <c r="F882" s="1"/>
      <c r="G882" s="1"/>
      <c r="H882" s="1"/>
    </row>
    <row r="883" spans="1:8">
      <c r="A883" s="1"/>
      <c r="B883" s="1"/>
      <c r="C883" s="1"/>
      <c r="D883" s="1"/>
      <c r="E883" s="1"/>
      <c r="F883" s="1"/>
      <c r="G883" s="1"/>
      <c r="H883" s="1"/>
    </row>
    <row r="884" spans="1:8">
      <c r="A884" s="1"/>
      <c r="B884" s="1"/>
      <c r="C884" s="1"/>
      <c r="D884" s="1"/>
      <c r="E884" s="1"/>
      <c r="F884" s="1"/>
      <c r="G884" s="1"/>
      <c r="H884" s="1"/>
    </row>
    <row r="885" spans="1:8">
      <c r="A885" s="1"/>
      <c r="B885" s="1"/>
      <c r="C885" s="1"/>
      <c r="D885" s="1"/>
      <c r="E885" s="1"/>
      <c r="F885" s="1"/>
      <c r="G885" s="1"/>
      <c r="H885" s="1"/>
    </row>
    <row r="886" spans="1:8">
      <c r="A886" s="1"/>
      <c r="B886" s="1"/>
      <c r="C886" s="1"/>
      <c r="D886" s="1"/>
      <c r="E886" s="1"/>
      <c r="F886" s="1"/>
      <c r="G886" s="1"/>
      <c r="H886" s="1"/>
    </row>
    <row r="887" spans="1:8">
      <c r="A887" s="1"/>
      <c r="B887" s="1"/>
      <c r="C887" s="1"/>
      <c r="D887" s="1"/>
      <c r="E887" s="1"/>
      <c r="F887" s="1"/>
      <c r="G887" s="1"/>
      <c r="H887" s="1"/>
    </row>
    <row r="888" spans="1:8">
      <c r="A888" s="1"/>
      <c r="B888" s="1"/>
      <c r="C888" s="1"/>
      <c r="D888" s="1"/>
      <c r="E888" s="1"/>
      <c r="F888" s="1"/>
      <c r="G888" s="1"/>
      <c r="H888" s="1"/>
    </row>
    <row r="889" spans="1:8">
      <c r="A889" s="1"/>
      <c r="B889" s="1"/>
      <c r="C889" s="1"/>
      <c r="D889" s="1"/>
      <c r="E889" s="1"/>
      <c r="F889" s="1"/>
      <c r="G889" s="1"/>
      <c r="H889" s="1"/>
    </row>
    <row r="890" spans="1:8">
      <c r="A890" s="1"/>
      <c r="B890" s="1"/>
      <c r="C890" s="1"/>
      <c r="D890" s="1"/>
      <c r="E890" s="1"/>
      <c r="F890" s="1"/>
      <c r="G890" s="1"/>
      <c r="H890" s="1"/>
    </row>
    <row r="891" spans="1:8">
      <c r="A891" s="1"/>
      <c r="B891" s="1"/>
      <c r="C891" s="1"/>
      <c r="D891" s="1"/>
      <c r="E891" s="1"/>
      <c r="F891" s="1"/>
      <c r="G891" s="1"/>
      <c r="H891" s="1"/>
    </row>
    <row r="892" spans="1:8">
      <c r="A892" s="1"/>
      <c r="B892" s="1"/>
      <c r="C892" s="1"/>
      <c r="D892" s="1"/>
      <c r="E892" s="1"/>
      <c r="F892" s="1"/>
      <c r="G892" s="1"/>
      <c r="H892" s="1"/>
    </row>
    <row r="893" spans="1:8">
      <c r="A893" s="1"/>
      <c r="B893" s="1"/>
      <c r="C893" s="1"/>
      <c r="D893" s="1"/>
      <c r="E893" s="1"/>
      <c r="F893" s="1"/>
      <c r="G893" s="1"/>
      <c r="H893" s="1"/>
    </row>
    <row r="894" spans="1:8">
      <c r="A894" s="1"/>
      <c r="B894" s="1"/>
      <c r="C894" s="1"/>
      <c r="D894" s="1"/>
      <c r="E894" s="1"/>
      <c r="F894" s="1"/>
      <c r="G894" s="1"/>
      <c r="H894" s="1"/>
    </row>
    <row r="895" spans="1:8">
      <c r="A895" s="1"/>
      <c r="B895" s="1"/>
      <c r="C895" s="1"/>
      <c r="D895" s="1"/>
      <c r="E895" s="1"/>
      <c r="F895" s="1"/>
      <c r="G895" s="1"/>
      <c r="H895" s="1"/>
    </row>
    <row r="896" spans="1:8">
      <c r="A896" s="1"/>
      <c r="B896" s="1"/>
      <c r="C896" s="1"/>
      <c r="D896" s="1"/>
      <c r="E896" s="1"/>
      <c r="F896" s="1"/>
      <c r="G896" s="1"/>
      <c r="H896" s="1"/>
    </row>
    <row r="897" spans="1:8">
      <c r="A897" s="1"/>
      <c r="B897" s="1"/>
      <c r="C897" s="1"/>
      <c r="D897" s="1"/>
      <c r="E897" s="1"/>
      <c r="F897" s="1"/>
      <c r="G897" s="1"/>
      <c r="H897" s="1"/>
    </row>
    <row r="898" spans="1:8">
      <c r="A898" s="1"/>
      <c r="B898" s="1"/>
      <c r="C898" s="1"/>
      <c r="D898" s="1"/>
      <c r="E898" s="1"/>
      <c r="F898" s="1"/>
      <c r="G898" s="1"/>
      <c r="H898" s="1"/>
    </row>
    <row r="899" spans="1:8">
      <c r="A899" s="1"/>
      <c r="B899" s="1"/>
      <c r="C899" s="1"/>
      <c r="D899" s="1"/>
      <c r="E899" s="1"/>
      <c r="F899" s="1"/>
      <c r="G899" s="1"/>
      <c r="H899" s="1"/>
    </row>
    <row r="900" spans="1:8">
      <c r="A900" s="1"/>
      <c r="B900" s="1"/>
      <c r="C900" s="1"/>
      <c r="D900" s="1"/>
      <c r="E900" s="1"/>
      <c r="F900" s="1"/>
      <c r="G900" s="1"/>
      <c r="H900" s="1"/>
    </row>
    <row r="901" spans="1:8">
      <c r="A901" s="1"/>
      <c r="B901" s="1"/>
      <c r="C901" s="1"/>
      <c r="D901" s="1"/>
      <c r="E901" s="1"/>
      <c r="F901" s="1"/>
      <c r="G901" s="1"/>
      <c r="H901" s="1"/>
    </row>
    <row r="902" spans="1:8">
      <c r="A902" s="1"/>
      <c r="B902" s="1"/>
      <c r="C902" s="1"/>
      <c r="D902" s="1"/>
      <c r="E902" s="1"/>
      <c r="F902" s="1"/>
      <c r="G902" s="1"/>
      <c r="H902" s="1"/>
    </row>
    <row r="903" spans="1:8">
      <c r="A903" s="1"/>
      <c r="B903" s="1"/>
      <c r="C903" s="1"/>
      <c r="D903" s="1"/>
      <c r="E903" s="1"/>
      <c r="F903" s="1"/>
      <c r="G903" s="1"/>
      <c r="H903" s="1"/>
    </row>
    <row r="904" spans="1:8">
      <c r="A904" s="1"/>
      <c r="B904" s="1"/>
      <c r="C904" s="1"/>
      <c r="D904" s="1"/>
      <c r="E904" s="1"/>
      <c r="F904" s="1"/>
      <c r="G904" s="1"/>
      <c r="H904" s="1"/>
    </row>
    <row r="905" spans="1:8">
      <c r="A905" s="1"/>
      <c r="B905" s="1"/>
      <c r="C905" s="1"/>
      <c r="D905" s="1"/>
      <c r="E905" s="1"/>
      <c r="F905" s="1"/>
      <c r="G905" s="1"/>
      <c r="H905" s="1"/>
    </row>
    <row r="906" spans="1:8">
      <c r="A906" s="1"/>
      <c r="B906" s="1"/>
      <c r="C906" s="1"/>
      <c r="D906" s="1"/>
      <c r="E906" s="1"/>
      <c r="F906" s="1"/>
      <c r="G906" s="1"/>
      <c r="H906" s="1"/>
    </row>
    <row r="907" spans="1:8">
      <c r="A907" s="1"/>
      <c r="B907" s="1"/>
      <c r="C907" s="1"/>
      <c r="D907" s="1"/>
      <c r="E907" s="1"/>
      <c r="F907" s="1"/>
      <c r="G907" s="1"/>
      <c r="H907" s="1"/>
    </row>
    <row r="908" spans="1:8">
      <c r="A908" s="1"/>
      <c r="B908" s="1"/>
      <c r="C908" s="1"/>
      <c r="D908" s="1"/>
      <c r="E908" s="1"/>
      <c r="F908" s="1"/>
      <c r="G908" s="1"/>
      <c r="H908" s="1"/>
    </row>
    <row r="909" spans="1:8">
      <c r="A909" s="1"/>
      <c r="B909" s="1"/>
      <c r="C909" s="1"/>
      <c r="D909" s="1"/>
      <c r="E909" s="1"/>
      <c r="F909" s="1"/>
      <c r="G909" s="1"/>
      <c r="H909" s="1"/>
    </row>
    <row r="910" spans="1:8">
      <c r="A910" s="1"/>
      <c r="B910" s="1"/>
      <c r="C910" s="1"/>
      <c r="D910" s="1"/>
      <c r="E910" s="1"/>
      <c r="F910" s="1"/>
      <c r="G910" s="1"/>
      <c r="H910" s="1"/>
    </row>
    <row r="911" spans="1:8">
      <c r="A911" s="1"/>
      <c r="B911" s="1"/>
      <c r="C911" s="1"/>
      <c r="D911" s="1"/>
      <c r="E911" s="1"/>
      <c r="F911" s="1"/>
      <c r="G911" s="1"/>
      <c r="H911" s="1"/>
    </row>
    <row r="912" spans="1:8">
      <c r="A912" s="1"/>
      <c r="B912" s="1"/>
      <c r="C912" s="1"/>
      <c r="D912" s="1"/>
      <c r="E912" s="1"/>
      <c r="F912" s="1"/>
      <c r="G912" s="1"/>
      <c r="H912" s="1"/>
    </row>
    <row r="913" spans="1:8">
      <c r="A913" s="1"/>
      <c r="B913" s="1"/>
      <c r="C913" s="1"/>
      <c r="D913" s="1"/>
      <c r="E913" s="1"/>
      <c r="F913" s="1"/>
      <c r="G913" s="1"/>
      <c r="H913" s="1"/>
    </row>
    <row r="914" spans="1:8">
      <c r="A914" s="1"/>
      <c r="B914" s="1"/>
      <c r="C914" s="1"/>
      <c r="D914" s="1"/>
      <c r="E914" s="1"/>
      <c r="F914" s="1"/>
      <c r="G914" s="1"/>
      <c r="H914" s="1"/>
    </row>
    <row r="915" spans="1:8">
      <c r="A915" s="1"/>
      <c r="B915" s="1"/>
      <c r="C915" s="1"/>
      <c r="D915" s="1"/>
      <c r="E915" s="1"/>
      <c r="F915" s="1"/>
      <c r="G915" s="1"/>
      <c r="H915" s="1"/>
    </row>
    <row r="916" spans="1:8">
      <c r="A916" s="1"/>
      <c r="B916" s="1"/>
      <c r="C916" s="1"/>
      <c r="D916" s="1"/>
      <c r="E916" s="1"/>
      <c r="F916" s="1"/>
      <c r="G916" s="1"/>
      <c r="H916" s="1"/>
    </row>
    <row r="917" spans="1:8">
      <c r="A917" s="1"/>
      <c r="B917" s="1"/>
      <c r="C917" s="1"/>
      <c r="D917" s="1"/>
      <c r="E917" s="1"/>
      <c r="F917" s="1"/>
      <c r="G917" s="1"/>
      <c r="H917" s="1"/>
    </row>
    <row r="918" spans="1:8">
      <c r="A918" s="1"/>
      <c r="B918" s="1"/>
      <c r="C918" s="1"/>
      <c r="D918" s="1"/>
      <c r="E918" s="1"/>
      <c r="F918" s="1"/>
      <c r="G918" s="1"/>
      <c r="H918" s="1"/>
    </row>
    <row r="919" spans="1:8">
      <c r="A919" s="1"/>
      <c r="B919" s="1"/>
      <c r="C919" s="1"/>
      <c r="D919" s="1"/>
      <c r="E919" s="1"/>
      <c r="F919" s="1"/>
      <c r="G919" s="1"/>
      <c r="H919" s="1"/>
    </row>
    <row r="920" spans="1:8">
      <c r="A920" s="1"/>
      <c r="B920" s="1"/>
      <c r="C920" s="1"/>
      <c r="D920" s="1"/>
      <c r="E920" s="1"/>
      <c r="F920" s="1"/>
      <c r="G920" s="1"/>
      <c r="H920" s="1"/>
    </row>
    <row r="921" spans="1:8">
      <c r="A921" s="1"/>
      <c r="B921" s="1"/>
      <c r="C921" s="1"/>
      <c r="D921" s="1"/>
      <c r="E921" s="1"/>
      <c r="F921" s="1"/>
      <c r="G921" s="1"/>
      <c r="H921" s="1"/>
    </row>
    <row r="922" spans="1:8">
      <c r="A922" s="1"/>
      <c r="B922" s="1"/>
      <c r="C922" s="1"/>
      <c r="D922" s="1"/>
      <c r="E922" s="1"/>
      <c r="F922" s="1"/>
      <c r="G922" s="1"/>
      <c r="H922" s="1"/>
    </row>
    <row r="923" spans="1:8">
      <c r="A923" s="1"/>
      <c r="B923" s="1"/>
      <c r="C923" s="1"/>
      <c r="D923" s="1"/>
      <c r="E923" s="1"/>
      <c r="F923" s="1"/>
      <c r="G923" s="1"/>
      <c r="H923" s="1"/>
    </row>
    <row r="924" spans="1:8">
      <c r="A924" s="1"/>
      <c r="B924" s="1"/>
      <c r="C924" s="1"/>
      <c r="D924" s="1"/>
      <c r="E924" s="1"/>
      <c r="F924" s="1"/>
      <c r="G924" s="1"/>
      <c r="H924" s="1"/>
    </row>
    <row r="925" spans="1:8">
      <c r="A925" s="1"/>
      <c r="B925" s="1"/>
      <c r="C925" s="1"/>
      <c r="D925" s="1"/>
      <c r="E925" s="1"/>
      <c r="F925" s="1"/>
      <c r="G925" s="1"/>
      <c r="H925" s="1"/>
    </row>
    <row r="926" spans="1:8">
      <c r="A926" s="1"/>
      <c r="B926" s="1"/>
      <c r="C926" s="1"/>
      <c r="D926" s="1"/>
      <c r="E926" s="1"/>
      <c r="F926" s="1"/>
      <c r="G926" s="1"/>
      <c r="H926" s="1"/>
    </row>
    <row r="927" spans="1:8">
      <c r="A927" s="1"/>
      <c r="B927" s="1"/>
      <c r="C927" s="1"/>
      <c r="D927" s="1"/>
      <c r="E927" s="1"/>
      <c r="F927" s="1"/>
      <c r="G927" s="1"/>
      <c r="H927" s="1"/>
    </row>
    <row r="928" spans="1:8">
      <c r="A928" s="1"/>
      <c r="B928" s="1"/>
      <c r="C928" s="1"/>
      <c r="D928" s="1"/>
      <c r="E928" s="1"/>
      <c r="F928" s="1"/>
      <c r="G928" s="1"/>
      <c r="H928" s="1"/>
    </row>
    <row r="929" spans="1:8">
      <c r="A929" s="1"/>
      <c r="B929" s="1"/>
      <c r="C929" s="1"/>
      <c r="D929" s="1"/>
      <c r="E929" s="1"/>
      <c r="F929" s="1"/>
      <c r="G929" s="1"/>
      <c r="H929" s="1"/>
    </row>
    <row r="930" spans="1:8">
      <c r="A930" s="1"/>
      <c r="B930" s="1"/>
      <c r="C930" s="1"/>
      <c r="D930" s="1"/>
      <c r="E930" s="1"/>
      <c r="F930" s="1"/>
      <c r="G930" s="1"/>
      <c r="H930" s="1"/>
    </row>
    <row r="931" spans="1:8">
      <c r="A931" s="1"/>
      <c r="B931" s="1"/>
      <c r="C931" s="1"/>
      <c r="D931" s="1"/>
      <c r="E931" s="1"/>
      <c r="F931" s="1"/>
      <c r="G931" s="1"/>
      <c r="H931" s="1"/>
    </row>
    <row r="932" spans="1:8">
      <c r="A932" s="1"/>
      <c r="B932" s="1"/>
      <c r="C932" s="1"/>
      <c r="D932" s="1"/>
      <c r="E932" s="1"/>
      <c r="F932" s="1"/>
      <c r="G932" s="1"/>
      <c r="H932" s="1"/>
    </row>
    <row r="933" spans="1:8">
      <c r="A933" s="1"/>
      <c r="B933" s="1"/>
      <c r="C933" s="1"/>
      <c r="D933" s="1"/>
      <c r="E933" s="1"/>
      <c r="F933" s="1"/>
      <c r="G933" s="1"/>
      <c r="H933" s="1"/>
    </row>
    <row r="934" spans="1:8">
      <c r="A934" s="1"/>
      <c r="B934" s="1"/>
      <c r="C934" s="1"/>
      <c r="D934" s="1"/>
      <c r="E934" s="1"/>
      <c r="F934" s="1"/>
      <c r="G934" s="1"/>
      <c r="H934" s="1"/>
    </row>
    <row r="935" spans="1:8">
      <c r="A935" s="1"/>
      <c r="B935" s="1"/>
      <c r="C935" s="1"/>
      <c r="D935" s="1"/>
      <c r="E935" s="1"/>
      <c r="F935" s="1"/>
      <c r="G935" s="1"/>
      <c r="H935" s="1"/>
    </row>
    <row r="936" spans="1:8">
      <c r="A936" s="1"/>
      <c r="B936" s="1"/>
      <c r="C936" s="1"/>
      <c r="D936" s="1"/>
      <c r="E936" s="1"/>
      <c r="F936" s="1"/>
      <c r="G936" s="1"/>
      <c r="H936" s="1"/>
    </row>
    <row r="937" spans="1:8">
      <c r="A937" s="1"/>
      <c r="B937" s="1"/>
      <c r="C937" s="1"/>
      <c r="D937" s="1"/>
      <c r="E937" s="1"/>
      <c r="F937" s="1"/>
      <c r="G937" s="1"/>
      <c r="H937" s="1"/>
    </row>
    <row r="938" spans="1:8">
      <c r="A938" s="1"/>
      <c r="B938" s="1"/>
      <c r="C938" s="1"/>
      <c r="D938" s="1"/>
      <c r="E938" s="1"/>
      <c r="F938" s="1"/>
      <c r="G938" s="1"/>
      <c r="H938" s="1"/>
    </row>
    <row r="939" spans="1:8">
      <c r="A939" s="1"/>
      <c r="B939" s="1"/>
      <c r="C939" s="1"/>
      <c r="D939" s="1"/>
      <c r="E939" s="1"/>
      <c r="F939" s="1"/>
      <c r="G939" s="1"/>
      <c r="H939" s="1"/>
    </row>
    <row r="940" spans="1:8">
      <c r="A940" s="1"/>
      <c r="B940" s="1"/>
      <c r="C940" s="1"/>
      <c r="D940" s="1"/>
      <c r="E940" s="1"/>
      <c r="F940" s="1"/>
      <c r="G940" s="1"/>
      <c r="H940" s="1"/>
    </row>
    <row r="941" spans="1:8">
      <c r="A941" s="1"/>
      <c r="B941" s="1"/>
      <c r="C941" s="1"/>
      <c r="D941" s="1"/>
      <c r="E941" s="1"/>
      <c r="F941" s="1"/>
      <c r="G941" s="1"/>
      <c r="H941" s="1"/>
    </row>
    <row r="942" spans="1:8">
      <c r="A942" s="1"/>
      <c r="B942" s="1"/>
      <c r="C942" s="1"/>
      <c r="D942" s="1"/>
      <c r="E942" s="1"/>
      <c r="F942" s="1"/>
      <c r="G942" s="1"/>
      <c r="H942" s="1"/>
    </row>
    <row r="943" spans="1:8">
      <c r="A943" s="1"/>
      <c r="B943" s="1"/>
      <c r="C943" s="1"/>
      <c r="D943" s="1"/>
      <c r="E943" s="1"/>
      <c r="F943" s="1"/>
      <c r="G943" s="1"/>
      <c r="H943" s="1"/>
    </row>
    <row r="944" spans="1:8">
      <c r="A944" s="1"/>
      <c r="B944" s="1"/>
      <c r="C944" s="1"/>
      <c r="D944" s="1"/>
      <c r="E944" s="1"/>
      <c r="F944" s="1"/>
      <c r="G944" s="1"/>
      <c r="H944" s="1"/>
    </row>
    <row r="945" spans="1:8">
      <c r="A945" s="1"/>
      <c r="B945" s="1"/>
      <c r="C945" s="1"/>
      <c r="D945" s="1"/>
      <c r="E945" s="1"/>
      <c r="F945" s="1"/>
      <c r="G945" s="1"/>
      <c r="H945" s="1"/>
    </row>
    <row r="946" spans="1:8">
      <c r="A946" s="1"/>
      <c r="B946" s="1"/>
      <c r="C946" s="1"/>
      <c r="D946" s="1"/>
      <c r="E946" s="1"/>
      <c r="F946" s="1"/>
      <c r="G946" s="1"/>
      <c r="H946" s="1"/>
    </row>
    <row r="947" spans="1:8">
      <c r="A947" s="1"/>
      <c r="B947" s="1"/>
      <c r="C947" s="1"/>
      <c r="D947" s="1"/>
      <c r="E947" s="1"/>
      <c r="F947" s="1"/>
      <c r="G947" s="1"/>
      <c r="H947" s="1"/>
    </row>
    <row r="948" spans="1:8">
      <c r="A948" s="1"/>
      <c r="B948" s="1"/>
      <c r="C948" s="1"/>
      <c r="D948" s="1"/>
      <c r="E948" s="1"/>
      <c r="F948" s="1"/>
      <c r="G948" s="1"/>
      <c r="H948" s="1"/>
    </row>
    <row r="949" spans="1:8">
      <c r="A949" s="1"/>
      <c r="B949" s="1"/>
      <c r="C949" s="1"/>
      <c r="D949" s="1"/>
      <c r="E949" s="1"/>
      <c r="F949" s="1"/>
      <c r="G949" s="1"/>
      <c r="H949" s="1"/>
    </row>
    <row r="950" spans="1:8">
      <c r="A950" s="1"/>
      <c r="B950" s="1"/>
      <c r="C950" s="1"/>
      <c r="D950" s="1"/>
      <c r="E950" s="1"/>
      <c r="F950" s="1"/>
      <c r="G950" s="1"/>
      <c r="H950" s="1"/>
    </row>
    <row r="951" spans="1:8">
      <c r="A951" s="1"/>
      <c r="B951" s="1"/>
      <c r="C951" s="1"/>
      <c r="D951" s="1"/>
      <c r="E951" s="1"/>
      <c r="F951" s="1"/>
      <c r="G951" s="1"/>
      <c r="H951" s="1"/>
    </row>
    <row r="952" spans="1:8">
      <c r="A952" s="1"/>
      <c r="B952" s="1"/>
      <c r="C952" s="1"/>
      <c r="D952" s="1"/>
      <c r="E952" s="1"/>
      <c r="F952" s="1"/>
      <c r="G952" s="1"/>
      <c r="H952" s="1"/>
    </row>
    <row r="953" spans="1:8">
      <c r="A953" s="1"/>
      <c r="B953" s="1"/>
      <c r="C953" s="1"/>
      <c r="D953" s="1"/>
      <c r="E953" s="1"/>
      <c r="F953" s="1"/>
      <c r="G953" s="1"/>
      <c r="H953" s="1"/>
    </row>
    <row r="954" spans="1:8">
      <c r="A954" s="1"/>
      <c r="B954" s="1"/>
      <c r="C954" s="1"/>
      <c r="D954" s="1"/>
      <c r="E954" s="1"/>
      <c r="F954" s="1"/>
      <c r="G954" s="1"/>
      <c r="H954" s="1"/>
    </row>
    <row r="955" spans="1:8">
      <c r="A955" s="1"/>
      <c r="B955" s="1"/>
      <c r="C955" s="1"/>
      <c r="D955" s="1"/>
      <c r="E955" s="1"/>
      <c r="F955" s="1"/>
      <c r="G955" s="1"/>
      <c r="H955" s="1"/>
    </row>
    <row r="956" spans="1:8">
      <c r="A956" s="1"/>
      <c r="B956" s="1"/>
      <c r="C956" s="1"/>
      <c r="D956" s="1"/>
      <c r="E956" s="1"/>
      <c r="F956" s="1"/>
      <c r="G956" s="1"/>
      <c r="H956" s="1"/>
    </row>
    <row r="957" spans="1:8">
      <c r="A957" s="1"/>
      <c r="B957" s="1"/>
      <c r="C957" s="1"/>
      <c r="D957" s="1"/>
      <c r="E957" s="1"/>
      <c r="F957" s="1"/>
      <c r="G957" s="1"/>
      <c r="H957" s="1"/>
    </row>
    <row r="958" spans="1:8">
      <c r="A958" s="1"/>
      <c r="B958" s="1"/>
      <c r="C958" s="1"/>
      <c r="D958" s="1"/>
      <c r="E958" s="1"/>
      <c r="F958" s="1"/>
      <c r="G958" s="1"/>
      <c r="H958" s="1"/>
    </row>
    <row r="959" spans="1:8">
      <c r="A959" s="1"/>
      <c r="B959" s="1"/>
      <c r="C959" s="1"/>
      <c r="D959" s="1"/>
      <c r="E959" s="1"/>
      <c r="F959" s="1"/>
      <c r="G959" s="1"/>
      <c r="H959" s="1"/>
    </row>
    <row r="960" spans="1:8">
      <c r="A960" s="1"/>
      <c r="B960" s="1"/>
      <c r="C960" s="1"/>
      <c r="D960" s="1"/>
      <c r="E960" s="1"/>
      <c r="F960" s="1"/>
      <c r="G960" s="1"/>
      <c r="H960" s="1"/>
    </row>
    <row r="961" spans="1:8">
      <c r="A961" s="1"/>
      <c r="B961" s="1"/>
      <c r="C961" s="1"/>
      <c r="D961" s="1"/>
      <c r="E961" s="1"/>
      <c r="F961" s="1"/>
      <c r="G961" s="1"/>
      <c r="H961" s="1"/>
    </row>
    <row r="962" spans="1:8">
      <c r="A962" s="1"/>
      <c r="B962" s="1"/>
      <c r="C962" s="1"/>
      <c r="D962" s="1"/>
      <c r="E962" s="1"/>
      <c r="F962" s="1"/>
      <c r="G962" s="1"/>
      <c r="H962" s="1"/>
    </row>
    <row r="963" spans="1:8">
      <c r="A963" s="1"/>
      <c r="B963" s="1"/>
      <c r="C963" s="1"/>
      <c r="D963" s="1"/>
      <c r="E963" s="1"/>
      <c r="F963" s="1"/>
      <c r="G963" s="1"/>
      <c r="H963" s="1"/>
    </row>
    <row r="964" spans="1:8">
      <c r="A964" s="1"/>
      <c r="B964" s="1"/>
      <c r="C964" s="1"/>
      <c r="D964" s="1"/>
      <c r="E964" s="1"/>
      <c r="F964" s="1"/>
      <c r="G964" s="1"/>
      <c r="H964" s="1"/>
    </row>
    <row r="965" spans="1:8">
      <c r="A965" s="1"/>
      <c r="B965" s="1"/>
      <c r="C965" s="1"/>
      <c r="D965" s="1"/>
      <c r="E965" s="1"/>
      <c r="F965" s="1"/>
      <c r="G965" s="1"/>
      <c r="H965" s="1"/>
    </row>
    <row r="966" spans="1:8">
      <c r="A966" s="1"/>
      <c r="B966" s="1"/>
      <c r="C966" s="1"/>
      <c r="D966" s="1"/>
      <c r="E966" s="1"/>
      <c r="F966" s="1"/>
      <c r="G966" s="1"/>
      <c r="H966" s="1"/>
    </row>
    <row r="967" spans="1:8">
      <c r="A967" s="1"/>
      <c r="B967" s="1"/>
      <c r="C967" s="1"/>
      <c r="D967" s="1"/>
      <c r="E967" s="1"/>
      <c r="F967" s="1"/>
      <c r="G967" s="1"/>
      <c r="H967" s="1"/>
    </row>
    <row r="968" spans="1:8">
      <c r="A968" s="1"/>
      <c r="B968" s="1"/>
      <c r="C968" s="1"/>
      <c r="D968" s="1"/>
      <c r="E968" s="1"/>
      <c r="F968" s="1"/>
      <c r="G968" s="1"/>
      <c r="H968" s="1"/>
    </row>
    <row r="969" spans="1:8">
      <c r="A969" s="1"/>
      <c r="B969" s="1"/>
      <c r="C969" s="1"/>
      <c r="D969" s="1"/>
      <c r="E969" s="1"/>
      <c r="F969" s="1"/>
      <c r="G969" s="1"/>
      <c r="H969" s="1"/>
    </row>
    <row r="970" spans="1:8">
      <c r="A970" s="1"/>
      <c r="B970" s="1"/>
      <c r="C970" s="1"/>
      <c r="D970" s="1"/>
      <c r="E970" s="1"/>
      <c r="F970" s="1"/>
      <c r="G970" s="1"/>
      <c r="H970" s="1"/>
    </row>
    <row r="971" spans="1:8">
      <c r="A971" s="1"/>
      <c r="B971" s="1"/>
      <c r="C971" s="1"/>
      <c r="D971" s="1"/>
      <c r="E971" s="1"/>
      <c r="F971" s="1"/>
      <c r="G971" s="1"/>
      <c r="H971" s="1"/>
    </row>
    <row r="972" spans="1:8">
      <c r="A972" s="1"/>
      <c r="B972" s="1"/>
      <c r="C972" s="1"/>
      <c r="D972" s="1"/>
      <c r="E972" s="1"/>
      <c r="F972" s="1"/>
      <c r="G972" s="1"/>
      <c r="H972" s="1"/>
    </row>
    <row r="973" spans="1:8">
      <c r="A973" s="1"/>
      <c r="B973" s="1"/>
      <c r="C973" s="1"/>
      <c r="D973" s="1"/>
      <c r="E973" s="1"/>
      <c r="F973" s="1"/>
      <c r="G973" s="1"/>
      <c r="H973" s="1"/>
    </row>
    <row r="974" spans="1:8">
      <c r="A974" s="1"/>
      <c r="B974" s="1"/>
      <c r="C974" s="1"/>
      <c r="D974" s="1"/>
      <c r="E974" s="1"/>
      <c r="F974" s="1"/>
      <c r="G974" s="1"/>
      <c r="H974" s="1"/>
    </row>
    <row r="975" spans="1:8">
      <c r="A975" s="1"/>
      <c r="B975" s="1"/>
      <c r="C975" s="1"/>
      <c r="D975" s="1"/>
      <c r="E975" s="1"/>
      <c r="F975" s="1"/>
      <c r="G975" s="1"/>
      <c r="H975" s="1"/>
    </row>
    <row r="976" spans="1:8">
      <c r="A976" s="1"/>
      <c r="B976" s="1"/>
      <c r="C976" s="1"/>
      <c r="D976" s="1"/>
      <c r="E976" s="1"/>
      <c r="F976" s="1"/>
      <c r="G976" s="1"/>
      <c r="H976" s="1"/>
    </row>
    <row r="977" spans="1:8">
      <c r="A977" s="1"/>
      <c r="B977" s="1"/>
      <c r="C977" s="1"/>
      <c r="D977" s="1"/>
      <c r="E977" s="1"/>
      <c r="F977" s="1"/>
      <c r="G977" s="1"/>
      <c r="H977" s="1"/>
    </row>
    <row r="978" spans="1:8">
      <c r="A978" s="1"/>
      <c r="B978" s="1"/>
      <c r="C978" s="1"/>
      <c r="D978" s="1"/>
      <c r="E978" s="1"/>
      <c r="F978" s="1"/>
      <c r="G978" s="1"/>
      <c r="H978" s="1"/>
    </row>
    <row r="979" spans="1:8">
      <c r="A979" s="1"/>
      <c r="B979" s="1"/>
      <c r="C979" s="1"/>
      <c r="D979" s="1"/>
      <c r="E979" s="1"/>
      <c r="F979" s="1"/>
      <c r="G979" s="1"/>
      <c r="H979" s="1"/>
    </row>
    <row r="980" spans="1:8">
      <c r="A980" s="1"/>
      <c r="B980" s="1"/>
      <c r="C980" s="1"/>
      <c r="D980" s="1"/>
      <c r="E980" s="1"/>
      <c r="F980" s="1"/>
      <c r="G980" s="1"/>
      <c r="H980" s="1"/>
    </row>
    <row r="981" spans="1:8">
      <c r="A981" s="1"/>
      <c r="B981" s="1"/>
      <c r="C981" s="1"/>
      <c r="D981" s="1"/>
      <c r="E981" s="1"/>
      <c r="F981" s="1"/>
      <c r="G981" s="1"/>
      <c r="H981" s="1"/>
    </row>
    <row r="982" spans="1:8">
      <c r="A982" s="1"/>
      <c r="B982" s="1"/>
      <c r="C982" s="1"/>
      <c r="D982" s="1"/>
      <c r="E982" s="1"/>
      <c r="F982" s="1"/>
      <c r="G982" s="1"/>
      <c r="H982" s="1"/>
    </row>
    <row r="983" spans="1:8">
      <c r="A983" s="1"/>
      <c r="B983" s="1"/>
      <c r="C983" s="1"/>
      <c r="D983" s="1"/>
      <c r="E983" s="1"/>
      <c r="F983" s="1"/>
      <c r="G983" s="1"/>
      <c r="H983" s="1"/>
    </row>
    <row r="984" spans="1:8">
      <c r="A984" s="1"/>
      <c r="B984" s="1"/>
      <c r="C984" s="1"/>
      <c r="D984" s="1"/>
      <c r="E984" s="1"/>
      <c r="F984" s="1"/>
      <c r="G984" s="1"/>
      <c r="H984" s="1"/>
    </row>
    <row r="985" spans="1:8">
      <c r="A985" s="1"/>
      <c r="B985" s="1"/>
      <c r="C985" s="1"/>
      <c r="D985" s="1"/>
      <c r="E985" s="1"/>
      <c r="F985" s="1"/>
      <c r="G985" s="1"/>
      <c r="H985" s="1"/>
    </row>
    <row r="986" spans="1:8">
      <c r="A986" s="1"/>
      <c r="B986" s="1"/>
      <c r="C986" s="1"/>
      <c r="D986" s="1"/>
      <c r="E986" s="1"/>
      <c r="F986" s="1"/>
      <c r="G986" s="1"/>
      <c r="H986" s="1"/>
    </row>
    <row r="987" spans="1:8">
      <c r="A987" s="1"/>
      <c r="B987" s="1"/>
      <c r="C987" s="1"/>
      <c r="D987" s="1"/>
      <c r="E987" s="1"/>
      <c r="F987" s="1"/>
      <c r="G987" s="1"/>
      <c r="H987" s="1"/>
    </row>
    <row r="988" spans="1:8">
      <c r="A988" s="1"/>
      <c r="B988" s="1"/>
      <c r="C988" s="1"/>
      <c r="D988" s="1"/>
      <c r="E988" s="1"/>
      <c r="F988" s="1"/>
      <c r="G988" s="1"/>
      <c r="H988" s="1"/>
    </row>
    <row r="989" spans="1:8">
      <c r="A989" s="1"/>
      <c r="B989" s="1"/>
      <c r="C989" s="1"/>
      <c r="D989" s="1"/>
      <c r="E989" s="1"/>
      <c r="F989" s="1"/>
      <c r="G989" s="1"/>
      <c r="H989" s="1"/>
    </row>
    <row r="990" spans="1:8">
      <c r="A990" s="1"/>
      <c r="B990" s="1"/>
      <c r="C990" s="1"/>
      <c r="D990" s="1"/>
      <c r="E990" s="1"/>
      <c r="F990" s="1"/>
      <c r="G990" s="1"/>
      <c r="H990" s="1"/>
    </row>
    <row r="991" spans="1:8">
      <c r="A991" s="1"/>
      <c r="B991" s="1"/>
      <c r="C991" s="1"/>
      <c r="D991" s="1"/>
      <c r="E991" s="1"/>
      <c r="F991" s="1"/>
      <c r="G991" s="1"/>
      <c r="H991" s="1"/>
    </row>
    <row r="992" spans="1:8">
      <c r="A992" s="1"/>
      <c r="B992" s="1"/>
      <c r="C992" s="1"/>
      <c r="D992" s="1"/>
      <c r="E992" s="1"/>
      <c r="F992" s="1"/>
      <c r="G992" s="1"/>
      <c r="H992" s="1"/>
    </row>
  </sheetData>
  <pageMargins left="0.75" right="0.75" top="0.5" bottom="0.12" header="0.5" footer="0.5"/>
  <pageSetup scale="89" fitToHeight="3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D41"/>
  <sheetViews>
    <sheetView zoomScaleSheetLayoutView="90" workbookViewId="0">
      <selection activeCell="G37" sqref="G37"/>
    </sheetView>
  </sheetViews>
  <sheetFormatPr defaultRowHeight="12.75"/>
  <cols>
    <col min="1" max="1" width="5.28515625" style="1" customWidth="1"/>
    <col min="2" max="2" width="1.28515625" style="1" customWidth="1"/>
    <col min="3" max="3" width="43.5703125" style="1" bestFit="1" customWidth="1"/>
    <col min="4" max="4" width="1.140625" style="1" customWidth="1"/>
    <col min="5" max="5" width="16.42578125" style="1" bestFit="1" customWidth="1"/>
    <col min="6" max="6" width="1.42578125" style="1" customWidth="1"/>
    <col min="7" max="7" width="15.28515625" style="1" bestFit="1" customWidth="1"/>
    <col min="8" max="8" width="1.42578125" style="1" customWidth="1"/>
    <col min="9" max="9" width="16.28515625" style="1" bestFit="1" customWidth="1"/>
    <col min="10" max="10" width="1.28515625" style="1" customWidth="1"/>
    <col min="11" max="11" width="15.140625" style="1" bestFit="1" customWidth="1"/>
    <col min="12" max="12" width="1.42578125" style="1" customWidth="1"/>
    <col min="13" max="13" width="16.28515625" style="1" bestFit="1" customWidth="1"/>
    <col min="14" max="14" width="2.85546875" style="1" customWidth="1"/>
    <col min="15" max="15" width="13.7109375" style="1" customWidth="1"/>
    <col min="16" max="16" width="2.7109375" style="1" customWidth="1"/>
    <col min="17" max="17" width="14.140625" style="1" bestFit="1" customWidth="1"/>
    <col min="18" max="18" width="2.42578125" style="1" customWidth="1"/>
    <col min="19" max="19" width="12.5703125" style="1" bestFit="1" customWidth="1"/>
    <col min="20" max="20" width="13" style="1" bestFit="1" customWidth="1"/>
    <col min="21" max="21" width="3.28515625" style="1" customWidth="1"/>
    <col min="22" max="22" width="12.85546875" style="1" bestFit="1" customWidth="1"/>
    <col min="23" max="24" width="9.140625" style="1"/>
    <col min="25" max="25" width="24" style="1" bestFit="1" customWidth="1"/>
    <col min="26" max="26" width="14.42578125" style="1" bestFit="1" customWidth="1"/>
    <col min="27" max="27" width="13.7109375" style="1" bestFit="1" customWidth="1"/>
    <col min="28" max="28" width="2.85546875" style="1" customWidth="1"/>
    <col min="29" max="29" width="12" style="1" bestFit="1" customWidth="1"/>
    <col min="30" max="16384" width="9.140625" style="1"/>
  </cols>
  <sheetData>
    <row r="1" spans="1:30">
      <c r="A1" s="1" t="str">
        <f>Contents!A1</f>
        <v>Louisville Gas and Electric Company</v>
      </c>
      <c r="I1" s="10"/>
      <c r="K1" s="10"/>
      <c r="M1" s="27" t="str">
        <f>Contents!A4</f>
        <v>Exhibit RCS-2</v>
      </c>
    </row>
    <row r="2" spans="1:30">
      <c r="A2" s="1" t="s">
        <v>79</v>
      </c>
      <c r="I2" s="10"/>
      <c r="K2" s="10"/>
      <c r="M2" s="27" t="s">
        <v>101</v>
      </c>
    </row>
    <row r="3" spans="1:30">
      <c r="A3" s="39"/>
      <c r="I3" s="10"/>
      <c r="K3" s="10"/>
      <c r="M3" s="27" t="str">
        <f>A!K3</f>
        <v>Case No. 2016-00371</v>
      </c>
    </row>
    <row r="4" spans="1:30">
      <c r="A4" s="1" t="s">
        <v>287</v>
      </c>
      <c r="I4" s="10"/>
      <c r="K4" s="10"/>
      <c r="M4" s="27" t="s">
        <v>37</v>
      </c>
    </row>
    <row r="5" spans="1:30">
      <c r="I5" s="10"/>
      <c r="K5" s="10"/>
    </row>
    <row r="6" spans="1:30">
      <c r="G6" s="249" t="s">
        <v>153</v>
      </c>
      <c r="H6" s="250"/>
      <c r="I6" s="250"/>
      <c r="J6" s="121"/>
      <c r="K6" s="247"/>
      <c r="L6" s="247"/>
      <c r="M6" s="248"/>
    </row>
    <row r="7" spans="1:30">
      <c r="K7" s="3" t="s">
        <v>75</v>
      </c>
      <c r="M7" s="3" t="s">
        <v>66</v>
      </c>
    </row>
    <row r="8" spans="1:30">
      <c r="A8" s="1" t="s">
        <v>0</v>
      </c>
      <c r="E8" s="3" t="s">
        <v>5</v>
      </c>
      <c r="F8" s="3"/>
      <c r="G8" s="3" t="s">
        <v>155</v>
      </c>
      <c r="H8" s="3"/>
      <c r="I8" s="3" t="s">
        <v>5</v>
      </c>
      <c r="K8" s="3" t="s">
        <v>76</v>
      </c>
      <c r="M8" s="3" t="s">
        <v>67</v>
      </c>
    </row>
    <row r="9" spans="1:30">
      <c r="A9" s="2" t="s">
        <v>2</v>
      </c>
      <c r="C9" s="2" t="s">
        <v>3</v>
      </c>
      <c r="E9" s="11" t="s">
        <v>45</v>
      </c>
      <c r="F9" s="3"/>
      <c r="G9" s="11" t="s">
        <v>4</v>
      </c>
      <c r="H9" s="3"/>
      <c r="I9" s="11" t="s">
        <v>155</v>
      </c>
      <c r="K9" s="11" t="s">
        <v>166</v>
      </c>
      <c r="M9" s="11" t="s">
        <v>77</v>
      </c>
      <c r="T9" s="4"/>
    </row>
    <row r="10" spans="1:30">
      <c r="E10" s="3" t="s">
        <v>6</v>
      </c>
      <c r="F10" s="3"/>
      <c r="G10" s="3" t="s">
        <v>7</v>
      </c>
      <c r="H10" s="3"/>
      <c r="I10" s="3" t="s">
        <v>8</v>
      </c>
      <c r="K10" s="3" t="s">
        <v>38</v>
      </c>
      <c r="L10" s="3"/>
      <c r="M10" s="3" t="s">
        <v>50</v>
      </c>
    </row>
    <row r="11" spans="1:30">
      <c r="C11" s="14" t="s">
        <v>48</v>
      </c>
    </row>
    <row r="12" spans="1:30">
      <c r="A12" s="3">
        <v>1</v>
      </c>
      <c r="C12" s="100" t="s">
        <v>275</v>
      </c>
      <c r="E12" s="4">
        <v>175341366.3018508</v>
      </c>
      <c r="G12" s="4">
        <f>C.1!F10</f>
        <v>0</v>
      </c>
      <c r="I12" s="4">
        <f>E12+G12</f>
        <v>175341366.3018508</v>
      </c>
      <c r="K12" s="42">
        <f>'A-1'!G33</f>
        <v>2079166.6961584864</v>
      </c>
      <c r="M12" s="4">
        <f>I12+K12</f>
        <v>177420532.99800929</v>
      </c>
      <c r="Q12" s="42"/>
      <c r="S12" s="86"/>
      <c r="T12" s="4"/>
      <c r="Y12" s="42"/>
      <c r="Z12" s="42"/>
      <c r="AA12" s="42"/>
      <c r="AB12" s="42"/>
      <c r="AC12" s="4"/>
      <c r="AD12" s="42"/>
    </row>
    <row r="13" spans="1:30">
      <c r="A13" s="3">
        <f>A12+1</f>
        <v>2</v>
      </c>
      <c r="C13" s="100" t="s">
        <v>171</v>
      </c>
      <c r="E13" s="19">
        <v>8775550.2495673522</v>
      </c>
      <c r="G13" s="4">
        <f>C.1!F11</f>
        <v>0</v>
      </c>
      <c r="I13" s="4">
        <f>E13+G13</f>
        <v>8775550.2495673522</v>
      </c>
      <c r="K13" s="19"/>
      <c r="L13" s="13"/>
      <c r="M13" s="4">
        <f>I13+K13</f>
        <v>8775550.2495673522</v>
      </c>
      <c r="S13" s="86"/>
      <c r="Y13" s="42"/>
      <c r="Z13" s="42"/>
      <c r="AA13" s="42"/>
      <c r="AB13" s="42"/>
      <c r="AC13" s="4"/>
      <c r="AD13" s="42"/>
    </row>
    <row r="14" spans="1:30">
      <c r="A14" s="3">
        <f t="shared" ref="A14" si="0">A13+1</f>
        <v>3</v>
      </c>
      <c r="C14" s="14" t="s">
        <v>148</v>
      </c>
      <c r="E14" s="47">
        <f>SUM(E12:E13)</f>
        <v>184116916.55141816</v>
      </c>
      <c r="G14" s="47">
        <f>SUM(G12:G13)</f>
        <v>0</v>
      </c>
      <c r="I14" s="47">
        <f>SUM(I12:I13)</f>
        <v>184116916.55141816</v>
      </c>
      <c r="K14" s="47">
        <f>SUM(K12:K13)</f>
        <v>2079166.6961584864</v>
      </c>
      <c r="L14" s="13"/>
      <c r="M14" s="47">
        <f>SUM(M12:M13)</f>
        <v>186196083.24757665</v>
      </c>
      <c r="Q14" s="42"/>
      <c r="S14" s="86"/>
      <c r="T14" s="42"/>
      <c r="Y14" s="42"/>
      <c r="Z14" s="42"/>
      <c r="AA14" s="42"/>
      <c r="AB14" s="42"/>
      <c r="AC14" s="4"/>
      <c r="AD14" s="42"/>
    </row>
    <row r="15" spans="1:30">
      <c r="A15" s="3"/>
      <c r="E15" s="19"/>
      <c r="G15" s="19"/>
      <c r="I15" s="38"/>
      <c r="K15" s="19"/>
      <c r="L15" s="13"/>
      <c r="M15" s="19"/>
      <c r="Y15" s="42"/>
      <c r="Z15" s="42"/>
      <c r="AA15" s="42"/>
      <c r="AB15" s="42"/>
      <c r="AC15" s="4"/>
      <c r="AD15" s="42"/>
    </row>
    <row r="16" spans="1:30">
      <c r="A16" s="3"/>
      <c r="C16" s="14" t="s">
        <v>149</v>
      </c>
      <c r="E16" s="19"/>
      <c r="G16" s="19"/>
      <c r="I16" s="4">
        <f>E16+G16</f>
        <v>0</v>
      </c>
      <c r="K16" s="19"/>
      <c r="L16" s="13"/>
      <c r="M16" s="19"/>
      <c r="Y16" s="42"/>
      <c r="Z16" s="42"/>
      <c r="AA16" s="42"/>
      <c r="AB16" s="42"/>
      <c r="AC16" s="4"/>
      <c r="AD16" s="42"/>
    </row>
    <row r="17" spans="1:30">
      <c r="A17" s="88">
        <f>A14+1</f>
        <v>4</v>
      </c>
      <c r="C17" s="1" t="s">
        <v>242</v>
      </c>
      <c r="E17" s="19">
        <v>72491475.793570504</v>
      </c>
      <c r="G17" s="4">
        <f>C.1!F15</f>
        <v>-876754.83864666708</v>
      </c>
      <c r="I17" s="4">
        <f t="shared" ref="I17:I22" si="1">E17+G17</f>
        <v>71614720.954923838</v>
      </c>
      <c r="K17" s="19">
        <f>'A-1'!$G$35+'A-1'!$G$36</f>
        <v>8070</v>
      </c>
      <c r="L17" s="13"/>
      <c r="M17" s="4">
        <f>I17+K17</f>
        <v>71622790.954923838</v>
      </c>
      <c r="Y17" s="42"/>
      <c r="Z17" s="42"/>
      <c r="AA17" s="42"/>
      <c r="AB17" s="42"/>
      <c r="AC17" s="4"/>
      <c r="AD17" s="42"/>
    </row>
    <row r="18" spans="1:30">
      <c r="A18" s="88">
        <f t="shared" ref="A18:A19" si="2">A17+1</f>
        <v>5</v>
      </c>
      <c r="C18" s="1" t="s">
        <v>243</v>
      </c>
      <c r="E18" s="19">
        <v>38710461.194579259</v>
      </c>
      <c r="G18" s="4">
        <f>C.1!F16</f>
        <v>244276.62554435001</v>
      </c>
      <c r="I18" s="4">
        <f t="shared" si="1"/>
        <v>38954737.820123605</v>
      </c>
      <c r="K18" s="19"/>
      <c r="L18" s="13"/>
      <c r="M18" s="4">
        <f>I18+K18</f>
        <v>38954737.820123605</v>
      </c>
      <c r="Y18" s="42"/>
      <c r="Z18" s="42"/>
      <c r="AA18" s="42"/>
      <c r="AB18" s="42"/>
      <c r="AC18" s="4"/>
      <c r="AD18" s="42"/>
    </row>
    <row r="19" spans="1:30">
      <c r="A19" s="93">
        <f t="shared" si="2"/>
        <v>6</v>
      </c>
      <c r="C19" s="1" t="s">
        <v>185</v>
      </c>
      <c r="E19" s="19">
        <v>11113565.829966739</v>
      </c>
      <c r="G19" s="4">
        <f>C.1!F17</f>
        <v>144385.51845763979</v>
      </c>
      <c r="I19" s="4">
        <f t="shared" si="1"/>
        <v>11257951.348424379</v>
      </c>
      <c r="K19" s="19"/>
      <c r="L19" s="13"/>
      <c r="M19" s="4">
        <f t="shared" ref="M19:M22" si="3">I19+K19</f>
        <v>11257951.348424379</v>
      </c>
      <c r="Y19" s="42"/>
      <c r="Z19" s="42"/>
      <c r="AA19" s="42"/>
      <c r="AB19" s="42"/>
      <c r="AC19" s="4"/>
      <c r="AD19" s="42"/>
    </row>
    <row r="20" spans="1:30">
      <c r="A20" s="93">
        <f t="shared" ref="A20:A23" si="4">A19+1</f>
        <v>7</v>
      </c>
      <c r="C20" s="1" t="s">
        <v>244</v>
      </c>
      <c r="E20" s="19">
        <v>19063197.451792173</v>
      </c>
      <c r="G20" s="4">
        <f>C.1!F18</f>
        <v>-186278.57127111731</v>
      </c>
      <c r="I20" s="4">
        <f>E20+G20</f>
        <v>18876918.880521055</v>
      </c>
      <c r="K20" s="19">
        <f>'A-1'!$G$37+'A-1'!$G$38</f>
        <v>803628</v>
      </c>
      <c r="L20" s="13"/>
      <c r="M20" s="4">
        <f t="shared" si="3"/>
        <v>19680546.880521055</v>
      </c>
      <c r="Y20" s="42"/>
      <c r="Z20" s="42"/>
      <c r="AA20" s="42"/>
      <c r="AB20" s="42"/>
      <c r="AC20" s="4"/>
      <c r="AD20" s="42"/>
    </row>
    <row r="21" spans="1:30">
      <c r="A21" s="93">
        <f t="shared" si="4"/>
        <v>8</v>
      </c>
      <c r="C21" s="1" t="s">
        <v>245</v>
      </c>
      <c r="E21" s="19">
        <v>-35870</v>
      </c>
      <c r="G21" s="4">
        <f>C.1!H19</f>
        <v>0</v>
      </c>
      <c r="I21" s="4">
        <f t="shared" si="1"/>
        <v>-35870</v>
      </c>
      <c r="K21" s="19"/>
      <c r="L21" s="13"/>
      <c r="M21" s="4">
        <f t="shared" si="3"/>
        <v>-35870</v>
      </c>
      <c r="Y21" s="42"/>
      <c r="Z21" s="42"/>
      <c r="AA21" s="42"/>
      <c r="AB21" s="42"/>
      <c r="AC21" s="4"/>
      <c r="AD21" s="42"/>
    </row>
    <row r="22" spans="1:30">
      <c r="A22" s="93">
        <f t="shared" si="4"/>
        <v>9</v>
      </c>
      <c r="C22" s="1" t="s">
        <v>246</v>
      </c>
      <c r="E22" s="19">
        <v>0</v>
      </c>
      <c r="G22" s="4">
        <f>C.1!H20</f>
        <v>0</v>
      </c>
      <c r="I22" s="4">
        <f t="shared" si="1"/>
        <v>0</v>
      </c>
      <c r="K22" s="19"/>
      <c r="L22" s="13"/>
      <c r="M22" s="4">
        <f t="shared" si="3"/>
        <v>0</v>
      </c>
      <c r="Y22" s="42"/>
      <c r="Z22" s="42"/>
      <c r="AA22" s="42"/>
      <c r="AB22" s="42"/>
      <c r="AC22" s="4"/>
      <c r="AD22" s="42"/>
    </row>
    <row r="23" spans="1:30">
      <c r="A23" s="93">
        <f t="shared" si="4"/>
        <v>10</v>
      </c>
      <c r="C23" s="14" t="s">
        <v>150</v>
      </c>
      <c r="E23" s="47">
        <f>SUM(E17:E22)</f>
        <v>141342830.26990867</v>
      </c>
      <c r="G23" s="47">
        <f>SUM(G17:G22)</f>
        <v>-674371.26591579453</v>
      </c>
      <c r="I23" s="47">
        <f>SUM(I17:I22)</f>
        <v>140668459.00399289</v>
      </c>
      <c r="K23" s="47">
        <f>SUM(K17:K22)</f>
        <v>811698</v>
      </c>
      <c r="M23" s="47">
        <f>SUM(M17:M22)</f>
        <v>141480157.00399289</v>
      </c>
      <c r="Y23" s="42"/>
      <c r="Z23" s="42"/>
      <c r="AA23" s="42"/>
      <c r="AB23" s="42"/>
      <c r="AC23" s="4"/>
    </row>
    <row r="24" spans="1:30">
      <c r="A24" s="93"/>
      <c r="C24" s="14"/>
      <c r="E24" s="89"/>
      <c r="G24" s="89"/>
      <c r="I24" s="89"/>
      <c r="J24" s="13"/>
      <c r="K24" s="89"/>
      <c r="M24" s="89"/>
      <c r="Y24" s="42"/>
      <c r="Z24" s="42"/>
      <c r="AA24" s="42"/>
      <c r="AB24" s="42"/>
      <c r="AC24" s="4"/>
    </row>
    <row r="25" spans="1:30" ht="13.5" thickBot="1">
      <c r="A25" s="88">
        <f>A23+1</f>
        <v>11</v>
      </c>
      <c r="C25" s="14" t="s">
        <v>83</v>
      </c>
      <c r="E25" s="20">
        <f>E14-E23</f>
        <v>42774086.281509489</v>
      </c>
      <c r="F25" s="13"/>
      <c r="G25" s="20">
        <f>G14-G23</f>
        <v>674371.26591579453</v>
      </c>
      <c r="H25" s="13"/>
      <c r="I25" s="20">
        <f>I14-I23</f>
        <v>43448457.54742527</v>
      </c>
      <c r="J25" s="13"/>
      <c r="K25" s="20">
        <f>K14-K23</f>
        <v>1267468.6961584864</v>
      </c>
      <c r="L25" s="13"/>
      <c r="M25" s="20">
        <f>M14-M23</f>
        <v>44715926.243583769</v>
      </c>
      <c r="Y25" s="42"/>
      <c r="Z25" s="42"/>
      <c r="AA25" s="42"/>
      <c r="AB25" s="42"/>
      <c r="AC25" s="4"/>
    </row>
    <row r="26" spans="1:30" ht="13.5" thickTop="1">
      <c r="A26" s="93"/>
      <c r="E26" s="19"/>
      <c r="F26" s="13"/>
      <c r="G26" s="19"/>
      <c r="H26" s="13"/>
      <c r="I26" s="19"/>
      <c r="J26" s="13"/>
      <c r="K26" s="19"/>
      <c r="L26" s="13"/>
      <c r="M26" s="19"/>
      <c r="Y26" s="42"/>
      <c r="Z26" s="42"/>
      <c r="AA26" s="42"/>
      <c r="AB26" s="42"/>
      <c r="AC26" s="4"/>
    </row>
    <row r="27" spans="1:30" ht="13.5" thickBot="1">
      <c r="A27" s="88">
        <f>A25+1</f>
        <v>12</v>
      </c>
      <c r="C27" s="14" t="s">
        <v>276</v>
      </c>
      <c r="E27" s="20">
        <v>706897908</v>
      </c>
      <c r="F27" s="13"/>
      <c r="G27" s="20">
        <f>B!G41</f>
        <v>7213471.0178445457</v>
      </c>
      <c r="H27" s="13"/>
      <c r="I27" s="20">
        <f t="shared" ref="I27" si="5">E27+G27</f>
        <v>714111379.01784456</v>
      </c>
      <c r="J27" s="127"/>
      <c r="K27" s="20"/>
      <c r="L27" s="13"/>
      <c r="M27" s="20">
        <f t="shared" ref="M27" si="6">I27+K27</f>
        <v>714111379.01784456</v>
      </c>
      <c r="Y27" s="42"/>
      <c r="Z27" s="42"/>
      <c r="AA27" s="42"/>
      <c r="AB27" s="42"/>
      <c r="AC27" s="4"/>
    </row>
    <row r="28" spans="1:30" ht="13.5" thickTop="1">
      <c r="A28" s="93"/>
      <c r="C28" s="14"/>
      <c r="E28" s="19"/>
      <c r="F28" s="13"/>
      <c r="G28" s="19"/>
      <c r="H28" s="13"/>
      <c r="I28" s="19"/>
      <c r="J28" s="127"/>
      <c r="K28" s="19"/>
      <c r="L28" s="13"/>
      <c r="M28" s="19"/>
      <c r="Y28" s="42"/>
      <c r="Z28" s="42"/>
      <c r="AA28" s="42"/>
      <c r="AB28" s="42"/>
      <c r="AC28" s="4"/>
    </row>
    <row r="29" spans="1:30" ht="13.5" thickBot="1">
      <c r="A29" s="88">
        <f>A27+1</f>
        <v>13</v>
      </c>
      <c r="C29" s="14" t="s">
        <v>247</v>
      </c>
      <c r="E29" s="128">
        <f>E25/E27</f>
        <v>6.0509566936657974E-2</v>
      </c>
      <c r="F29" s="13"/>
      <c r="G29" s="20"/>
      <c r="H29" s="13"/>
      <c r="I29" s="128">
        <f>I25/I27</f>
        <v>6.0842690403816631E-2</v>
      </c>
      <c r="J29" s="13"/>
      <c r="K29" s="20"/>
      <c r="L29" s="127"/>
      <c r="M29" s="128">
        <f>M25/M27</f>
        <v>6.2617579774577978E-2</v>
      </c>
      <c r="Y29" s="42"/>
      <c r="Z29" s="42"/>
      <c r="AA29" s="42"/>
      <c r="AB29" s="42"/>
      <c r="AC29" s="4"/>
      <c r="AD29" s="42"/>
    </row>
    <row r="30" spans="1:30" ht="13.5" thickTop="1">
      <c r="A30" s="3"/>
      <c r="E30" s="19"/>
      <c r="F30" s="13"/>
      <c r="G30" s="19"/>
      <c r="H30" s="13"/>
      <c r="I30" s="19"/>
      <c r="J30" s="13"/>
      <c r="K30" s="13"/>
      <c r="L30" s="13"/>
      <c r="M30" s="13"/>
    </row>
    <row r="31" spans="1:30" ht="13.5" thickBot="1">
      <c r="A31" s="3">
        <f>A29+1</f>
        <v>14</v>
      </c>
      <c r="C31" s="14" t="s">
        <v>277</v>
      </c>
      <c r="E31" s="20">
        <v>712384727</v>
      </c>
      <c r="F31" s="13"/>
      <c r="G31" s="20">
        <f>B!G39</f>
        <v>6635300.3530937163</v>
      </c>
      <c r="H31" s="13"/>
      <c r="I31" s="41">
        <f>E31+G31</f>
        <v>719020027.35309374</v>
      </c>
      <c r="J31" s="13"/>
      <c r="K31" s="13"/>
      <c r="L31" s="13"/>
      <c r="M31" s="41">
        <f>I31</f>
        <v>719020027.35309374</v>
      </c>
    </row>
    <row r="32" spans="1:30" ht="13.5" thickTop="1">
      <c r="A32" s="3"/>
      <c r="E32" s="19"/>
      <c r="F32" s="13"/>
      <c r="G32" s="13"/>
      <c r="H32" s="13"/>
      <c r="I32" s="19"/>
      <c r="J32" s="13"/>
      <c r="K32" s="13"/>
      <c r="L32" s="13"/>
      <c r="M32" s="13"/>
    </row>
    <row r="33" spans="1:19" ht="13.5" thickBot="1">
      <c r="A33" s="3">
        <f>A31+1</f>
        <v>15</v>
      </c>
      <c r="C33" s="14" t="s">
        <v>278</v>
      </c>
      <c r="E33" s="63">
        <f>E25/E31</f>
        <v>6.0043519548264389E-2</v>
      </c>
      <c r="F33" s="13"/>
      <c r="G33" s="13"/>
      <c r="H33" s="13"/>
      <c r="I33" s="63">
        <f>I25/I31</f>
        <v>6.0427325936067089E-2</v>
      </c>
      <c r="J33" s="13"/>
      <c r="K33" s="13"/>
      <c r="L33" s="13"/>
      <c r="M33" s="63">
        <f>M25/M31</f>
        <v>6.2190098387377511E-2</v>
      </c>
      <c r="S33" s="99"/>
    </row>
    <row r="34" spans="1:19" ht="13.5" thickTop="1">
      <c r="A34" s="3"/>
      <c r="E34" s="34"/>
      <c r="F34" s="13"/>
      <c r="G34" s="13"/>
      <c r="H34" s="13"/>
      <c r="I34" s="34"/>
      <c r="J34" s="13"/>
      <c r="K34" s="13"/>
      <c r="L34" s="13"/>
      <c r="M34" s="30"/>
    </row>
    <row r="35" spans="1:19">
      <c r="A35" s="2" t="s">
        <v>9</v>
      </c>
      <c r="B35" s="2"/>
      <c r="C35" s="2"/>
      <c r="D35" s="2"/>
      <c r="E35" s="2"/>
      <c r="F35" s="2"/>
      <c r="G35" s="2"/>
      <c r="H35" s="2"/>
      <c r="I35" s="2"/>
      <c r="K35" s="2"/>
      <c r="L35" s="2"/>
      <c r="M35" s="2"/>
      <c r="N35" s="2"/>
    </row>
    <row r="36" spans="1:19">
      <c r="A36" s="1" t="s">
        <v>10</v>
      </c>
      <c r="C36" s="1" t="s">
        <v>279</v>
      </c>
    </row>
    <row r="37" spans="1:19">
      <c r="A37" s="1" t="s">
        <v>30</v>
      </c>
      <c r="C37" s="1" t="s">
        <v>111</v>
      </c>
      <c r="M37" s="42"/>
    </row>
    <row r="38" spans="1:19">
      <c r="A38" s="1" t="s">
        <v>41</v>
      </c>
      <c r="C38" s="1" t="s">
        <v>42</v>
      </c>
      <c r="M38" s="42"/>
    </row>
    <row r="39" spans="1:19">
      <c r="A39" s="1" t="s">
        <v>72</v>
      </c>
      <c r="C39" s="1" t="s">
        <v>99</v>
      </c>
    </row>
    <row r="40" spans="1:19">
      <c r="A40" s="1" t="s">
        <v>73</v>
      </c>
      <c r="C40" s="1" t="s">
        <v>74</v>
      </c>
      <c r="J40"/>
      <c r="M40" s="42"/>
    </row>
    <row r="41" spans="1:19">
      <c r="C41"/>
      <c r="D41"/>
      <c r="E41"/>
      <c r="F41"/>
      <c r="G41"/>
      <c r="H41"/>
      <c r="I41"/>
      <c r="K41"/>
      <c r="L41"/>
      <c r="M41"/>
      <c r="N41"/>
    </row>
  </sheetData>
  <mergeCells count="2">
    <mergeCell ref="K6:M6"/>
    <mergeCell ref="G6:I6"/>
  </mergeCells>
  <pageMargins left="0.75" right="0.75" top="0.72" bottom="0.4" header="0.5" footer="0.3"/>
  <pageSetup scale="87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S33"/>
  <sheetViews>
    <sheetView workbookViewId="0">
      <selection activeCell="E64" sqref="E64"/>
    </sheetView>
  </sheetViews>
  <sheetFormatPr defaultColWidth="12.28515625" defaultRowHeight="12.75"/>
  <cols>
    <col min="1" max="1" width="4.28515625" style="1" customWidth="1"/>
    <col min="2" max="2" width="2" style="1" customWidth="1"/>
    <col min="3" max="3" width="31.42578125" style="1" customWidth="1"/>
    <col min="4" max="4" width="8.7109375" style="1" customWidth="1"/>
    <col min="5" max="5" width="3.140625" style="1" customWidth="1"/>
    <col min="6" max="6" width="16.140625" style="1" bestFit="1" customWidth="1"/>
    <col min="7" max="7" width="1.42578125" style="1" customWidth="1"/>
    <col min="8" max="8" width="15" style="1" bestFit="1" customWidth="1"/>
    <col min="9" max="9" width="13.85546875" style="1" bestFit="1" customWidth="1"/>
    <col min="10" max="10" width="12.7109375" style="1" customWidth="1"/>
    <col min="11" max="11" width="13.140625" style="1" bestFit="1" customWidth="1"/>
    <col min="12" max="12" width="14.140625" style="1" customWidth="1"/>
    <col min="13" max="13" width="15.140625" style="1" customWidth="1"/>
    <col min="14" max="14" width="13.42578125" style="1" customWidth="1"/>
    <col min="15" max="15" width="15.140625" style="1" customWidth="1"/>
    <col min="16" max="17" width="12.85546875" style="1" customWidth="1"/>
    <col min="18" max="18" width="14.140625" style="1" bestFit="1" customWidth="1"/>
    <col min="19" max="19" width="14.7109375" style="1" customWidth="1"/>
    <col min="20" max="16384" width="12.28515625" style="1"/>
  </cols>
  <sheetData>
    <row r="1" spans="1:19">
      <c r="A1" s="1" t="str">
        <f>Contents!A1</f>
        <v>Louisville Gas and Electric Company</v>
      </c>
      <c r="M1" s="27"/>
      <c r="S1" s="27"/>
    </row>
    <row r="2" spans="1:19">
      <c r="A2" s="1" t="s">
        <v>57</v>
      </c>
      <c r="M2" s="27"/>
      <c r="S2" s="27"/>
    </row>
    <row r="3" spans="1:19">
      <c r="M3" s="27"/>
      <c r="S3" s="27"/>
    </row>
    <row r="4" spans="1:19">
      <c r="A4" s="1" t="s">
        <v>287</v>
      </c>
      <c r="S4" s="27"/>
    </row>
    <row r="6" spans="1:19" ht="63.75">
      <c r="A6" s="61" t="s">
        <v>40</v>
      </c>
      <c r="C6" s="2" t="s">
        <v>3</v>
      </c>
      <c r="D6" s="2"/>
      <c r="F6" s="61" t="s">
        <v>163</v>
      </c>
      <c r="G6" s="88"/>
      <c r="H6" s="61" t="s">
        <v>69</v>
      </c>
      <c r="I6" s="61" t="s">
        <v>220</v>
      </c>
      <c r="J6" s="61" t="s">
        <v>408</v>
      </c>
      <c r="K6" s="61" t="s">
        <v>395</v>
      </c>
      <c r="L6" s="61" t="s">
        <v>483</v>
      </c>
      <c r="M6" s="61" t="s">
        <v>490</v>
      </c>
      <c r="N6" s="61" t="s">
        <v>406</v>
      </c>
      <c r="O6" s="61" t="s">
        <v>435</v>
      </c>
      <c r="P6" s="61" t="s">
        <v>569</v>
      </c>
      <c r="Q6" s="84" t="s">
        <v>371</v>
      </c>
      <c r="R6" s="61" t="s">
        <v>540</v>
      </c>
    </row>
    <row r="7" spans="1:19">
      <c r="F7" s="88"/>
      <c r="G7" s="88"/>
      <c r="H7" s="61" t="str">
        <f>Contents!$A$26</f>
        <v>C-1</v>
      </c>
      <c r="I7" s="61" t="str">
        <f>Contents!$A$27</f>
        <v>C-2</v>
      </c>
      <c r="J7" s="61" t="str">
        <f>Contents!$A$28</f>
        <v>C-3</v>
      </c>
      <c r="K7" s="61" t="str">
        <f>Contents!$A$29</f>
        <v>C-4</v>
      </c>
      <c r="L7" s="61" t="str">
        <f>Contents!$A$30</f>
        <v>C-5</v>
      </c>
      <c r="M7" s="61" t="str">
        <f>Contents!$A$31</f>
        <v>C-6</v>
      </c>
      <c r="N7" s="61" t="str">
        <f>Contents!$A$32</f>
        <v>C-7</v>
      </c>
      <c r="O7" s="61" t="str">
        <f>Contents!$A$33</f>
        <v>C-8</v>
      </c>
      <c r="P7" s="61" t="str">
        <f>Contents!$A$34</f>
        <v>C-9</v>
      </c>
      <c r="Q7" s="61" t="str">
        <f>Contents!$A$35</f>
        <v>C-10</v>
      </c>
      <c r="R7" s="61" t="str">
        <f>Contents!$A$36</f>
        <v>C-11</v>
      </c>
      <c r="S7" s="241"/>
    </row>
    <row r="8" spans="1:19">
      <c r="J8" s="93" t="s">
        <v>423</v>
      </c>
      <c r="K8" s="93" t="s">
        <v>407</v>
      </c>
      <c r="L8" s="93"/>
      <c r="M8" s="93"/>
      <c r="N8" s="93" t="s">
        <v>407</v>
      </c>
      <c r="S8" s="49"/>
    </row>
    <row r="9" spans="1:19">
      <c r="C9" s="14" t="s">
        <v>48</v>
      </c>
      <c r="S9" s="49"/>
    </row>
    <row r="10" spans="1:19">
      <c r="A10" s="93">
        <v>1</v>
      </c>
      <c r="C10" s="100" t="s">
        <v>275</v>
      </c>
      <c r="F10" s="4">
        <f>SUM(H10:S10)</f>
        <v>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203"/>
    </row>
    <row r="11" spans="1:19">
      <c r="A11" s="93">
        <f>A10+1</f>
        <v>2</v>
      </c>
      <c r="C11" s="100" t="s">
        <v>171</v>
      </c>
      <c r="F11" s="4">
        <f>SUM(H11:S11)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203"/>
    </row>
    <row r="12" spans="1:19">
      <c r="A12" s="93">
        <f t="shared" ref="A12" si="0">A11+1</f>
        <v>3</v>
      </c>
      <c r="C12" s="14" t="s">
        <v>148</v>
      </c>
      <c r="F12" s="47">
        <f>SUM(F10:F11)</f>
        <v>0</v>
      </c>
      <c r="H12" s="47">
        <f>SUM(H10:H11)</f>
        <v>0</v>
      </c>
      <c r="I12" s="47">
        <f t="shared" ref="I12:R12" si="1">SUM(I10:I11)</f>
        <v>0</v>
      </c>
      <c r="J12" s="47">
        <f t="shared" si="1"/>
        <v>0</v>
      </c>
      <c r="K12" s="47">
        <f t="shared" si="1"/>
        <v>0</v>
      </c>
      <c r="L12" s="47">
        <f t="shared" si="1"/>
        <v>0</v>
      </c>
      <c r="M12" s="47">
        <f t="shared" si="1"/>
        <v>0</v>
      </c>
      <c r="N12" s="47">
        <f t="shared" si="1"/>
        <v>0</v>
      </c>
      <c r="O12" s="47">
        <f t="shared" si="1"/>
        <v>0</v>
      </c>
      <c r="P12" s="47">
        <f t="shared" si="1"/>
        <v>0</v>
      </c>
      <c r="Q12" s="47">
        <f t="shared" si="1"/>
        <v>0</v>
      </c>
      <c r="R12" s="47">
        <f t="shared" si="1"/>
        <v>0</v>
      </c>
      <c r="S12" s="203"/>
    </row>
    <row r="13" spans="1:19">
      <c r="A13" s="93"/>
      <c r="F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03"/>
    </row>
    <row r="14" spans="1:19">
      <c r="A14" s="93"/>
      <c r="C14" s="14" t="s">
        <v>149</v>
      </c>
      <c r="F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03"/>
    </row>
    <row r="15" spans="1:19">
      <c r="A15" s="93">
        <f>A12+1</f>
        <v>4</v>
      </c>
      <c r="C15" s="1" t="s">
        <v>242</v>
      </c>
      <c r="F15" s="4">
        <f t="shared" ref="F15:F20" si="2">SUM(H15:S15)</f>
        <v>-876754.83864666708</v>
      </c>
      <c r="H15" s="19"/>
      <c r="I15" s="19">
        <f>'C-2 P1'!E11</f>
        <v>-673164.25</v>
      </c>
      <c r="J15" s="19">
        <f>'C-3'!E11</f>
        <v>-324217.01999999996</v>
      </c>
      <c r="K15" s="19"/>
      <c r="L15" s="19">
        <f>'C-5'!I10</f>
        <v>-76149.808979999973</v>
      </c>
      <c r="M15" s="19"/>
      <c r="N15" s="19"/>
      <c r="O15" s="19">
        <f>'C-8 P1'!I15</f>
        <v>-686098.55099999998</v>
      </c>
      <c r="P15" s="19">
        <f>'C-9'!E10</f>
        <v>-468008.39999999997</v>
      </c>
      <c r="Q15" s="19">
        <f>'C-10'!I17</f>
        <v>1356586</v>
      </c>
      <c r="R15" s="19">
        <f>'C-11 '!E10</f>
        <v>-5702.8086666669988</v>
      </c>
      <c r="S15" s="203"/>
    </row>
    <row r="16" spans="1:19">
      <c r="A16" s="93">
        <f t="shared" ref="A16:A21" si="3">A15+1</f>
        <v>5</v>
      </c>
      <c r="C16" s="1" t="s">
        <v>243</v>
      </c>
      <c r="F16" s="4">
        <f t="shared" si="2"/>
        <v>244276.62554435001</v>
      </c>
      <c r="H16" s="19"/>
      <c r="I16" s="19"/>
      <c r="J16" s="19">
        <f>'C-3'!E13</f>
        <v>-202800</v>
      </c>
      <c r="K16" s="19"/>
      <c r="L16" s="19"/>
      <c r="M16" s="19">
        <f>'C-6'!E10</f>
        <v>-159934</v>
      </c>
      <c r="N16" s="19"/>
      <c r="O16" s="19"/>
      <c r="P16" s="19"/>
      <c r="Q16" s="19">
        <f>'C-10'!I18</f>
        <v>607010.62554435001</v>
      </c>
      <c r="R16" s="19"/>
      <c r="S16" s="203"/>
    </row>
    <row r="17" spans="1:19">
      <c r="A17" s="93">
        <f t="shared" si="3"/>
        <v>6</v>
      </c>
      <c r="C17" s="1" t="s">
        <v>185</v>
      </c>
      <c r="F17" s="4">
        <f t="shared" si="2"/>
        <v>144385.51845763979</v>
      </c>
      <c r="H17" s="19"/>
      <c r="I17" s="19"/>
      <c r="J17" s="19"/>
      <c r="K17" s="19"/>
      <c r="L17" s="19"/>
      <c r="M17" s="19"/>
      <c r="N17" s="19"/>
      <c r="O17" s="19">
        <f>'C-8 P1'!I17</f>
        <v>-43986</v>
      </c>
      <c r="P17" s="19"/>
      <c r="Q17" s="19">
        <f>'C-10'!I19</f>
        <v>188371.51845763979</v>
      </c>
      <c r="R17" s="19"/>
      <c r="S17" s="203"/>
    </row>
    <row r="18" spans="1:19">
      <c r="A18" s="93">
        <f t="shared" si="3"/>
        <v>7</v>
      </c>
      <c r="C18" s="1" t="s">
        <v>244</v>
      </c>
      <c r="F18" s="4">
        <f t="shared" si="2"/>
        <v>-186278.57127111731</v>
      </c>
      <c r="H18" s="19">
        <f>'C-1 Int.Sync'!I16</f>
        <v>-375535.48724999931</v>
      </c>
      <c r="I18" s="19">
        <f>-ROUND(I15*D27,0)</f>
        <v>261019</v>
      </c>
      <c r="J18" s="19">
        <f>-ROUND(SUM(J15:J16)*D27,0)</f>
        <v>204351</v>
      </c>
      <c r="K18" s="19"/>
      <c r="L18" s="19">
        <f>-ROUND(L15*D27,0)</f>
        <v>29527</v>
      </c>
      <c r="M18" s="19">
        <f>-ROUND(M16*D27,0)</f>
        <v>62014</v>
      </c>
      <c r="N18" s="19"/>
      <c r="O18" s="4">
        <f>-ROUND(SUM(O14:O17)*D27,0)</f>
        <v>283090</v>
      </c>
      <c r="P18" s="19">
        <f>-ROUND(P15*D27,0)</f>
        <v>181470</v>
      </c>
      <c r="Q18" s="19">
        <f>'C-10'!I20</f>
        <v>-834425.084021118</v>
      </c>
      <c r="R18" s="19">
        <f>-ROUND(R15*D27,0)</f>
        <v>2211</v>
      </c>
      <c r="S18" s="203"/>
    </row>
    <row r="19" spans="1:19">
      <c r="A19" s="93">
        <f t="shared" si="3"/>
        <v>8</v>
      </c>
      <c r="C19" s="1" t="s">
        <v>245</v>
      </c>
      <c r="F19" s="4">
        <f t="shared" si="2"/>
        <v>0</v>
      </c>
      <c r="S19" s="49"/>
    </row>
    <row r="20" spans="1:19">
      <c r="A20" s="93">
        <f t="shared" si="3"/>
        <v>9</v>
      </c>
      <c r="C20" s="1" t="s">
        <v>246</v>
      </c>
      <c r="F20" s="4">
        <f t="shared" si="2"/>
        <v>0</v>
      </c>
      <c r="S20" s="49"/>
    </row>
    <row r="21" spans="1:19">
      <c r="A21" s="93">
        <f t="shared" si="3"/>
        <v>10</v>
      </c>
      <c r="C21" s="14" t="s">
        <v>150</v>
      </c>
      <c r="F21" s="47">
        <f>SUM(F15:F20)</f>
        <v>-674371.26591579453</v>
      </c>
      <c r="H21" s="47">
        <f>SUM(H15:H20)</f>
        <v>-375535.48724999931</v>
      </c>
      <c r="I21" s="47">
        <f t="shared" ref="I21:R21" si="4">SUM(I15:I20)</f>
        <v>-412145.25</v>
      </c>
      <c r="J21" s="47">
        <f t="shared" si="4"/>
        <v>-322666.02</v>
      </c>
      <c r="K21" s="47">
        <f t="shared" si="4"/>
        <v>0</v>
      </c>
      <c r="L21" s="47">
        <f t="shared" si="4"/>
        <v>-46622.808979999973</v>
      </c>
      <c r="M21" s="47">
        <f t="shared" si="4"/>
        <v>-97920</v>
      </c>
      <c r="N21" s="47">
        <f t="shared" si="4"/>
        <v>0</v>
      </c>
      <c r="O21" s="47">
        <f t="shared" si="4"/>
        <v>-446994.55099999998</v>
      </c>
      <c r="P21" s="47">
        <f t="shared" si="4"/>
        <v>-286538.39999999997</v>
      </c>
      <c r="Q21" s="47">
        <f t="shared" si="4"/>
        <v>1317543.0599808721</v>
      </c>
      <c r="R21" s="47">
        <f t="shared" si="4"/>
        <v>-3491.8086666669988</v>
      </c>
      <c r="S21" s="203"/>
    </row>
    <row r="22" spans="1:19">
      <c r="A22" s="93"/>
      <c r="C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242"/>
    </row>
    <row r="23" spans="1:19" ht="13.5" thickBot="1">
      <c r="A23" s="93">
        <f>A21+1</f>
        <v>11</v>
      </c>
      <c r="C23" s="14" t="s">
        <v>83</v>
      </c>
      <c r="F23" s="20">
        <f>F12-F21</f>
        <v>674371.26591579453</v>
      </c>
      <c r="H23" s="20">
        <f>H12-H21</f>
        <v>375535.48724999931</v>
      </c>
      <c r="I23" s="20">
        <f t="shared" ref="I23:R23" si="5">I12-I21</f>
        <v>412145.25</v>
      </c>
      <c r="J23" s="20">
        <f t="shared" si="5"/>
        <v>322666.02</v>
      </c>
      <c r="K23" s="20">
        <f t="shared" si="5"/>
        <v>0</v>
      </c>
      <c r="L23" s="20">
        <f t="shared" si="5"/>
        <v>46622.808979999973</v>
      </c>
      <c r="M23" s="20">
        <f t="shared" si="5"/>
        <v>97920</v>
      </c>
      <c r="N23" s="20">
        <f t="shared" si="5"/>
        <v>0</v>
      </c>
      <c r="O23" s="20">
        <f t="shared" si="5"/>
        <v>446994.55099999998</v>
      </c>
      <c r="P23" s="20">
        <f t="shared" si="5"/>
        <v>286538.39999999997</v>
      </c>
      <c r="Q23" s="20">
        <f t="shared" si="5"/>
        <v>-1317543.0599808721</v>
      </c>
      <c r="R23" s="20">
        <f t="shared" si="5"/>
        <v>3491.8086666669988</v>
      </c>
      <c r="S23" s="203"/>
    </row>
    <row r="24" spans="1:19" ht="13.5" thickTop="1">
      <c r="A24" s="93"/>
      <c r="F24" s="4"/>
      <c r="S24" s="203"/>
    </row>
    <row r="25" spans="1:19">
      <c r="S25" s="49"/>
    </row>
    <row r="26" spans="1:19">
      <c r="A26" s="2" t="s">
        <v>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49"/>
    </row>
    <row r="27" spans="1:19">
      <c r="A27" s="180" t="s">
        <v>368</v>
      </c>
      <c r="B27" s="180"/>
      <c r="C27" s="180"/>
      <c r="D27" s="182">
        <v>0.38774973800000001</v>
      </c>
      <c r="E27" s="182"/>
      <c r="F27" s="182"/>
    </row>
    <row r="28" spans="1:19">
      <c r="F28" s="5"/>
      <c r="L28" s="42"/>
    </row>
    <row r="30" spans="1:19">
      <c r="F30" s="42"/>
    </row>
    <row r="33" spans="12:12">
      <c r="L33" s="1" t="s">
        <v>177</v>
      </c>
    </row>
  </sheetData>
  <pageMargins left="0.75" right="0.75" top="1" bottom="0.69" header="0.98" footer="0.5"/>
  <pageSetup fitToWidth="3" orientation="landscape" horizontalDpi="1200" verticalDpi="1200" r:id="rId1"/>
  <headerFooter alignWithMargins="0">
    <oddHeader>&amp;R&amp;"Times New Roman,Regular"Exhibit RCS-1
Schedule C.1 
Case No. 2016-00371
Page 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34"/>
  <sheetViews>
    <sheetView workbookViewId="0">
      <selection activeCell="F41" sqref="F41"/>
    </sheetView>
  </sheetViews>
  <sheetFormatPr defaultRowHeight="12.75"/>
  <cols>
    <col min="1" max="1" width="5.42578125" style="1" customWidth="1"/>
    <col min="2" max="2" width="4.42578125" style="1" customWidth="1"/>
    <col min="3" max="3" width="31.7109375" style="1" customWidth="1"/>
    <col min="4" max="4" width="2.28515625" style="1" customWidth="1"/>
    <col min="5" max="5" width="16.140625" style="1" bestFit="1" customWidth="1"/>
    <col min="6" max="6" width="3.28515625" style="1" customWidth="1"/>
    <col min="7" max="7" width="9.42578125" style="1" bestFit="1" customWidth="1"/>
    <col min="8" max="8" width="2.28515625" style="1" customWidth="1"/>
    <col min="9" max="9" width="8.42578125" style="1" bestFit="1" customWidth="1"/>
    <col min="10" max="10" width="2.28515625" style="1" customWidth="1"/>
    <col min="11" max="11" width="10.85546875" style="1" customWidth="1"/>
    <col min="12" max="12" width="1.140625" style="1" customWidth="1"/>
    <col min="13" max="13" width="10.85546875" style="1" customWidth="1"/>
    <col min="14" max="14" width="1.42578125" style="1" customWidth="1"/>
    <col min="15" max="15" width="10.85546875" style="1" customWidth="1"/>
    <col min="16" max="16" width="5.5703125" style="1" customWidth="1"/>
    <col min="17" max="17" width="9.140625" style="1"/>
    <col min="18" max="18" width="9.42578125" style="1" bestFit="1" customWidth="1"/>
    <col min="19" max="16384" width="9.140625" style="1"/>
  </cols>
  <sheetData>
    <row r="1" spans="1:15">
      <c r="A1" s="1" t="str">
        <f>Contents!A1</f>
        <v>Louisville Gas and Electric Company</v>
      </c>
      <c r="H1" s="10"/>
      <c r="O1" s="27" t="str">
        <f>Contents!A4</f>
        <v>Exhibit RCS-2</v>
      </c>
    </row>
    <row r="2" spans="1:15">
      <c r="A2" s="1" t="s">
        <v>17</v>
      </c>
      <c r="H2" s="10"/>
      <c r="O2" s="27" t="s">
        <v>102</v>
      </c>
    </row>
    <row r="3" spans="1:15">
      <c r="H3" s="10"/>
      <c r="O3" s="27" t="str">
        <f>Contents!A2</f>
        <v>Case No. 2016-00371</v>
      </c>
    </row>
    <row r="4" spans="1:15">
      <c r="A4" s="1" t="s">
        <v>287</v>
      </c>
      <c r="H4" s="10"/>
      <c r="O4" s="27" t="s">
        <v>184</v>
      </c>
    </row>
    <row r="6" spans="1:15">
      <c r="E6" s="93" t="s">
        <v>570</v>
      </c>
      <c r="G6" s="93" t="s">
        <v>21</v>
      </c>
    </row>
    <row r="7" spans="1:15">
      <c r="A7" s="50" t="s">
        <v>0</v>
      </c>
      <c r="E7" s="93" t="s">
        <v>205</v>
      </c>
      <c r="G7" s="50" t="s">
        <v>118</v>
      </c>
      <c r="I7" s="50" t="s">
        <v>20</v>
      </c>
      <c r="K7" s="105" t="s">
        <v>19</v>
      </c>
      <c r="L7" s="105"/>
      <c r="M7" s="105"/>
      <c r="N7" s="105"/>
      <c r="O7" s="105" t="s">
        <v>192</v>
      </c>
    </row>
    <row r="8" spans="1:15" ht="15.75">
      <c r="A8" s="51" t="s">
        <v>2</v>
      </c>
      <c r="B8" s="52"/>
      <c r="C8" s="51" t="s">
        <v>3</v>
      </c>
      <c r="D8" s="77"/>
      <c r="E8" s="78" t="s">
        <v>16</v>
      </c>
      <c r="F8" s="52"/>
      <c r="G8" s="53" t="s">
        <v>24</v>
      </c>
      <c r="I8" s="51" t="s">
        <v>23</v>
      </c>
      <c r="K8" s="11" t="s">
        <v>22</v>
      </c>
      <c r="L8" s="12"/>
      <c r="M8" s="11" t="s">
        <v>193</v>
      </c>
      <c r="N8" s="12"/>
      <c r="O8" s="11" t="s">
        <v>194</v>
      </c>
    </row>
    <row r="9" spans="1:15">
      <c r="E9" s="93" t="s">
        <v>6</v>
      </c>
      <c r="G9" s="93" t="s">
        <v>7</v>
      </c>
      <c r="I9" s="93" t="s">
        <v>18</v>
      </c>
      <c r="K9" s="93" t="s">
        <v>38</v>
      </c>
      <c r="L9" s="93"/>
      <c r="M9" s="93" t="s">
        <v>50</v>
      </c>
      <c r="N9" s="93"/>
      <c r="O9" s="93" t="s">
        <v>235</v>
      </c>
    </row>
    <row r="10" spans="1:15">
      <c r="C10" s="54" t="s">
        <v>121</v>
      </c>
      <c r="D10" s="54"/>
      <c r="E10" s="54"/>
    </row>
    <row r="11" spans="1:15">
      <c r="A11" s="50">
        <v>1</v>
      </c>
      <c r="C11" s="28" t="s">
        <v>26</v>
      </c>
      <c r="D11" s="28"/>
      <c r="E11" s="79">
        <f>'D P2'!M12</f>
        <v>303345466.25954235</v>
      </c>
      <c r="G11" s="29">
        <f>'D P2'!Q12</f>
        <v>0.42912203130581394</v>
      </c>
      <c r="I11" s="29">
        <f>'D P2'!S12</f>
        <v>4.1173858867490497E-2</v>
      </c>
      <c r="K11" s="29">
        <f>G11*I11</f>
        <v>1.7668609953916423E-2</v>
      </c>
      <c r="L11" s="29"/>
      <c r="M11" s="106">
        <v>1.0049999999999999</v>
      </c>
      <c r="N11" s="29"/>
      <c r="O11" s="29">
        <f>ROUND(K11*M11,4)</f>
        <v>1.78E-2</v>
      </c>
    </row>
    <row r="12" spans="1:15">
      <c r="A12" s="50">
        <f>A11+1</f>
        <v>2</v>
      </c>
      <c r="C12" s="28" t="s">
        <v>25</v>
      </c>
      <c r="D12" s="28"/>
      <c r="E12" s="79">
        <f>'D P2'!M13</f>
        <v>27017158.040562041</v>
      </c>
      <c r="G12" s="29">
        <f>'D P2'!Q13</f>
        <v>3.8219320965742258E-2</v>
      </c>
      <c r="I12" s="29">
        <f>'D P2'!S13</f>
        <v>7.1687229005509704E-3</v>
      </c>
      <c r="K12" s="29">
        <f>G12*I12</f>
        <v>2.7398372145062433E-4</v>
      </c>
      <c r="L12" s="29"/>
      <c r="M12" s="106">
        <v>1.0049999999999999</v>
      </c>
      <c r="N12" s="29"/>
      <c r="O12" s="29">
        <f t="shared" ref="O12:O13" si="0">ROUND(K12*M12,4)</f>
        <v>2.9999999999999997E-4</v>
      </c>
    </row>
    <row r="13" spans="1:15">
      <c r="A13" s="50">
        <f>A12+1</f>
        <v>3</v>
      </c>
      <c r="C13" s="28" t="s">
        <v>27</v>
      </c>
      <c r="D13" s="28"/>
      <c r="E13" s="79">
        <f>'D P2'!M14</f>
        <v>376535283.82282549</v>
      </c>
      <c r="G13" s="29">
        <f>'D P2'!Q14</f>
        <v>0.53265864772844373</v>
      </c>
      <c r="I13" s="31">
        <f>'D P2'!S14</f>
        <v>0.1023</v>
      </c>
      <c r="K13" s="29">
        <f>G13*I13</f>
        <v>5.4490979662619794E-2</v>
      </c>
      <c r="L13" s="29"/>
      <c r="M13" s="106">
        <f>'A-1'!O22</f>
        <v>1.6404084974767768</v>
      </c>
      <c r="N13" s="29"/>
      <c r="O13" s="29">
        <f t="shared" si="0"/>
        <v>8.9399999999999993E-2</v>
      </c>
    </row>
    <row r="14" spans="1:15" ht="13.5" thickBot="1">
      <c r="A14" s="50">
        <f t="shared" ref="A14" si="1">A13+1</f>
        <v>4</v>
      </c>
      <c r="C14" s="28" t="s">
        <v>28</v>
      </c>
      <c r="D14" s="28"/>
      <c r="E14" s="95">
        <f>SUM(E11:E13)</f>
        <v>706897908.12292981</v>
      </c>
      <c r="G14" s="32">
        <f>SUM(G11:G13)</f>
        <v>1</v>
      </c>
      <c r="I14" s="31"/>
      <c r="K14" s="96">
        <v>7.243100045852631E-2</v>
      </c>
      <c r="L14" s="104"/>
      <c r="M14" s="104"/>
      <c r="N14" s="104"/>
      <c r="O14" s="96">
        <f>ROUND(SUM(O10:O13),4)</f>
        <v>0.1075</v>
      </c>
    </row>
    <row r="15" spans="1:15" ht="12" customHeight="1" thickTop="1">
      <c r="I15" s="13"/>
      <c r="J15" s="13"/>
      <c r="K15" s="13"/>
      <c r="L15" s="13"/>
      <c r="M15" s="13"/>
      <c r="N15" s="13"/>
      <c r="O15" s="13"/>
    </row>
    <row r="16" spans="1:15">
      <c r="C16" s="55" t="s">
        <v>162</v>
      </c>
      <c r="D16" s="55"/>
      <c r="E16" s="55"/>
    </row>
    <row r="17" spans="1:16">
      <c r="A17" s="56">
        <f>A14+1</f>
        <v>5</v>
      </c>
      <c r="C17" s="28" t="s">
        <v>26</v>
      </c>
      <c r="D17" s="28"/>
      <c r="E17" s="79">
        <f>'D P2'!O19</f>
        <v>327848534.09890002</v>
      </c>
      <c r="G17" s="29">
        <f>'D P2'!Q19</f>
        <v>0.45910000000000001</v>
      </c>
      <c r="I17" s="29">
        <f>'D P2'!S19</f>
        <v>4.1000000000000002E-2</v>
      </c>
      <c r="K17" s="29">
        <f>G17*I17</f>
        <v>1.8823100000000002E-2</v>
      </c>
      <c r="L17" s="29"/>
      <c r="M17" s="106">
        <v>1.0049999999999999</v>
      </c>
      <c r="N17" s="29"/>
      <c r="O17" s="29">
        <f>ROUND(K17*M17,4)</f>
        <v>1.89E-2</v>
      </c>
    </row>
    <row r="18" spans="1:16">
      <c r="A18" s="50">
        <f t="shared" ref="A18:A20" si="2">A17+1</f>
        <v>6</v>
      </c>
      <c r="C18" s="28" t="s">
        <v>25</v>
      </c>
      <c r="D18" s="28"/>
      <c r="E18" s="79">
        <f>'D P2'!O20</f>
        <v>29207155.401099999</v>
      </c>
      <c r="G18" s="29">
        <f>'D P2'!Q20</f>
        <v>4.0899999999999999E-2</v>
      </c>
      <c r="I18" s="29">
        <f>'D P2'!S20</f>
        <v>7.1999999999999998E-3</v>
      </c>
      <c r="K18" s="29">
        <f>G18*I18</f>
        <v>2.9447999999999996E-4</v>
      </c>
      <c r="L18" s="29"/>
      <c r="M18" s="106">
        <v>1.0049999999999999</v>
      </c>
      <c r="N18" s="29"/>
      <c r="O18" s="29">
        <f t="shared" ref="O18:O19" si="3">ROUND(K18*M18,4)</f>
        <v>2.9999999999999997E-4</v>
      </c>
    </row>
    <row r="19" spans="1:16">
      <c r="A19" s="50">
        <f t="shared" si="2"/>
        <v>7</v>
      </c>
      <c r="C19" s="28" t="s">
        <v>27</v>
      </c>
      <c r="D19" s="28"/>
      <c r="E19" s="79">
        <f>'D P2'!O21</f>
        <v>357055689.5</v>
      </c>
      <c r="G19" s="29">
        <f>'D P2'!Q21</f>
        <v>0.5</v>
      </c>
      <c r="I19" s="31">
        <f>'D P2'!S21</f>
        <v>8.6999999999999994E-2</v>
      </c>
      <c r="K19" s="29">
        <f>G19*I19</f>
        <v>4.3499999999999997E-2</v>
      </c>
      <c r="L19" s="29"/>
      <c r="M19" s="106">
        <f>'A-1'!O22</f>
        <v>1.6404084974767768</v>
      </c>
      <c r="N19" s="29"/>
      <c r="O19" s="29">
        <f t="shared" si="3"/>
        <v>7.1400000000000005E-2</v>
      </c>
    </row>
    <row r="20" spans="1:16" ht="13.5" thickBot="1">
      <c r="A20" s="50">
        <f t="shared" si="2"/>
        <v>8</v>
      </c>
      <c r="C20" s="28" t="s">
        <v>28</v>
      </c>
      <c r="D20" s="28"/>
      <c r="E20" s="95">
        <f>SUM(E17:E19)</f>
        <v>714111379</v>
      </c>
      <c r="G20" s="32">
        <f>SUM(G17:G19)</f>
        <v>1</v>
      </c>
      <c r="I20" s="31"/>
      <c r="K20" s="96">
        <f>SUM(K16:K19)</f>
        <v>6.2617580000000006E-2</v>
      </c>
      <c r="L20" s="104"/>
      <c r="M20" s="104"/>
      <c r="N20" s="104"/>
      <c r="O20" s="96">
        <f>ROUND(SUM(O16:O19),4)</f>
        <v>9.06E-2</v>
      </c>
    </row>
    <row r="21" spans="1:16" ht="13.5" thickTop="1">
      <c r="A21" s="50"/>
      <c r="C21" s="28"/>
      <c r="D21" s="28"/>
      <c r="E21" s="28"/>
      <c r="I21" s="31"/>
      <c r="K21" s="57"/>
      <c r="L21" s="104"/>
      <c r="M21" s="104"/>
      <c r="N21" s="104"/>
      <c r="O21" s="104"/>
    </row>
    <row r="22" spans="1:16" ht="13.5" thickBot="1">
      <c r="A22" s="56">
        <f>A20+1</f>
        <v>9</v>
      </c>
      <c r="C22" s="28" t="s">
        <v>29</v>
      </c>
      <c r="D22" s="28"/>
      <c r="E22" s="28"/>
      <c r="G22" s="1" t="s">
        <v>308</v>
      </c>
      <c r="K22" s="58">
        <f>K20-K14</f>
        <v>-9.8134204585263035E-3</v>
      </c>
      <c r="L22" s="33"/>
      <c r="M22" s="33"/>
      <c r="N22" s="33"/>
      <c r="O22" s="58">
        <f>O20-O14</f>
        <v>-1.6899999999999998E-2</v>
      </c>
    </row>
    <row r="23" spans="1:16" ht="14.25" customHeight="1" thickTop="1">
      <c r="A23" s="56"/>
      <c r="C23" s="28"/>
      <c r="D23" s="28"/>
      <c r="E23" s="28"/>
      <c r="K23" s="33"/>
      <c r="L23" s="33"/>
      <c r="M23" s="33"/>
      <c r="N23" s="33"/>
      <c r="O23" s="33"/>
    </row>
    <row r="24" spans="1:16" ht="13.5" thickBot="1">
      <c r="A24" s="56">
        <f>A22+1</f>
        <v>10</v>
      </c>
      <c r="C24" s="117" t="s">
        <v>176</v>
      </c>
      <c r="D24" s="117"/>
      <c r="E24" s="117"/>
      <c r="F24" s="117"/>
      <c r="G24" s="117" t="s">
        <v>309</v>
      </c>
      <c r="H24" s="117"/>
      <c r="I24" s="117"/>
      <c r="J24" s="117"/>
      <c r="K24" s="120">
        <f>SUM(K17:K18)</f>
        <v>1.9117580000000002E-2</v>
      </c>
      <c r="L24" s="35"/>
      <c r="M24" s="35"/>
      <c r="N24" s="35"/>
      <c r="O24"/>
    </row>
    <row r="25" spans="1:16" ht="12.75" customHeight="1" thickTop="1">
      <c r="A25" s="56"/>
      <c r="C25" s="117"/>
      <c r="D25" s="117"/>
      <c r="E25" s="117"/>
      <c r="F25" s="117"/>
      <c r="G25" s="117"/>
      <c r="H25" s="117"/>
      <c r="I25" s="117"/>
      <c r="J25" s="117"/>
      <c r="K25" s="119"/>
      <c r="L25" s="35"/>
      <c r="M25" s="35"/>
      <c r="N25" s="35"/>
      <c r="O25" s="35"/>
    </row>
    <row r="26" spans="1:16" ht="15" customHeight="1"/>
    <row r="27" spans="1:16" ht="15.75" customHeight="1">
      <c r="A27" s="2" t="s">
        <v>39</v>
      </c>
      <c r="B27" s="2"/>
      <c r="C27" s="59"/>
      <c r="D27" s="59"/>
      <c r="E27" s="59"/>
      <c r="F27" s="2"/>
      <c r="G27" s="2"/>
      <c r="H27" s="2"/>
      <c r="I27" s="2"/>
      <c r="J27" s="2"/>
      <c r="K27" s="2"/>
      <c r="L27" s="2"/>
      <c r="M27" s="2"/>
      <c r="N27" s="2"/>
      <c r="O27" s="2"/>
      <c r="P27" s="13"/>
    </row>
    <row r="28" spans="1:16">
      <c r="A28" s="13" t="s">
        <v>296</v>
      </c>
      <c r="B28" s="13"/>
      <c r="D28" s="49"/>
      <c r="E28" s="49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s="117" customFormat="1">
      <c r="A29" s="122" t="s">
        <v>572</v>
      </c>
      <c r="B29" s="49"/>
      <c r="C29" s="49"/>
      <c r="D29" s="118"/>
      <c r="E29" s="118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spans="1:16">
      <c r="A30" s="49" t="s">
        <v>571</v>
      </c>
      <c r="B30" s="13"/>
      <c r="C30" s="49"/>
      <c r="D30" s="60"/>
      <c r="E30" s="60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>
      <c r="A31" s="13"/>
      <c r="B31" s="13"/>
      <c r="C31" s="49"/>
      <c r="D31" s="60"/>
      <c r="E31" s="60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>
      <c r="A32" s="13"/>
      <c r="B32" s="13"/>
      <c r="C32" s="13"/>
      <c r="D32" s="13"/>
      <c r="E32" s="49"/>
      <c r="F32" s="49"/>
      <c r="G32" s="49"/>
      <c r="H32" s="13"/>
      <c r="I32" s="97"/>
      <c r="J32" s="13"/>
      <c r="K32" s="13"/>
      <c r="L32" s="13"/>
      <c r="M32" s="13"/>
      <c r="N32" s="13"/>
      <c r="O32" s="13"/>
      <c r="P32" s="13"/>
    </row>
    <row r="33" spans="1:16">
      <c r="A33" s="122"/>
      <c r="B33" s="13"/>
      <c r="C33" s="13"/>
      <c r="D33" s="13"/>
      <c r="E33" s="49"/>
      <c r="F33" s="49"/>
      <c r="G33" s="49"/>
      <c r="H33" s="13"/>
      <c r="I33" s="97"/>
      <c r="J33" s="13"/>
      <c r="K33" s="13"/>
      <c r="L33" s="13"/>
      <c r="M33" s="13"/>
      <c r="N33" s="13"/>
      <c r="O33" s="13"/>
      <c r="P33" s="13"/>
    </row>
    <row r="34" spans="1:16">
      <c r="C34" s="49"/>
      <c r="D34" s="49"/>
      <c r="E34" s="49"/>
      <c r="F34" s="13"/>
      <c r="G34" s="13"/>
      <c r="H34" s="13"/>
      <c r="I34" s="33"/>
      <c r="J34" s="13"/>
      <c r="K34" s="13"/>
      <c r="L34" s="13"/>
      <c r="M34" s="13"/>
      <c r="N34" s="13"/>
      <c r="O34" s="13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16</vt:i4>
      </vt:variant>
    </vt:vector>
  </HeadingPairs>
  <TitlesOfParts>
    <vt:vector size="48" baseType="lpstr">
      <vt:lpstr>Contents</vt:lpstr>
      <vt:lpstr>A</vt:lpstr>
      <vt:lpstr>Ap2</vt:lpstr>
      <vt:lpstr>A-1</vt:lpstr>
      <vt:lpstr>B</vt:lpstr>
      <vt:lpstr>B.1</vt:lpstr>
      <vt:lpstr>C</vt:lpstr>
      <vt:lpstr>C.1</vt:lpstr>
      <vt:lpstr>D P1</vt:lpstr>
      <vt:lpstr>D P2</vt:lpstr>
      <vt:lpstr>D P3</vt:lpstr>
      <vt:lpstr>B-1</vt:lpstr>
      <vt:lpstr>B-2</vt:lpstr>
      <vt:lpstr>B-3</vt:lpstr>
      <vt:lpstr>B-3, P2</vt:lpstr>
      <vt:lpstr>B-4</vt:lpstr>
      <vt:lpstr>B-5</vt:lpstr>
      <vt:lpstr>C-1 Int.Sync</vt:lpstr>
      <vt:lpstr>C-2 P1</vt:lpstr>
      <vt:lpstr>C-2 P2</vt:lpstr>
      <vt:lpstr>C-2 P3</vt:lpstr>
      <vt:lpstr>C-3</vt:lpstr>
      <vt:lpstr>C-4</vt:lpstr>
      <vt:lpstr>C-5</vt:lpstr>
      <vt:lpstr>C-6</vt:lpstr>
      <vt:lpstr>C-7</vt:lpstr>
      <vt:lpstr>C-8 P1</vt:lpstr>
      <vt:lpstr>C-8 P2</vt:lpstr>
      <vt:lpstr>C-8 P3</vt:lpstr>
      <vt:lpstr>C-9</vt:lpstr>
      <vt:lpstr>C-10</vt:lpstr>
      <vt:lpstr>C-11 </vt:lpstr>
      <vt:lpstr>A!Print_Area</vt:lpstr>
      <vt:lpstr>'A-1'!Print_Area</vt:lpstr>
      <vt:lpstr>'Ap2'!Print_Area</vt:lpstr>
      <vt:lpstr>B.1!Print_Area</vt:lpstr>
      <vt:lpstr>'B-1'!Print_Area</vt:lpstr>
      <vt:lpstr>'B-3, P2'!Print_Area</vt:lpstr>
      <vt:lpstr>'C'!Print_Area</vt:lpstr>
      <vt:lpstr>C.1!Print_Area</vt:lpstr>
      <vt:lpstr>'C-1 Int.Sync'!Print_Area</vt:lpstr>
      <vt:lpstr>'C-8 P2'!Print_Area</vt:lpstr>
      <vt:lpstr>'C-8 P3'!Print_Area</vt:lpstr>
      <vt:lpstr>Contents!Print_Area</vt:lpstr>
      <vt:lpstr>'D P1'!Print_Area</vt:lpstr>
      <vt:lpstr>'D P2'!Print_Area</vt:lpstr>
      <vt:lpstr>'D P3'!Print_Area</vt:lpstr>
      <vt:lpstr>C.1!Print_Titles</vt:lpstr>
    </vt:vector>
  </TitlesOfParts>
  <Company>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</dc:creator>
  <cp:lastModifiedBy>Mark</cp:lastModifiedBy>
  <cp:lastPrinted>2017-03-01T22:06:13Z</cp:lastPrinted>
  <dcterms:created xsi:type="dcterms:W3CDTF">2005-05-02T15:31:48Z</dcterms:created>
  <dcterms:modified xsi:type="dcterms:W3CDTF">2017-03-01T23:05:57Z</dcterms:modified>
</cp:coreProperties>
</file>