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30" windowWidth="11355" windowHeight="7680" tabRatio="968"/>
  </bookViews>
  <sheets>
    <sheet name="Contents" sheetId="41" r:id="rId1"/>
    <sheet name="A" sheetId="40" r:id="rId2"/>
    <sheet name="Ap2" sheetId="126" r:id="rId3"/>
    <sheet name="A-1" sheetId="92" r:id="rId4"/>
    <sheet name="B" sheetId="190" r:id="rId5"/>
    <sheet name="B.1" sheetId="46" r:id="rId6"/>
    <sheet name="C" sheetId="14" r:id="rId7"/>
    <sheet name="C.1" sheetId="49" r:id="rId8"/>
    <sheet name="Dp1" sheetId="209" r:id="rId9"/>
    <sheet name="Dp2" sheetId="208" r:id="rId10"/>
    <sheet name="Dp3" sheetId="192" r:id="rId11"/>
    <sheet name="B-1" sheetId="45" r:id="rId12"/>
    <sheet name="B-2" sheetId="100" r:id="rId13"/>
    <sheet name="B-3" sheetId="44" r:id="rId14"/>
    <sheet name="B-3, P2" sheetId="199" r:id="rId15"/>
    <sheet name="B-4" sheetId="216" r:id="rId16"/>
    <sheet name="B-5" sheetId="220" r:id="rId17"/>
    <sheet name="C-1Int.Sync" sheetId="202" r:id="rId18"/>
    <sheet name="C-2 P1" sheetId="198" r:id="rId19"/>
    <sheet name="C-2 P2" sheetId="212" r:id="rId20"/>
    <sheet name="C-2 P3" sheetId="210" r:id="rId21"/>
    <sheet name="C-3 " sheetId="215" r:id="rId22"/>
    <sheet name="C-4" sheetId="55" r:id="rId23"/>
    <sheet name="C-5" sheetId="219" r:id="rId24"/>
    <sheet name="C-6" sheetId="27" r:id="rId25"/>
    <sheet name="C-7" sheetId="29" r:id="rId26"/>
    <sheet name="C-8 P1" sheetId="25" r:id="rId27"/>
    <sheet name="C-8 P2" sheetId="218" r:id="rId28"/>
    <sheet name="C-8 P3" sheetId="217" r:id="rId29"/>
    <sheet name="C-9" sheetId="200" r:id="rId30"/>
    <sheet name="C-10" sheetId="204" r:id="rId31"/>
    <sheet name="C-11 " sheetId="184" r:id="rId32"/>
  </sheets>
  <externalReferences>
    <externalReference r:id="rId33"/>
    <externalReference r:id="rId34"/>
  </externalReferences>
  <definedNames>
    <definedName name="_xlnm.Print_Area" localSheetId="1">A!$A$1:$K$28</definedName>
    <definedName name="_xlnm.Print_Area" localSheetId="3">'A-1'!$A$1:$P$41</definedName>
    <definedName name="_xlnm.Print_Area" localSheetId="2">'Ap2'!$A$1:$N$59</definedName>
    <definedName name="_xlnm.Print_Area" localSheetId="11">'B-1'!$A$1:$O$29</definedName>
    <definedName name="_xlnm.Print_Area" localSheetId="14">'B-3, P2'!$A$1:$J$30</definedName>
    <definedName name="_xlnm.Print_Area" localSheetId="6">'C'!$A$1:$N$41</definedName>
    <definedName name="_xlnm.Print_Area" localSheetId="17">'C-1Int.Sync'!$A$1:$J$24</definedName>
    <definedName name="_xlnm.Print_Area" localSheetId="22">'C-4'!#REF!</definedName>
    <definedName name="_xlnm.Print_Area" localSheetId="27">'C-8 P2'!$A$1:$I$52</definedName>
    <definedName name="_xlnm.Print_Area" localSheetId="28">'C-8 P3'!$A$1:$I$57</definedName>
    <definedName name="_xlnm.Print_Area" localSheetId="0">Contents!$A$1:$D$57</definedName>
    <definedName name="_xlnm.Print_Area" localSheetId="9">'Dp2'!$A$1:$U$29</definedName>
    <definedName name="_xlnm.Print_Area" localSheetId="10">'Dp3'!$A$1:$U$33</definedName>
    <definedName name="_xlnm.Print_Titles" localSheetId="7">C.1!$A:$D</definedName>
  </definedNames>
  <calcPr calcId="124519" iterate="1"/>
</workbook>
</file>

<file path=xl/calcChain.xml><?xml version="1.0" encoding="utf-8"?>
<calcChain xmlns="http://schemas.openxmlformats.org/spreadsheetml/2006/main">
  <c r="A16" i="44"/>
  <c r="A17"/>
  <c r="A18" s="1"/>
  <c r="A19" s="1"/>
  <c r="A20" s="1"/>
  <c r="A15"/>
  <c r="A40" i="190" l="1"/>
  <c r="A31"/>
  <c r="G31" i="126" l="1"/>
  <c r="A13" i="46" l="1"/>
  <c r="A14" i="190"/>
  <c r="M13" i="209" l="1"/>
  <c r="E21" i="184" l="1"/>
  <c r="E19"/>
  <c r="G24" i="29"/>
  <c r="G23"/>
  <c r="I20" i="100"/>
  <c r="I19"/>
  <c r="I21" l="1"/>
  <c r="S20" i="208"/>
  <c r="Q25" i="192"/>
  <c r="Q24"/>
  <c r="Q23"/>
  <c r="K28"/>
  <c r="K27"/>
  <c r="E29"/>
  <c r="A19" i="208"/>
  <c r="A20" s="1"/>
  <c r="A21" s="1"/>
  <c r="A22" s="1"/>
  <c r="A14"/>
  <c r="A15" s="1"/>
  <c r="A13"/>
  <c r="E29" i="100" l="1"/>
  <c r="B28" i="41" l="1"/>
  <c r="B30"/>
  <c r="B23"/>
  <c r="C23" i="126" s="1"/>
  <c r="K3" i="46"/>
  <c r="K1"/>
  <c r="K31"/>
  <c r="K22"/>
  <c r="K15"/>
  <c r="A1" i="220"/>
  <c r="I3"/>
  <c r="I1"/>
  <c r="E25" i="184"/>
  <c r="E27" s="1"/>
  <c r="R15" i="49" l="1"/>
  <c r="E29" i="184"/>
  <c r="E10" s="1"/>
  <c r="K24" i="46"/>
  <c r="K33" s="1"/>
  <c r="K37" s="1"/>
  <c r="R19" i="49" l="1"/>
  <c r="G41" i="126"/>
  <c r="I22" i="199"/>
  <c r="G3" i="200" l="1"/>
  <c r="G1"/>
  <c r="A1"/>
  <c r="G34"/>
  <c r="G38" s="1"/>
  <c r="G40" s="1"/>
  <c r="E10" s="1"/>
  <c r="P15" i="49" s="1"/>
  <c r="G39" i="126" s="1"/>
  <c r="A21" i="200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6" s="1"/>
  <c r="A38" s="1"/>
  <c r="B32" i="41"/>
  <c r="C18" i="199" s="1"/>
  <c r="B31" i="41"/>
  <c r="E45" i="219"/>
  <c r="G42"/>
  <c r="E42"/>
  <c r="E27"/>
  <c r="G22"/>
  <c r="G21"/>
  <c r="G20"/>
  <c r="A19"/>
  <c r="A20" s="1"/>
  <c r="A21" s="1"/>
  <c r="A22" s="1"/>
  <c r="A23" s="1"/>
  <c r="A24" s="1"/>
  <c r="A27" s="1"/>
  <c r="A39" s="1"/>
  <c r="A40" s="1"/>
  <c r="A42" s="1"/>
  <c r="A45" s="1"/>
  <c r="A46" s="1"/>
  <c r="A47" s="1"/>
  <c r="E9"/>
  <c r="P19" i="49" l="1"/>
  <c r="I20" i="199"/>
  <c r="G27" i="219"/>
  <c r="E46" l="1"/>
  <c r="E47" s="1"/>
  <c r="G9" s="1"/>
  <c r="I9" s="1"/>
  <c r="L15" i="49" s="1"/>
  <c r="M12" i="92"/>
  <c r="L19" i="49" l="1"/>
  <c r="G35" i="126"/>
  <c r="I16" i="199"/>
  <c r="E12" i="29"/>
  <c r="E21" i="27" l="1"/>
  <c r="E24" s="1"/>
  <c r="K24" i="29" l="1"/>
  <c r="K23"/>
  <c r="E31" i="100"/>
  <c r="G21"/>
  <c r="E32" l="1"/>
  <c r="I22" s="1"/>
  <c r="I23" s="1"/>
  <c r="G11" s="1"/>
  <c r="L16" i="217" l="1"/>
  <c r="M15" s="1"/>
  <c r="G30" s="1"/>
  <c r="M17" i="218"/>
  <c r="G36" s="1"/>
  <c r="L18"/>
  <c r="M16" s="1"/>
  <c r="I36" l="1"/>
  <c r="I28"/>
  <c r="I24"/>
  <c r="M18"/>
  <c r="I29"/>
  <c r="I25"/>
  <c r="I15"/>
  <c r="I27"/>
  <c r="I30"/>
  <c r="I26"/>
  <c r="I22"/>
  <c r="I31"/>
  <c r="I23"/>
  <c r="G28"/>
  <c r="G25" i="217"/>
  <c r="G29"/>
  <c r="G39"/>
  <c r="G23" i="218"/>
  <c r="G27"/>
  <c r="G31"/>
  <c r="M14" i="217"/>
  <c r="G24"/>
  <c r="G28"/>
  <c r="G32"/>
  <c r="G24" i="218"/>
  <c r="G22"/>
  <c r="G26"/>
  <c r="G30"/>
  <c r="G23" i="217"/>
  <c r="G27"/>
  <c r="G31"/>
  <c r="G15" i="218"/>
  <c r="G25"/>
  <c r="G29"/>
  <c r="G14" i="217"/>
  <c r="G26"/>
  <c r="G32" i="218" l="1"/>
  <c r="M16" i="217"/>
  <c r="I30"/>
  <c r="I26"/>
  <c r="I14"/>
  <c r="I31"/>
  <c r="I27"/>
  <c r="I23"/>
  <c r="I32"/>
  <c r="I28"/>
  <c r="I24"/>
  <c r="I39"/>
  <c r="I29"/>
  <c r="I25"/>
  <c r="B20" i="41"/>
  <c r="C22" i="126" s="1"/>
  <c r="E55" i="217"/>
  <c r="E15" s="1"/>
  <c r="E16" s="1"/>
  <c r="E18" s="1"/>
  <c r="E20" s="1"/>
  <c r="E50" i="218"/>
  <c r="E16" s="1"/>
  <c r="G41" i="217"/>
  <c r="G43" s="1"/>
  <c r="G17" i="25" s="1"/>
  <c r="G33" i="217"/>
  <c r="G35" s="1"/>
  <c r="G37" s="1"/>
  <c r="G14" i="25" s="1"/>
  <c r="G38" i="218"/>
  <c r="E17" i="25" s="1"/>
  <c r="I3" i="217"/>
  <c r="I1"/>
  <c r="A1"/>
  <c r="I3" i="218"/>
  <c r="I1"/>
  <c r="A1"/>
  <c r="A16"/>
  <c r="A17" s="1"/>
  <c r="A18" s="1"/>
  <c r="A19" s="1"/>
  <c r="A22" s="1"/>
  <c r="A23" s="1"/>
  <c r="A24" s="1"/>
  <c r="A25" s="1"/>
  <c r="A26" s="1"/>
  <c r="A27" s="1"/>
  <c r="A28" s="1"/>
  <c r="E41" i="217"/>
  <c r="E43" s="1"/>
  <c r="I41"/>
  <c r="I43" s="1"/>
  <c r="E33"/>
  <c r="E35" s="1"/>
  <c r="E37" s="1"/>
  <c r="A15"/>
  <c r="A16" s="1"/>
  <c r="A17" s="1"/>
  <c r="A18" s="1"/>
  <c r="A19" s="1"/>
  <c r="A20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9" s="1"/>
  <c r="A40" s="1"/>
  <c r="A41" s="1"/>
  <c r="A42" s="1"/>
  <c r="A43" s="1"/>
  <c r="A45" s="1"/>
  <c r="E38" i="218"/>
  <c r="I38"/>
  <c r="E32"/>
  <c r="E34" s="1"/>
  <c r="I3" i="25"/>
  <c r="I1"/>
  <c r="A1"/>
  <c r="I33" i="217" l="1"/>
  <c r="I35" s="1"/>
  <c r="I37" s="1"/>
  <c r="E45"/>
  <c r="G15"/>
  <c r="G16" s="1"/>
  <c r="G18" s="1"/>
  <c r="G20" s="1"/>
  <c r="G13" i="25" s="1"/>
  <c r="G15" s="1"/>
  <c r="I15" i="217"/>
  <c r="G16" i="218"/>
  <c r="G17" s="1"/>
  <c r="G19" s="1"/>
  <c r="E13" i="25" s="1"/>
  <c r="I16" i="218"/>
  <c r="I17" s="1"/>
  <c r="I19" s="1"/>
  <c r="E17"/>
  <c r="E19" s="1"/>
  <c r="E40" s="1"/>
  <c r="I17" i="25"/>
  <c r="O18" i="49" s="1"/>
  <c r="G34" i="218"/>
  <c r="E14" i="25" s="1"/>
  <c r="I14" s="1"/>
  <c r="A29" i="218"/>
  <c r="A30" s="1"/>
  <c r="A31" s="1"/>
  <c r="A32" s="1"/>
  <c r="A33" s="1"/>
  <c r="A34" s="1"/>
  <c r="A36" s="1"/>
  <c r="A37" s="1"/>
  <c r="A38" s="1"/>
  <c r="A40" s="1"/>
  <c r="I32"/>
  <c r="I34" s="1"/>
  <c r="I16" i="217"/>
  <c r="I18" s="1"/>
  <c r="I20" s="1"/>
  <c r="I45" s="1"/>
  <c r="I40" i="218" l="1"/>
  <c r="G45" i="217"/>
  <c r="E15" i="25"/>
  <c r="I13"/>
  <c r="I15" s="1"/>
  <c r="O15" i="49" s="1"/>
  <c r="G38" i="126" s="1"/>
  <c r="G40" i="218"/>
  <c r="O19" i="49" l="1"/>
  <c r="I19" i="199"/>
  <c r="J15" i="46"/>
  <c r="I15"/>
  <c r="E35"/>
  <c r="E30"/>
  <c r="E28"/>
  <c r="E27"/>
  <c r="E20"/>
  <c r="E13"/>
  <c r="I27" i="216"/>
  <c r="I28" s="1"/>
  <c r="G30"/>
  <c r="G26"/>
  <c r="G27" s="1"/>
  <c r="G28" s="1"/>
  <c r="E30"/>
  <c r="E14" s="1"/>
  <c r="J21" i="46" s="1"/>
  <c r="E21" s="1"/>
  <c r="E26" i="216"/>
  <c r="I3"/>
  <c r="I1"/>
  <c r="A1"/>
  <c r="E28" l="1"/>
  <c r="E12" s="1"/>
  <c r="E27"/>
  <c r="J31" i="46"/>
  <c r="J22"/>
  <c r="E16" i="216" l="1"/>
  <c r="J17" i="46"/>
  <c r="E17" s="1"/>
  <c r="G18" i="190" s="1"/>
  <c r="I18" s="1"/>
  <c r="E11"/>
  <c r="J24" i="46" l="1"/>
  <c r="J33" s="1"/>
  <c r="J37" s="1"/>
  <c r="K1" i="215"/>
  <c r="K3"/>
  <c r="I37"/>
  <c r="G37"/>
  <c r="E13" s="1"/>
  <c r="J16" i="49" s="1"/>
  <c r="K28" i="215"/>
  <c r="K27"/>
  <c r="I30"/>
  <c r="K29"/>
  <c r="K26"/>
  <c r="K25"/>
  <c r="K24"/>
  <c r="G30"/>
  <c r="E11" s="1"/>
  <c r="J15" i="49" s="1"/>
  <c r="G33" i="126" s="1"/>
  <c r="A1" i="215"/>
  <c r="I22" i="126" l="1"/>
  <c r="E57" i="192"/>
  <c r="J19" i="49"/>
  <c r="I14" i="199"/>
  <c r="K30" i="215"/>
  <c r="G86" i="212" l="1"/>
  <c r="K3" i="29" l="1"/>
  <c r="K1"/>
  <c r="A1"/>
  <c r="G25" l="1"/>
  <c r="K25"/>
  <c r="E11" s="1"/>
  <c r="E13" l="1"/>
  <c r="N16" i="49" s="1"/>
  <c r="K3" i="100"/>
  <c r="K1"/>
  <c r="A1"/>
  <c r="N19" i="49" l="1"/>
  <c r="G37" i="126"/>
  <c r="H10" i="46"/>
  <c r="H15" s="1"/>
  <c r="K15" i="49" l="1"/>
  <c r="G34" i="126" s="1"/>
  <c r="G3" i="55"/>
  <c r="G1"/>
  <c r="E14"/>
  <c r="I15" i="199" l="1"/>
  <c r="K19" i="49"/>
  <c r="E33" i="198"/>
  <c r="E86" i="212"/>
  <c r="E32" i="198" s="1"/>
  <c r="I85" i="212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3"/>
  <c r="I1"/>
  <c r="A10"/>
  <c r="A11" s="1"/>
  <c r="A12" s="1"/>
  <c r="A13" s="1"/>
  <c r="A14" s="1"/>
  <c r="E34" i="198" l="1"/>
  <c r="I86" i="212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G15" i="202" l="1"/>
  <c r="G33" i="198" l="1"/>
  <c r="G32" l="1"/>
  <c r="G34" s="1"/>
  <c r="L3" i="210"/>
  <c r="L1"/>
  <c r="K19"/>
  <c r="H19"/>
  <c r="I18" s="1"/>
  <c r="E19"/>
  <c r="F17" s="1"/>
  <c r="L18"/>
  <c r="L17"/>
  <c r="L16"/>
  <c r="L15"/>
  <c r="F15"/>
  <c r="L14"/>
  <c r="L13"/>
  <c r="G3" i="198"/>
  <c r="G1"/>
  <c r="E22"/>
  <c r="H18" i="44"/>
  <c r="G17"/>
  <c r="I17" s="1"/>
  <c r="I16"/>
  <c r="I15"/>
  <c r="E14"/>
  <c r="I14" s="1"/>
  <c r="A14"/>
  <c r="I13"/>
  <c r="F14" i="210" l="1"/>
  <c r="I15"/>
  <c r="F18"/>
  <c r="I16"/>
  <c r="I13"/>
  <c r="L19"/>
  <c r="F16"/>
  <c r="I17"/>
  <c r="F13"/>
  <c r="F19" s="1"/>
  <c r="I14"/>
  <c r="E24" i="198"/>
  <c r="E27" s="1"/>
  <c r="E18" i="44"/>
  <c r="E20" s="1"/>
  <c r="I19" i="210" l="1"/>
  <c r="E28" i="198"/>
  <c r="E29" s="1"/>
  <c r="E11"/>
  <c r="I15" i="49" s="1"/>
  <c r="G32" i="126" s="1"/>
  <c r="I13" i="199" l="1"/>
  <c r="I19" i="49"/>
  <c r="I14" i="45" l="1"/>
  <c r="M14" s="1"/>
  <c r="O14" s="1"/>
  <c r="G13"/>
  <c r="G15" s="1"/>
  <c r="G24" s="1"/>
  <c r="G34" s="1"/>
  <c r="E13"/>
  <c r="E15" s="1"/>
  <c r="E24" s="1"/>
  <c r="E34" s="1"/>
  <c r="I10"/>
  <c r="I13" s="1"/>
  <c r="I15" s="1"/>
  <c r="I24" s="1"/>
  <c r="M10" l="1"/>
  <c r="M13" s="1"/>
  <c r="M15" s="1"/>
  <c r="M24" s="1"/>
  <c r="O10" l="1"/>
  <c r="E23" i="27" s="1"/>
  <c r="E25" s="1"/>
  <c r="E10" s="1"/>
  <c r="M16" i="49" s="1"/>
  <c r="M19" l="1"/>
  <c r="G36" i="126"/>
  <c r="O13" i="45"/>
  <c r="O15" s="1"/>
  <c r="O24" s="1"/>
  <c r="G10" i="46" s="1"/>
  <c r="A12" i="202"/>
  <c r="A13" s="1"/>
  <c r="A15" s="1"/>
  <c r="A16" s="1"/>
  <c r="B26" i="41"/>
  <c r="O13" i="92"/>
  <c r="E36" s="1"/>
  <c r="O12"/>
  <c r="E35" s="1"/>
  <c r="M14"/>
  <c r="M13"/>
  <c r="M11"/>
  <c r="M15" s="1"/>
  <c r="M16" s="1"/>
  <c r="O16" s="1"/>
  <c r="E37" s="1"/>
  <c r="K16"/>
  <c r="I15"/>
  <c r="K13"/>
  <c r="K12"/>
  <c r="K11"/>
  <c r="A27" i="192"/>
  <c r="A28" s="1"/>
  <c r="A29" s="1"/>
  <c r="A30" s="1"/>
  <c r="A31" s="1"/>
  <c r="E10" i="46" l="1"/>
  <c r="E15" s="1"/>
  <c r="G15"/>
  <c r="K30" i="192"/>
  <c r="M15" s="1"/>
  <c r="K15" i="92"/>
  <c r="K18" s="1"/>
  <c r="K19" s="1"/>
  <c r="O11"/>
  <c r="H6" i="49"/>
  <c r="C12" i="199"/>
  <c r="O15" i="92"/>
  <c r="O18" s="1"/>
  <c r="E31" i="192"/>
  <c r="I1" i="202"/>
  <c r="G3" i="184"/>
  <c r="G1"/>
  <c r="A1"/>
  <c r="G3" i="204"/>
  <c r="G1"/>
  <c r="A1"/>
  <c r="G3" i="27"/>
  <c r="G1"/>
  <c r="A1"/>
  <c r="A13" i="199"/>
  <c r="A14" s="1"/>
  <c r="A15" s="1"/>
  <c r="A16" s="1"/>
  <c r="A17" s="1"/>
  <c r="A18" s="1"/>
  <c r="I3"/>
  <c r="I1"/>
  <c r="A1"/>
  <c r="U3" i="192"/>
  <c r="U1"/>
  <c r="A1"/>
  <c r="K22" i="208"/>
  <c r="E22"/>
  <c r="I21"/>
  <c r="M21" s="1"/>
  <c r="I20"/>
  <c r="M20" s="1"/>
  <c r="I19"/>
  <c r="K15"/>
  <c r="E15"/>
  <c r="I14"/>
  <c r="M14" s="1"/>
  <c r="I13"/>
  <c r="M13" s="1"/>
  <c r="I12"/>
  <c r="U3"/>
  <c r="U1"/>
  <c r="A1"/>
  <c r="I19" i="209"/>
  <c r="I17"/>
  <c r="A13"/>
  <c r="A14" s="1"/>
  <c r="A17" s="1"/>
  <c r="A18" s="1"/>
  <c r="A19" s="1"/>
  <c r="A20" s="1"/>
  <c r="A22" s="1"/>
  <c r="A24" s="1"/>
  <c r="I12"/>
  <c r="A12"/>
  <c r="I11"/>
  <c r="O3"/>
  <c r="O1"/>
  <c r="A1"/>
  <c r="R22" i="49"/>
  <c r="G22" i="199" s="1"/>
  <c r="Q22" i="49"/>
  <c r="P22"/>
  <c r="G20" i="199" s="1"/>
  <c r="O22" i="49"/>
  <c r="N22"/>
  <c r="G18" i="199" s="1"/>
  <c r="M22" i="49"/>
  <c r="L22"/>
  <c r="G16" i="199" s="1"/>
  <c r="K22" i="49"/>
  <c r="J22"/>
  <c r="G14" i="199" s="1"/>
  <c r="I22" i="49"/>
  <c r="F21"/>
  <c r="G23" i="14" s="1"/>
  <c r="I23" s="1"/>
  <c r="M23" s="1"/>
  <c r="F20" i="49"/>
  <c r="F18"/>
  <c r="G20" i="14" s="1"/>
  <c r="I20" s="1"/>
  <c r="M20" s="1"/>
  <c r="F17" i="49"/>
  <c r="G19" i="14" s="1"/>
  <c r="I19" s="1"/>
  <c r="M19" s="1"/>
  <c r="F16" i="49"/>
  <c r="G18" i="14" s="1"/>
  <c r="I18" s="1"/>
  <c r="M18" s="1"/>
  <c r="F15" i="49"/>
  <c r="R12"/>
  <c r="Q12"/>
  <c r="P12"/>
  <c r="O12"/>
  <c r="N12"/>
  <c r="M12"/>
  <c r="L12"/>
  <c r="K12"/>
  <c r="J12"/>
  <c r="I12"/>
  <c r="H12"/>
  <c r="F11"/>
  <c r="A11"/>
  <c r="A12" s="1"/>
  <c r="A15" s="1"/>
  <c r="A16" s="1"/>
  <c r="A17" s="1"/>
  <c r="A18" s="1"/>
  <c r="A19" s="1"/>
  <c r="A20" s="1"/>
  <c r="A21" s="1"/>
  <c r="A22" s="1"/>
  <c r="A23" s="1"/>
  <c r="A24" s="1"/>
  <c r="F10"/>
  <c r="A1"/>
  <c r="E24" i="14"/>
  <c r="G22"/>
  <c r="I22" s="1"/>
  <c r="M22" s="1"/>
  <c r="I16"/>
  <c r="E14"/>
  <c r="E26" s="1"/>
  <c r="G13"/>
  <c r="I13" s="1"/>
  <c r="M13" s="1"/>
  <c r="A13"/>
  <c r="A14" s="1"/>
  <c r="A17" s="1"/>
  <c r="A18" s="1"/>
  <c r="A19" s="1"/>
  <c r="A20" s="1"/>
  <c r="A21" s="1"/>
  <c r="A22" s="1"/>
  <c r="A23" s="1"/>
  <c r="A24" s="1"/>
  <c r="A26" s="1"/>
  <c r="A28" s="1"/>
  <c r="A30" s="1"/>
  <c r="A32" s="1"/>
  <c r="A34" s="1"/>
  <c r="G12"/>
  <c r="I12" s="1"/>
  <c r="M1"/>
  <c r="A1"/>
  <c r="H31" i="46"/>
  <c r="G31"/>
  <c r="G31" i="190"/>
  <c r="I22" i="46"/>
  <c r="I24" s="1"/>
  <c r="H22"/>
  <c r="H24" s="1"/>
  <c r="G22"/>
  <c r="E22"/>
  <c r="A15"/>
  <c r="A1"/>
  <c r="G36" i="190"/>
  <c r="I36" s="1"/>
  <c r="H34"/>
  <c r="F34"/>
  <c r="E32"/>
  <c r="G29"/>
  <c r="I29" s="1"/>
  <c r="G28"/>
  <c r="E23"/>
  <c r="G22"/>
  <c r="I22" s="1"/>
  <c r="E16"/>
  <c r="A16"/>
  <c r="I1"/>
  <c r="A13" i="92"/>
  <c r="A14" s="1"/>
  <c r="A15" s="1"/>
  <c r="A16" s="1"/>
  <c r="A17" s="1"/>
  <c r="A18" s="1"/>
  <c r="A19" s="1"/>
  <c r="A20" s="1"/>
  <c r="A22" s="1"/>
  <c r="A28" s="1"/>
  <c r="A33" s="1"/>
  <c r="A35" s="1"/>
  <c r="A36" s="1"/>
  <c r="A37" s="1"/>
  <c r="A38" s="1"/>
  <c r="A39" s="1"/>
  <c r="A40" s="1"/>
  <c r="A12"/>
  <c r="A1"/>
  <c r="A13" i="126"/>
  <c r="A14" s="1"/>
  <c r="A16" s="1"/>
  <c r="A17" s="1"/>
  <c r="A19" s="1"/>
  <c r="A20" s="1"/>
  <c r="A21" s="1"/>
  <c r="G19" i="40"/>
  <c r="G13"/>
  <c r="I43" i="126" s="1"/>
  <c r="A11" i="40"/>
  <c r="A12" s="1"/>
  <c r="A13" s="1"/>
  <c r="A14" s="1"/>
  <c r="A15" s="1"/>
  <c r="A16" s="1"/>
  <c r="A17" s="1"/>
  <c r="A19" s="1"/>
  <c r="A20" s="1"/>
  <c r="A22" s="1"/>
  <c r="K3"/>
  <c r="K1"/>
  <c r="O1" i="92" s="1"/>
  <c r="A1" i="40"/>
  <c r="AB59" i="41"/>
  <c r="AB60" s="1"/>
  <c r="AB58"/>
  <c r="AA59" s="1"/>
  <c r="AA58"/>
  <c r="AD58" s="1"/>
  <c r="AB57"/>
  <c r="AA57"/>
  <c r="C57"/>
  <c r="U46"/>
  <c r="U47" s="1"/>
  <c r="U45"/>
  <c r="P45" s="1"/>
  <c r="Q45" s="1"/>
  <c r="A45" s="1"/>
  <c r="F45" s="1"/>
  <c r="P44"/>
  <c r="Q44" s="1"/>
  <c r="A44" s="1"/>
  <c r="F44" s="1"/>
  <c r="Q39"/>
  <c r="A39" s="1"/>
  <c r="F39" s="1"/>
  <c r="P39"/>
  <c r="P40" s="1"/>
  <c r="J39"/>
  <c r="J40" s="1"/>
  <c r="I39"/>
  <c r="B36"/>
  <c r="C22" i="199" s="1"/>
  <c r="B35" i="41"/>
  <c r="C21" i="199" s="1"/>
  <c r="B34" i="41"/>
  <c r="C20" i="199" s="1"/>
  <c r="B33" i="41"/>
  <c r="C19" i="199" s="1"/>
  <c r="C17"/>
  <c r="C16"/>
  <c r="B29" i="41"/>
  <c r="C15" i="199" s="1"/>
  <c r="U28" i="41"/>
  <c r="U29" s="1"/>
  <c r="U30" s="1"/>
  <c r="U31" s="1"/>
  <c r="U32" s="1"/>
  <c r="U33" s="1"/>
  <c r="U34" s="1"/>
  <c r="U35" s="1"/>
  <c r="U36" s="1"/>
  <c r="U37" s="1"/>
  <c r="U38" s="1"/>
  <c r="Q27"/>
  <c r="A27" s="1"/>
  <c r="P27"/>
  <c r="P28" s="1"/>
  <c r="B27"/>
  <c r="Q26"/>
  <c r="A26" s="1"/>
  <c r="E12" i="199" s="1"/>
  <c r="S22" i="41"/>
  <c r="F22"/>
  <c r="F21"/>
  <c r="S19"/>
  <c r="S20" s="1"/>
  <c r="B19"/>
  <c r="C21" i="126" s="1"/>
  <c r="P18" i="41"/>
  <c r="Q18" s="1"/>
  <c r="A18" s="1"/>
  <c r="B18"/>
  <c r="C20" i="126" s="1"/>
  <c r="Q17" i="41"/>
  <c r="A17" s="1"/>
  <c r="G7" i="46" s="1"/>
  <c r="E19" i="126" s="1"/>
  <c r="B17" i="41"/>
  <c r="C19" i="126" s="1"/>
  <c r="A14" i="41"/>
  <c r="A13"/>
  <c r="Q12"/>
  <c r="A12"/>
  <c r="A11"/>
  <c r="A10"/>
  <c r="AA9"/>
  <c r="X9"/>
  <c r="W9"/>
  <c r="A9"/>
  <c r="AD8"/>
  <c r="AB8"/>
  <c r="AB9" s="1"/>
  <c r="Q8"/>
  <c r="J8"/>
  <c r="I9" s="1"/>
  <c r="A8"/>
  <c r="L24" i="49" l="1"/>
  <c r="I35" i="126" s="1"/>
  <c r="P24" i="49"/>
  <c r="E12" i="209"/>
  <c r="G28" i="192"/>
  <c r="G39" s="1"/>
  <c r="E14"/>
  <c r="I15" i="208"/>
  <c r="Q13" s="1"/>
  <c r="E13" i="209"/>
  <c r="G30" i="192"/>
  <c r="E15"/>
  <c r="AD57" i="41"/>
  <c r="I22" i="208"/>
  <c r="G11" i="190"/>
  <c r="I11" s="1"/>
  <c r="E24" i="46"/>
  <c r="N24" i="49"/>
  <c r="R24"/>
  <c r="I7"/>
  <c r="E32" i="126" s="1"/>
  <c r="E13" i="199"/>
  <c r="Q24" i="49"/>
  <c r="G21" i="199"/>
  <c r="I21" s="1"/>
  <c r="P46" i="41"/>
  <c r="Q46" s="1"/>
  <c r="A46" s="1"/>
  <c r="F46" s="1"/>
  <c r="G24" i="46"/>
  <c r="G33" s="1"/>
  <c r="G37" s="1"/>
  <c r="F12" i="49"/>
  <c r="L39" i="41"/>
  <c r="D39" s="1"/>
  <c r="I40"/>
  <c r="L40" s="1"/>
  <c r="D40" s="1"/>
  <c r="AD59"/>
  <c r="A22" i="126"/>
  <c r="A23" s="1"/>
  <c r="A24" s="1"/>
  <c r="A26" s="1"/>
  <c r="A28" s="1"/>
  <c r="A31" s="1"/>
  <c r="A32" s="1"/>
  <c r="A33" s="1"/>
  <c r="A34" s="1"/>
  <c r="A35" s="1"/>
  <c r="A36" s="1"/>
  <c r="A37" s="1"/>
  <c r="A38" s="1"/>
  <c r="A39" s="1"/>
  <c r="A40" s="1"/>
  <c r="A41" s="1"/>
  <c r="O19" i="92"/>
  <c r="E38" s="1"/>
  <c r="M24" i="49"/>
  <c r="I36" i="126" s="1"/>
  <c r="G17" i="199"/>
  <c r="O24" i="49"/>
  <c r="I38" i="126" s="1"/>
  <c r="G19" i="199"/>
  <c r="H33" i="46"/>
  <c r="H37" s="1"/>
  <c r="A17"/>
  <c r="A20" s="1"/>
  <c r="A21" s="1"/>
  <c r="A22" s="1"/>
  <c r="A24" s="1"/>
  <c r="E34" i="190"/>
  <c r="E38" s="1"/>
  <c r="E25"/>
  <c r="A18"/>
  <c r="A21" s="1"/>
  <c r="A22" s="1"/>
  <c r="A23" s="1"/>
  <c r="A25" s="1"/>
  <c r="K24" i="49"/>
  <c r="G15" i="199"/>
  <c r="C13"/>
  <c r="I6" i="49"/>
  <c r="C14" i="199"/>
  <c r="I24" i="49"/>
  <c r="G13" i="199"/>
  <c r="J24" i="49"/>
  <c r="I33" i="126" s="1"/>
  <c r="M19" i="208"/>
  <c r="K20" i="92"/>
  <c r="K22" s="1"/>
  <c r="H7" i="46"/>
  <c r="F18" i="41"/>
  <c r="P29"/>
  <c r="Q28"/>
  <c r="A28" s="1"/>
  <c r="E14" i="199" s="1"/>
  <c r="J41" i="41"/>
  <c r="I41"/>
  <c r="P47"/>
  <c r="Q47" s="1"/>
  <c r="A47" s="1"/>
  <c r="F47" s="1"/>
  <c r="U48"/>
  <c r="AA61"/>
  <c r="AB61"/>
  <c r="AB10"/>
  <c r="AA10"/>
  <c r="AD10" s="1"/>
  <c r="H7" i="49"/>
  <c r="F26" i="41"/>
  <c r="P41"/>
  <c r="Q40"/>
  <c r="A40" s="1"/>
  <c r="F40" s="1"/>
  <c r="AD9"/>
  <c r="C34" i="126"/>
  <c r="C38"/>
  <c r="A1" i="190"/>
  <c r="I3" i="202"/>
  <c r="M3" i="14"/>
  <c r="I3" i="190"/>
  <c r="J9" i="41"/>
  <c r="AA60"/>
  <c r="AD60" s="1"/>
  <c r="A1" i="126"/>
  <c r="M3"/>
  <c r="O3" i="92" s="1"/>
  <c r="C36" i="126"/>
  <c r="C40"/>
  <c r="C31"/>
  <c r="C33"/>
  <c r="C35"/>
  <c r="C37"/>
  <c r="C39"/>
  <c r="C41"/>
  <c r="E34" i="14"/>
  <c r="E30"/>
  <c r="W17" i="41"/>
  <c r="P19"/>
  <c r="L8"/>
  <c r="D8" s="1"/>
  <c r="F17"/>
  <c r="X17"/>
  <c r="F27"/>
  <c r="X30"/>
  <c r="M1" i="126"/>
  <c r="C32"/>
  <c r="G14" i="190"/>
  <c r="G21"/>
  <c r="I21" s="1"/>
  <c r="I23" s="1"/>
  <c r="G14" i="14"/>
  <c r="G17"/>
  <c r="I27" i="199" s="1"/>
  <c r="M12" i="208"/>
  <c r="I14" i="14"/>
  <c r="I28" i="190"/>
  <c r="A43" i="126" l="1"/>
  <c r="A44" s="1"/>
  <c r="A47" s="1"/>
  <c r="A48" s="1"/>
  <c r="A49" s="1"/>
  <c r="A50" s="1"/>
  <c r="A51" s="1"/>
  <c r="A52" s="1"/>
  <c r="A53" s="1"/>
  <c r="A54" s="1"/>
  <c r="A55" s="1"/>
  <c r="A56" s="1"/>
  <c r="A42"/>
  <c r="I39"/>
  <c r="Q12" i="208"/>
  <c r="G11" i="209" s="1"/>
  <c r="G27" i="192"/>
  <c r="E13"/>
  <c r="E16" s="1"/>
  <c r="E11" i="202" s="1"/>
  <c r="Q14" i="208"/>
  <c r="G13" i="209" s="1"/>
  <c r="I19" i="126"/>
  <c r="E44" i="192"/>
  <c r="G15" s="1"/>
  <c r="I20" i="126"/>
  <c r="E48" i="192"/>
  <c r="I15" s="1"/>
  <c r="G16" i="190"/>
  <c r="I41" i="126"/>
  <c r="I37"/>
  <c r="I40"/>
  <c r="G40"/>
  <c r="U13" i="208"/>
  <c r="G12" i="209"/>
  <c r="K12" s="1"/>
  <c r="O12" s="1"/>
  <c r="M15" i="208"/>
  <c r="E40" i="190" s="1"/>
  <c r="G10" i="40" s="1"/>
  <c r="E11" i="209"/>
  <c r="E14" s="1"/>
  <c r="K48" i="126"/>
  <c r="G15" i="40"/>
  <c r="L41" i="41"/>
  <c r="D41" s="1"/>
  <c r="O20" i="92"/>
  <c r="E39" s="1"/>
  <c r="I34" i="126"/>
  <c r="I23" i="199"/>
  <c r="A27" i="46"/>
  <c r="A28" s="1"/>
  <c r="A29" s="1"/>
  <c r="A30" s="1"/>
  <c r="A31" s="1"/>
  <c r="A33" s="1"/>
  <c r="A35" s="1"/>
  <c r="A37" s="1"/>
  <c r="A28" i="190"/>
  <c r="A29" s="1"/>
  <c r="I32" i="126"/>
  <c r="G23" i="190"/>
  <c r="M22" i="208"/>
  <c r="U12"/>
  <c r="I17" i="14"/>
  <c r="I14" i="190"/>
  <c r="I16" s="1"/>
  <c r="I25" s="1"/>
  <c r="P20" i="41"/>
  <c r="P23" s="1"/>
  <c r="Q19"/>
  <c r="A19" s="1"/>
  <c r="I10"/>
  <c r="J10"/>
  <c r="P42"/>
  <c r="Q41"/>
  <c r="A41" s="1"/>
  <c r="F41" s="1"/>
  <c r="E31" i="126"/>
  <c r="AB11" i="41"/>
  <c r="AA11"/>
  <c r="J42"/>
  <c r="I42"/>
  <c r="P30"/>
  <c r="Q29"/>
  <c r="A29" s="1"/>
  <c r="E15" i="199" s="1"/>
  <c r="E20" i="126"/>
  <c r="L9" i="41"/>
  <c r="D9" s="1"/>
  <c r="AD61"/>
  <c r="AB62"/>
  <c r="AA62"/>
  <c r="U49"/>
  <c r="P48"/>
  <c r="Q48" s="1"/>
  <c r="A48" s="1"/>
  <c r="F48" s="1"/>
  <c r="J7" i="49"/>
  <c r="F28" i="41"/>
  <c r="I19" i="40"/>
  <c r="K19" s="1"/>
  <c r="G12" i="44" l="1"/>
  <c r="G18" s="1"/>
  <c r="G20" s="1"/>
  <c r="I29" i="46" s="1"/>
  <c r="I28" i="199"/>
  <c r="Q15" i="208"/>
  <c r="U14"/>
  <c r="U15" s="1"/>
  <c r="G25" i="190"/>
  <c r="O22" i="92"/>
  <c r="AD11" i="41"/>
  <c r="L42"/>
  <c r="D42" s="1"/>
  <c r="G42" i="126"/>
  <c r="A32" i="190"/>
  <c r="A34" s="1"/>
  <c r="A36" s="1"/>
  <c r="A30"/>
  <c r="G38" i="192"/>
  <c r="G40" s="1"/>
  <c r="G31"/>
  <c r="P49" i="41"/>
  <c r="Q49" s="1"/>
  <c r="A49" s="1"/>
  <c r="F49" s="1"/>
  <c r="U50"/>
  <c r="AA63"/>
  <c r="AD63" s="1"/>
  <c r="AB63"/>
  <c r="K13" i="209"/>
  <c r="P31" i="41"/>
  <c r="Q30"/>
  <c r="A30" s="1"/>
  <c r="E16" i="199" s="1"/>
  <c r="J43" i="41"/>
  <c r="I43"/>
  <c r="AA12"/>
  <c r="AB12"/>
  <c r="P43"/>
  <c r="Q42"/>
  <c r="A42" s="1"/>
  <c r="F42" s="1"/>
  <c r="Q20"/>
  <c r="A20" s="1"/>
  <c r="F20" s="1"/>
  <c r="P21"/>
  <c r="G14" i="209"/>
  <c r="K11"/>
  <c r="E12" i="202" s="1"/>
  <c r="AD62" i="41"/>
  <c r="L10"/>
  <c r="D10" s="1"/>
  <c r="E40" i="92"/>
  <c r="E33" i="126"/>
  <c r="K7" i="49"/>
  <c r="F29" i="41"/>
  <c r="I11"/>
  <c r="J11"/>
  <c r="I7" i="46"/>
  <c r="F19" i="41"/>
  <c r="I14" i="126"/>
  <c r="A38" i="190" l="1"/>
  <c r="K13" i="126"/>
  <c r="K17" s="1"/>
  <c r="K41" s="1"/>
  <c r="M41" s="1"/>
  <c r="M19" i="209"/>
  <c r="I12" i="44"/>
  <c r="I18" s="1"/>
  <c r="I20" s="1"/>
  <c r="L43" i="41"/>
  <c r="D43" s="1"/>
  <c r="L11"/>
  <c r="D11" s="1"/>
  <c r="I15" i="40"/>
  <c r="K47" i="126"/>
  <c r="K49" s="1"/>
  <c r="E29" i="46"/>
  <c r="I31"/>
  <c r="I33" s="1"/>
  <c r="I37" s="1"/>
  <c r="I38" i="192"/>
  <c r="I39"/>
  <c r="I30"/>
  <c r="K37" s="1"/>
  <c r="I28"/>
  <c r="M30"/>
  <c r="O30" s="1"/>
  <c r="I27"/>
  <c r="E21" i="126"/>
  <c r="I12" i="41"/>
  <c r="J12"/>
  <c r="K14" i="209"/>
  <c r="O11"/>
  <c r="Q21" i="41"/>
  <c r="P22"/>
  <c r="AA13"/>
  <c r="AD13" s="1"/>
  <c r="AB13"/>
  <c r="L7" i="49"/>
  <c r="F30" i="41"/>
  <c r="W30"/>
  <c r="O13" i="209"/>
  <c r="E34" i="126"/>
  <c r="P52" i="41"/>
  <c r="Q43"/>
  <c r="A43" s="1"/>
  <c r="F43" s="1"/>
  <c r="J44"/>
  <c r="I44"/>
  <c r="P32"/>
  <c r="Q31"/>
  <c r="A31" s="1"/>
  <c r="E17" i="199" s="1"/>
  <c r="K34" i="126"/>
  <c r="M34" s="1"/>
  <c r="AB64" i="41"/>
  <c r="AA64"/>
  <c r="U51"/>
  <c r="P51" s="1"/>
  <c r="Q51" s="1"/>
  <c r="A51" s="1"/>
  <c r="F51" s="1"/>
  <c r="P50"/>
  <c r="Q50" s="1"/>
  <c r="A50" s="1"/>
  <c r="F50" s="1"/>
  <c r="AD12"/>
  <c r="K36" i="126" l="1"/>
  <c r="M36" s="1"/>
  <c r="K39"/>
  <c r="M39" s="1"/>
  <c r="K33"/>
  <c r="M33" s="1"/>
  <c r="K31"/>
  <c r="K32"/>
  <c r="M32" s="1"/>
  <c r="K38"/>
  <c r="M38" s="1"/>
  <c r="K37"/>
  <c r="M37" s="1"/>
  <c r="K40"/>
  <c r="M40" s="1"/>
  <c r="K35"/>
  <c r="M35" s="1"/>
  <c r="I21"/>
  <c r="I24" s="1"/>
  <c r="I26" s="1"/>
  <c r="E52" i="192"/>
  <c r="K15" s="1"/>
  <c r="O15" s="1"/>
  <c r="Q15" s="1"/>
  <c r="Q30" s="1"/>
  <c r="L44" i="41"/>
  <c r="D44" s="1"/>
  <c r="G30" i="190"/>
  <c r="E31" i="46"/>
  <c r="I31" i="192"/>
  <c r="I40"/>
  <c r="K38"/>
  <c r="K39"/>
  <c r="AA65" i="41"/>
  <c r="AB65"/>
  <c r="P33"/>
  <c r="Q32"/>
  <c r="A32" s="1"/>
  <c r="E18" i="199" s="1"/>
  <c r="J45" i="41"/>
  <c r="I45"/>
  <c r="Q52"/>
  <c r="A52" s="1"/>
  <c r="F52" s="1"/>
  <c r="P53"/>
  <c r="AA14"/>
  <c r="AB14"/>
  <c r="Q23"/>
  <c r="A23" s="1"/>
  <c r="F23" s="1"/>
  <c r="Q22"/>
  <c r="G11" i="40"/>
  <c r="G12" s="1"/>
  <c r="AD64" i="41"/>
  <c r="L12"/>
  <c r="D12" s="1"/>
  <c r="M7" i="49"/>
  <c r="F31" i="41"/>
  <c r="E35" i="126"/>
  <c r="J13" i="41"/>
  <c r="I13"/>
  <c r="O14" i="209"/>
  <c r="AD14" i="41" l="1"/>
  <c r="L13"/>
  <c r="D13" s="1"/>
  <c r="L45"/>
  <c r="D45" s="1"/>
  <c r="M13" i="192"/>
  <c r="M14"/>
  <c r="I30" i="190"/>
  <c r="G32"/>
  <c r="G34" s="1"/>
  <c r="G38" s="1"/>
  <c r="G32" i="14" s="1"/>
  <c r="I32" s="1"/>
  <c r="M32" s="1"/>
  <c r="I31" i="190"/>
  <c r="E33" i="46"/>
  <c r="E37" s="1"/>
  <c r="K40" i="192"/>
  <c r="Q53" i="41"/>
  <c r="A53" s="1"/>
  <c r="F53" s="1"/>
  <c r="P54"/>
  <c r="N7" i="49"/>
  <c r="F32" i="41"/>
  <c r="AD65"/>
  <c r="J14"/>
  <c r="I14"/>
  <c r="E36" i="126"/>
  <c r="G14" i="40"/>
  <c r="AB17" i="41"/>
  <c r="AA17"/>
  <c r="I46"/>
  <c r="J46"/>
  <c r="P34"/>
  <c r="Q33"/>
  <c r="A33" s="1"/>
  <c r="E19" i="199" s="1"/>
  <c r="AB66" i="41"/>
  <c r="AA66"/>
  <c r="G14" i="192" l="1"/>
  <c r="M28"/>
  <c r="O28" s="1"/>
  <c r="I14"/>
  <c r="K14"/>
  <c r="I13"/>
  <c r="AD66" i="41"/>
  <c r="AD17"/>
  <c r="G13" i="192"/>
  <c r="L14" i="41"/>
  <c r="D14" s="1"/>
  <c r="K13" i="192"/>
  <c r="M16"/>
  <c r="E58" s="1"/>
  <c r="E59" s="1"/>
  <c r="I32" i="190"/>
  <c r="I34" s="1"/>
  <c r="I38" s="1"/>
  <c r="K31" i="192"/>
  <c r="M27"/>
  <c r="O7" i="49"/>
  <c r="F33" i="41"/>
  <c r="AA67"/>
  <c r="AB67"/>
  <c r="P35"/>
  <c r="Q34"/>
  <c r="A34" s="1"/>
  <c r="E20" i="199" s="1"/>
  <c r="AB18" i="41"/>
  <c r="AA18"/>
  <c r="K50" i="126"/>
  <c r="M51" s="1"/>
  <c r="G16" i="40"/>
  <c r="G17" s="1"/>
  <c r="J17" i="41"/>
  <c r="I17"/>
  <c r="E37" i="126"/>
  <c r="L46" i="41"/>
  <c r="D46" s="1"/>
  <c r="J47"/>
  <c r="I47"/>
  <c r="Q54"/>
  <c r="A54" s="1"/>
  <c r="F54" s="1"/>
  <c r="P55"/>
  <c r="AD18" l="1"/>
  <c r="O14" i="192"/>
  <c r="Q14" s="1"/>
  <c r="Q28" s="1"/>
  <c r="G16"/>
  <c r="E45" s="1"/>
  <c r="E46" s="1"/>
  <c r="K16"/>
  <c r="E53" s="1"/>
  <c r="E54" s="1"/>
  <c r="O13"/>
  <c r="Q13" s="1"/>
  <c r="Q27" s="1"/>
  <c r="O27"/>
  <c r="M31"/>
  <c r="AA19" i="41"/>
  <c r="AB19"/>
  <c r="P36"/>
  <c r="Q35"/>
  <c r="A35" s="1"/>
  <c r="E21" i="199" s="1"/>
  <c r="E38" i="126"/>
  <c r="L47" i="41"/>
  <c r="D47" s="1"/>
  <c r="L17"/>
  <c r="D17" s="1"/>
  <c r="AD67"/>
  <c r="P57"/>
  <c r="Q57" s="1"/>
  <c r="Q55"/>
  <c r="A55" s="1"/>
  <c r="F55" s="1"/>
  <c r="I48"/>
  <c r="J48"/>
  <c r="I18"/>
  <c r="L18" s="1"/>
  <c r="D18" s="1"/>
  <c r="J18"/>
  <c r="M53" i="126"/>
  <c r="P7" i="49"/>
  <c r="F34" i="41"/>
  <c r="AB68"/>
  <c r="AA68"/>
  <c r="AD68" s="1"/>
  <c r="AD19" l="1"/>
  <c r="Q31" i="192"/>
  <c r="Q16"/>
  <c r="L48" i="41"/>
  <c r="D48" s="1"/>
  <c r="O31" i="192"/>
  <c r="P37" i="41"/>
  <c r="Q36"/>
  <c r="A36" s="1"/>
  <c r="E22" i="199" s="1"/>
  <c r="AA69" i="41"/>
  <c r="AB69"/>
  <c r="E39" i="126"/>
  <c r="G22" i="40"/>
  <c r="G20"/>
  <c r="I19" i="41"/>
  <c r="J19"/>
  <c r="J49"/>
  <c r="I49"/>
  <c r="Q7" i="49"/>
  <c r="F35" i="41"/>
  <c r="AB20"/>
  <c r="AA20"/>
  <c r="E13" i="202" l="1"/>
  <c r="E16" s="1"/>
  <c r="S28" i="192"/>
  <c r="S30"/>
  <c r="S27"/>
  <c r="L49" i="41"/>
  <c r="D49" s="1"/>
  <c r="AD20"/>
  <c r="AB21"/>
  <c r="AA21"/>
  <c r="E40" i="126"/>
  <c r="I50" i="41"/>
  <c r="J50"/>
  <c r="P38"/>
  <c r="Q38" s="1"/>
  <c r="Q37"/>
  <c r="L19"/>
  <c r="D19" s="1"/>
  <c r="AD69"/>
  <c r="J20"/>
  <c r="I20"/>
  <c r="AB70"/>
  <c r="AA70"/>
  <c r="R7" i="49"/>
  <c r="F36" i="41"/>
  <c r="AD70" l="1"/>
  <c r="AD21"/>
  <c r="S14" i="192"/>
  <c r="U28"/>
  <c r="S15"/>
  <c r="O21" i="208" s="1"/>
  <c r="U30" i="192"/>
  <c r="S31"/>
  <c r="S13"/>
  <c r="O19" i="208" s="1"/>
  <c r="U27" i="192"/>
  <c r="L20" i="41"/>
  <c r="D20" s="1"/>
  <c r="E41" i="126"/>
  <c r="AA71" i="41"/>
  <c r="AB71"/>
  <c r="I21"/>
  <c r="J21"/>
  <c r="F38"/>
  <c r="AA22"/>
  <c r="AB22"/>
  <c r="L50"/>
  <c r="D50" s="1"/>
  <c r="F37"/>
  <c r="J51"/>
  <c r="I51"/>
  <c r="O20" i="208" l="1"/>
  <c r="U31" i="192"/>
  <c r="L51" i="41"/>
  <c r="D51" s="1"/>
  <c r="AD22"/>
  <c r="L21"/>
  <c r="D21" s="1"/>
  <c r="AD71"/>
  <c r="I52"/>
  <c r="J52"/>
  <c r="AA24"/>
  <c r="AB24"/>
  <c r="I22"/>
  <c r="J22"/>
  <c r="AB72"/>
  <c r="AA72"/>
  <c r="AD72" l="1"/>
  <c r="E18" i="209"/>
  <c r="AA73" i="41"/>
  <c r="AB73"/>
  <c r="L22"/>
  <c r="D22" s="1"/>
  <c r="AD24"/>
  <c r="L52"/>
  <c r="D52" s="1"/>
  <c r="J23"/>
  <c r="I23"/>
  <c r="AB25"/>
  <c r="AA25"/>
  <c r="I53"/>
  <c r="J53"/>
  <c r="L53" l="1"/>
  <c r="D53" s="1"/>
  <c r="I54"/>
  <c r="J54"/>
  <c r="AD25"/>
  <c r="L23"/>
  <c r="D23" s="1"/>
  <c r="AD73"/>
  <c r="AA26"/>
  <c r="AB26"/>
  <c r="I26"/>
  <c r="J26"/>
  <c r="L26" l="1"/>
  <c r="D26" s="1"/>
  <c r="AD26"/>
  <c r="J27"/>
  <c r="I27"/>
  <c r="AA27"/>
  <c r="AB27"/>
  <c r="L54"/>
  <c r="D54" s="1"/>
  <c r="I55"/>
  <c r="J55"/>
  <c r="L55" l="1"/>
  <c r="D55" s="1"/>
  <c r="L27"/>
  <c r="D27" s="1"/>
  <c r="J28"/>
  <c r="I28"/>
  <c r="AD27"/>
  <c r="AB28"/>
  <c r="AA28"/>
  <c r="L28" l="1"/>
  <c r="D28" s="1"/>
  <c r="AD28"/>
  <c r="I29"/>
  <c r="J29"/>
  <c r="AA29"/>
  <c r="AB29"/>
  <c r="AD29" l="1"/>
  <c r="L29"/>
  <c r="D29" s="1"/>
  <c r="AB32"/>
  <c r="AA32"/>
  <c r="J30"/>
  <c r="I30"/>
  <c r="L30" l="1"/>
  <c r="D30" s="1"/>
  <c r="AD32"/>
  <c r="J31"/>
  <c r="I31"/>
  <c r="AA33"/>
  <c r="AB33"/>
  <c r="L31" l="1"/>
  <c r="D31" s="1"/>
  <c r="J32"/>
  <c r="I32"/>
  <c r="AD33"/>
  <c r="AB34"/>
  <c r="AA34"/>
  <c r="L32" l="1"/>
  <c r="D32" s="1"/>
  <c r="AD34"/>
  <c r="I33"/>
  <c r="J33"/>
  <c r="AA35"/>
  <c r="AB35"/>
  <c r="AD35" l="1"/>
  <c r="L33"/>
  <c r="D33" s="1"/>
  <c r="AB36"/>
  <c r="AA36"/>
  <c r="J34"/>
  <c r="I34"/>
  <c r="L34" l="1"/>
  <c r="D34" s="1"/>
  <c r="AD36"/>
  <c r="I35"/>
  <c r="J35"/>
  <c r="AA37"/>
  <c r="AB37"/>
  <c r="AD37" l="1"/>
  <c r="L35"/>
  <c r="D35" s="1"/>
  <c r="AB38"/>
  <c r="AA38"/>
  <c r="J36"/>
  <c r="I36"/>
  <c r="L36" l="1"/>
  <c r="D36" s="1"/>
  <c r="AD38"/>
  <c r="I37"/>
  <c r="J37"/>
  <c r="L37" l="1"/>
  <c r="D37" s="1"/>
  <c r="J38"/>
  <c r="I38"/>
  <c r="L38" l="1"/>
  <c r="E17" i="209" l="1"/>
  <c r="I16" i="192" l="1"/>
  <c r="E49" s="1"/>
  <c r="E50" s="1"/>
  <c r="S16" l="1"/>
  <c r="O16"/>
  <c r="G40" i="190" s="1"/>
  <c r="I40" l="1"/>
  <c r="I10" i="40" s="1"/>
  <c r="K10" s="1"/>
  <c r="G28" i="14"/>
  <c r="I28" s="1"/>
  <c r="M28" s="1"/>
  <c r="O26" i="126"/>
  <c r="P26" s="1"/>
  <c r="G11" i="202"/>
  <c r="E19" i="209"/>
  <c r="E20" s="1"/>
  <c r="O22" i="208" l="1"/>
  <c r="Q19" l="1"/>
  <c r="G17" i="209" s="1"/>
  <c r="Q21" i="208"/>
  <c r="G19" i="209" s="1"/>
  <c r="K19" s="1"/>
  <c r="O19" s="1"/>
  <c r="Q20" i="208"/>
  <c r="G18" i="209" s="1"/>
  <c r="K18" s="1"/>
  <c r="O18" s="1"/>
  <c r="U21" i="208" l="1"/>
  <c r="Q22"/>
  <c r="U20"/>
  <c r="U19"/>
  <c r="K17" i="209"/>
  <c r="G20"/>
  <c r="U22" i="208" l="1"/>
  <c r="K24" i="209"/>
  <c r="G12" i="202" s="1"/>
  <c r="G13" s="1"/>
  <c r="G16" s="1"/>
  <c r="I16" s="1"/>
  <c r="H19" i="49" s="1"/>
  <c r="F19" s="1"/>
  <c r="K20" i="209"/>
  <c r="K16" i="126" s="1"/>
  <c r="O17" i="209"/>
  <c r="H22" i="49" l="1"/>
  <c r="H24" s="1"/>
  <c r="I31" i="126" s="1"/>
  <c r="K22"/>
  <c r="M22" s="1"/>
  <c r="K21"/>
  <c r="M21" s="1"/>
  <c r="K19"/>
  <c r="M19" s="1"/>
  <c r="K20"/>
  <c r="M20" s="1"/>
  <c r="K22" i="209"/>
  <c r="K12" i="126" s="1"/>
  <c r="K14" s="1"/>
  <c r="M14" s="1"/>
  <c r="I11" i="40"/>
  <c r="I12" s="1"/>
  <c r="G21" i="14"/>
  <c r="F22" i="49"/>
  <c r="G24" i="199" s="1"/>
  <c r="O20" i="209"/>
  <c r="O22" s="1"/>
  <c r="G12" i="199" l="1"/>
  <c r="G23" s="1"/>
  <c r="G25" s="1"/>
  <c r="F24" i="49"/>
  <c r="K12" i="40"/>
  <c r="I42" i="126"/>
  <c r="M31"/>
  <c r="M52" s="1"/>
  <c r="M54" s="1"/>
  <c r="G24" i="14"/>
  <c r="G26" s="1"/>
  <c r="O42" i="126" s="1"/>
  <c r="I21" i="14"/>
  <c r="P42" i="126" l="1"/>
  <c r="I44"/>
  <c r="I24" i="14"/>
  <c r="I26" s="1"/>
  <c r="I34" l="1"/>
  <c r="I30"/>
  <c r="I13" i="40"/>
  <c r="K13" l="1"/>
  <c r="O44" i="126"/>
  <c r="P44" s="1"/>
  <c r="I14" i="40"/>
  <c r="K14" l="1"/>
  <c r="I16"/>
  <c r="G33" i="92" l="1"/>
  <c r="K12" i="14" s="1"/>
  <c r="I17" i="40"/>
  <c r="M55" i="126"/>
  <c r="M56" s="1"/>
  <c r="K16" i="40"/>
  <c r="K14" i="14" l="1"/>
  <c r="M12"/>
  <c r="G38" i="92"/>
  <c r="G36"/>
  <c r="G39"/>
  <c r="G37"/>
  <c r="G35"/>
  <c r="K17" i="40"/>
  <c r="O52" i="126"/>
  <c r="P52" s="1"/>
  <c r="I20" i="40"/>
  <c r="K20" s="1"/>
  <c r="I22"/>
  <c r="K17" i="14" l="1"/>
  <c r="M17" s="1"/>
  <c r="K21"/>
  <c r="M21" s="1"/>
  <c r="M14"/>
  <c r="G40" i="92"/>
  <c r="M24" i="14" l="1"/>
  <c r="M26" s="1"/>
  <c r="M30" s="1"/>
  <c r="K24"/>
  <c r="K26" s="1"/>
  <c r="M34" l="1"/>
</calcChain>
</file>

<file path=xl/sharedStrings.xml><?xml version="1.0" encoding="utf-8"?>
<sst xmlns="http://schemas.openxmlformats.org/spreadsheetml/2006/main" count="1446" uniqueCount="639">
  <si>
    <t>Line</t>
  </si>
  <si>
    <t>Proposed</t>
  </si>
  <si>
    <t>No.</t>
  </si>
  <si>
    <t>Description</t>
  </si>
  <si>
    <t>Adjustments</t>
  </si>
  <si>
    <t>Per</t>
  </si>
  <si>
    <t>(A)</t>
  </si>
  <si>
    <t>(B)</t>
  </si>
  <si>
    <t>(C )</t>
  </si>
  <si>
    <t>Notes and Source</t>
  </si>
  <si>
    <t>Col.A:</t>
  </si>
  <si>
    <t>Rate of return</t>
  </si>
  <si>
    <t>Net operating income required</t>
  </si>
  <si>
    <t>Adjusted net operating income</t>
  </si>
  <si>
    <t>Gross revenue conversion factor</t>
  </si>
  <si>
    <t>Reference</t>
  </si>
  <si>
    <t>Amount</t>
  </si>
  <si>
    <t>Capital Structure and Cost Rates</t>
  </si>
  <si>
    <t>(C)</t>
  </si>
  <si>
    <t>Weighted</t>
  </si>
  <si>
    <t xml:space="preserve">Cost </t>
  </si>
  <si>
    <t>Capital</t>
  </si>
  <si>
    <t>Cost</t>
  </si>
  <si>
    <t>Rate</t>
  </si>
  <si>
    <t>Ratio</t>
  </si>
  <si>
    <t>Short Term Debt</t>
  </si>
  <si>
    <t>Long Term Debt</t>
  </si>
  <si>
    <t>Common Equity</t>
  </si>
  <si>
    <t>Total</t>
  </si>
  <si>
    <t>Difference</t>
  </si>
  <si>
    <t>Col.B:</t>
  </si>
  <si>
    <t>Adjusted Rate Base</t>
  </si>
  <si>
    <t>Number</t>
  </si>
  <si>
    <t>Summary of Adjustments to Rate Base</t>
  </si>
  <si>
    <t>Adjustment</t>
  </si>
  <si>
    <t>Net Operating Income Adjustments</t>
  </si>
  <si>
    <t>Rate Base Adjustments</t>
  </si>
  <si>
    <t>Page 1 of 1</t>
  </si>
  <si>
    <t>(D)</t>
  </si>
  <si>
    <t>Notes</t>
  </si>
  <si>
    <t>Line No.</t>
  </si>
  <si>
    <t>Col.C:</t>
  </si>
  <si>
    <t>Col.A + Col.B</t>
  </si>
  <si>
    <t>A</t>
  </si>
  <si>
    <t>B</t>
  </si>
  <si>
    <t>Company</t>
  </si>
  <si>
    <t xml:space="preserve">Schedule </t>
  </si>
  <si>
    <t>Per Company</t>
  </si>
  <si>
    <t>Operating Revenue</t>
  </si>
  <si>
    <t>Rate Base</t>
  </si>
  <si>
    <t>(E)</t>
  </si>
  <si>
    <t>(F)</t>
  </si>
  <si>
    <t>(G)</t>
  </si>
  <si>
    <t>Page 2 of 2</t>
  </si>
  <si>
    <t>Calculation of Revenue Deficiency (Sufficiency)</t>
  </si>
  <si>
    <t>Revenue deficiency (Sufficiency)</t>
  </si>
  <si>
    <t>Earned Rate of Return</t>
  </si>
  <si>
    <t>Schedule C-3</t>
  </si>
  <si>
    <t>Summary of Net Operating Income Adjustments</t>
  </si>
  <si>
    <t>Accompanying the Direct Testimony of Ralph Smith</t>
  </si>
  <si>
    <t>Gross Revenue Conversion Factor</t>
  </si>
  <si>
    <t>Tax Rates</t>
  </si>
  <si>
    <t>Operating Revenues</t>
  </si>
  <si>
    <t>Less: State Income Taxes</t>
  </si>
  <si>
    <t>Income Before Federal Income Taxes</t>
  </si>
  <si>
    <t>Less: Federal Income Taxes</t>
  </si>
  <si>
    <t>Operating Income Percentage</t>
  </si>
  <si>
    <t>Revenue</t>
  </si>
  <si>
    <t>Requirement</t>
  </si>
  <si>
    <t>Schedule C-4</t>
  </si>
  <si>
    <t>Interest Synchronization</t>
  </si>
  <si>
    <t>(H)</t>
  </si>
  <si>
    <t>Page 1 of 2</t>
  </si>
  <si>
    <t xml:space="preserve">Col.D: </t>
  </si>
  <si>
    <t>Col.E:</t>
  </si>
  <si>
    <t>Col. C + Col. D</t>
  </si>
  <si>
    <t>Components</t>
  </si>
  <si>
    <t>of Revenue</t>
  </si>
  <si>
    <t>Impact</t>
  </si>
  <si>
    <t>Schedule A (DH)</t>
  </si>
  <si>
    <t>Adjusted Net Operating Income</t>
  </si>
  <si>
    <t>Schedule</t>
  </si>
  <si>
    <t>Multiplier</t>
  </si>
  <si>
    <t>Pre-Tax</t>
  </si>
  <si>
    <t>Net Operating Income</t>
  </si>
  <si>
    <t>GRCF</t>
  </si>
  <si>
    <t>Pre-tax return computed using Gross Revenue Conversion Factor</t>
  </si>
  <si>
    <t>Company Adjusted NOI Deficiency</t>
  </si>
  <si>
    <t>GRCF Difference</t>
  </si>
  <si>
    <t>Gross Revenue Conversion Factor Difference:</t>
  </si>
  <si>
    <t xml:space="preserve">  </t>
  </si>
  <si>
    <t xml:space="preserve">A </t>
  </si>
  <si>
    <t xml:space="preserve">A-1 </t>
  </si>
  <si>
    <t xml:space="preserve">B </t>
  </si>
  <si>
    <t xml:space="preserve">B.1 </t>
  </si>
  <si>
    <t xml:space="preserve">C </t>
  </si>
  <si>
    <t>C.1</t>
  </si>
  <si>
    <t xml:space="preserve">D </t>
  </si>
  <si>
    <t xml:space="preserve">Schedule A </t>
  </si>
  <si>
    <t xml:space="preserve">Schedule B </t>
  </si>
  <si>
    <t xml:space="preserve">Schedule A-1 </t>
  </si>
  <si>
    <t xml:space="preserve">Schedule B.1 </t>
  </si>
  <si>
    <t xml:space="preserve">Schedule C </t>
  </si>
  <si>
    <t xml:space="preserve">Schedule D </t>
  </si>
  <si>
    <t xml:space="preserve">Calculation of Revenue Deficiency (Sufficiency) </t>
  </si>
  <si>
    <t xml:space="preserve">Revenue Requirement Summary Schedules </t>
  </si>
  <si>
    <t xml:space="preserve">Adjusted Rate Base </t>
  </si>
  <si>
    <t>Summary of Rate Base Adjustments</t>
  </si>
  <si>
    <t xml:space="preserve">Adjusted Net Operating Income </t>
  </si>
  <si>
    <t xml:space="preserve">Summary of Net Operating Income Adjustments </t>
  </si>
  <si>
    <t xml:space="preserve">Capital Structure and Cost Rates </t>
  </si>
  <si>
    <t>Income Before State Taxes</t>
  </si>
  <si>
    <t xml:space="preserve">Schedule C.1 </t>
  </si>
  <si>
    <t>State Income Taxes</t>
  </si>
  <si>
    <t>Federal Income Taxes</t>
  </si>
  <si>
    <t>Combined state and federal income tax rate</t>
  </si>
  <si>
    <t>Sch D</t>
  </si>
  <si>
    <t>Sch C</t>
  </si>
  <si>
    <t>Sch A-1</t>
  </si>
  <si>
    <t>Structure</t>
  </si>
  <si>
    <t>B-</t>
  </si>
  <si>
    <t>C-</t>
  </si>
  <si>
    <t>I. Per Company</t>
  </si>
  <si>
    <t>Col B - Col. A</t>
  </si>
  <si>
    <t>Issue Folders</t>
  </si>
  <si>
    <t>See referenced schedule for each adjustment</t>
  </si>
  <si>
    <t>(I)</t>
  </si>
  <si>
    <t>Schedule C-2</t>
  </si>
  <si>
    <t>C</t>
  </si>
  <si>
    <t>Cash Working Capital</t>
  </si>
  <si>
    <t>Revenue Requirement Reconciliation</t>
  </si>
  <si>
    <t>Component</t>
  </si>
  <si>
    <t>D</t>
  </si>
  <si>
    <t>A-1</t>
  </si>
  <si>
    <t>x</t>
  </si>
  <si>
    <t>NOI Amount</t>
  </si>
  <si>
    <t>Sch C.1</t>
  </si>
  <si>
    <t>Sch. A-1</t>
  </si>
  <si>
    <t>Net Operating Income per Company Filing</t>
  </si>
  <si>
    <t xml:space="preserve">Revenue Requirement Calculated on Schedule A </t>
  </si>
  <si>
    <t>Operating Income</t>
  </si>
  <si>
    <t>Sch B.1</t>
  </si>
  <si>
    <t>Total Pages  (Including Contents Page)</t>
  </si>
  <si>
    <t>No. of Pages</t>
  </si>
  <si>
    <t>Begin</t>
  </si>
  <si>
    <t>End</t>
  </si>
  <si>
    <t>Range</t>
  </si>
  <si>
    <t>-</t>
  </si>
  <si>
    <t>Exhibit Page No.</t>
  </si>
  <si>
    <t>Total Operating Revenues</t>
  </si>
  <si>
    <t>Operating Expenses</t>
  </si>
  <si>
    <t>Total Operating Expenses</t>
  </si>
  <si>
    <t>Note A</t>
  </si>
  <si>
    <t>[A]</t>
  </si>
  <si>
    <t>Per AG</t>
  </si>
  <si>
    <t xml:space="preserve">, </t>
  </si>
  <si>
    <t>AG</t>
  </si>
  <si>
    <t>Percent</t>
  </si>
  <si>
    <t>Effect of AG Adjustments on NOI</t>
  </si>
  <si>
    <t>Total AG Adjustments to Operating Income</t>
  </si>
  <si>
    <t>AG Adjusted Net Operating Income</t>
  </si>
  <si>
    <t>AG REVENUE REQUIREMENT ADJUSTMENTS ABOVE</t>
  </si>
  <si>
    <t>Components of Base Rate Revenue Change</t>
  </si>
  <si>
    <t xml:space="preserve">II. Per AG </t>
  </si>
  <si>
    <t>AG Adjustments</t>
  </si>
  <si>
    <t>Revenue Change</t>
  </si>
  <si>
    <t>Change in Expenses and Net Operating Income:</t>
  </si>
  <si>
    <t>Change</t>
  </si>
  <si>
    <t>Total Revenue Change</t>
  </si>
  <si>
    <t>Schedule B-3</t>
  </si>
  <si>
    <t>Col.B:    See referenced schedules</t>
  </si>
  <si>
    <t>Difference Not Accounted for Above</t>
  </si>
  <si>
    <t>Other Operating Revenues</t>
  </si>
  <si>
    <t>Adjusted operating revenues</t>
  </si>
  <si>
    <t>Revenue requirement</t>
  </si>
  <si>
    <t>Revenue increase, percent</t>
  </si>
  <si>
    <t>Exhibit RCS-1</t>
  </si>
  <si>
    <t>Weighted Cost of Debt per AG</t>
  </si>
  <si>
    <t xml:space="preserve"> </t>
  </si>
  <si>
    <t>Schedule C-1</t>
  </si>
  <si>
    <t>ROR Difference</t>
  </si>
  <si>
    <t xml:space="preserve">Rate of Return </t>
  </si>
  <si>
    <t>Cash</t>
  </si>
  <si>
    <t>Adjusted</t>
  </si>
  <si>
    <t>Page 2 of 3</t>
  </si>
  <si>
    <t>Page 3 of 3</t>
  </si>
  <si>
    <t>Page 1 of 3</t>
  </si>
  <si>
    <t>Taxes Other Than Income Taxes</t>
  </si>
  <si>
    <t>Net Electric Operating Income</t>
  </si>
  <si>
    <t>RATE BASE</t>
  </si>
  <si>
    <t>Electric Utility Plant</t>
  </si>
  <si>
    <t>Net Electric Utility Plant</t>
  </si>
  <si>
    <t>Materials and Supplies</t>
  </si>
  <si>
    <t>Subtotal</t>
  </si>
  <si>
    <t>Change in Revenue</t>
  </si>
  <si>
    <t>Adjusted Capitalization</t>
  </si>
  <si>
    <t>WACC</t>
  </si>
  <si>
    <t>GCRF</t>
  </si>
  <si>
    <t>(Pre-Tax)</t>
  </si>
  <si>
    <t>(J)</t>
  </si>
  <si>
    <t>(K)</t>
  </si>
  <si>
    <t>(M)</t>
  </si>
  <si>
    <t>Kentucky</t>
  </si>
  <si>
    <t>Reapportioned</t>
  </si>
  <si>
    <t>PER BOOK</t>
  </si>
  <si>
    <t>BALANCE</t>
  </si>
  <si>
    <t>Jurisdictional</t>
  </si>
  <si>
    <t>Capital Structure and Cost Rates - Capitalization</t>
  </si>
  <si>
    <t>Capitalization</t>
  </si>
  <si>
    <t>Schedule C-5</t>
  </si>
  <si>
    <t>Schedule B-1</t>
  </si>
  <si>
    <t>Schedule B-2</t>
  </si>
  <si>
    <t>O&amp;M</t>
  </si>
  <si>
    <t>Expense</t>
  </si>
  <si>
    <t>TOTAL</t>
  </si>
  <si>
    <t xml:space="preserve">Difference </t>
  </si>
  <si>
    <t xml:space="preserve">Cash Working Capital - AG Adjustments to Expenses </t>
  </si>
  <si>
    <t>Schedule C-6</t>
  </si>
  <si>
    <t>Schedule C-7</t>
  </si>
  <si>
    <t xml:space="preserve">Line </t>
  </si>
  <si>
    <t>1/8 Formula Percentage</t>
  </si>
  <si>
    <t>Schedule C-8</t>
  </si>
  <si>
    <t>AG Adjustment to Test Year Incentive Compensation Expense</t>
  </si>
  <si>
    <t>Incentive Compensation Expense</t>
  </si>
  <si>
    <t>Total AG</t>
  </si>
  <si>
    <t>Schedule C-9</t>
  </si>
  <si>
    <t>Schedule C-10</t>
  </si>
  <si>
    <t>B-1</t>
  </si>
  <si>
    <t>B-2</t>
  </si>
  <si>
    <t>Schedule C-11</t>
  </si>
  <si>
    <t xml:space="preserve">Working </t>
  </si>
  <si>
    <t>B-3</t>
  </si>
  <si>
    <t>Net operating income deficiency (Sufficiency)</t>
  </si>
  <si>
    <t>in CWC</t>
  </si>
  <si>
    <t>AG Adjusted Capitalization</t>
  </si>
  <si>
    <t>Do not print below this line</t>
  </si>
  <si>
    <t>WORKPAPER</t>
  </si>
  <si>
    <t>II. Per AG</t>
  </si>
  <si>
    <t>(F) = D x E</t>
  </si>
  <si>
    <t>L2 - L1</t>
  </si>
  <si>
    <t>B&amp;D</t>
  </si>
  <si>
    <t>Company Requested Base Rate Revenue Increase (Decrease)</t>
  </si>
  <si>
    <t>Jurisdictional Capitalization</t>
  </si>
  <si>
    <t>Col. B: See page 2</t>
  </si>
  <si>
    <t>Test Year Ended February 28, 2017</t>
  </si>
  <si>
    <t>Electric Sales Revenues</t>
  </si>
  <si>
    <t>Operations &amp; Maintenance Expense</t>
  </si>
  <si>
    <t>Depreciation and Amortization</t>
  </si>
  <si>
    <t>Regulatory Debits</t>
  </si>
  <si>
    <t>Total Income Taxes</t>
  </si>
  <si>
    <t>Investment Tax Credit</t>
  </si>
  <si>
    <t>Losses/(Gains) from Deposition of Allowances</t>
  </si>
  <si>
    <t>Capitalization Allocated to Kentucky Jurisdiction</t>
  </si>
  <si>
    <t>Rate of Return on Capitalization</t>
  </si>
  <si>
    <t>Kentucky Jurisdiction Rate Base</t>
  </si>
  <si>
    <t>Less: Uncollectible Accounts Expense</t>
  </si>
  <si>
    <t>Less: PSC Fees</t>
  </si>
  <si>
    <t>Less: Production Activities Deduction - State</t>
  </si>
  <si>
    <t>Less: Production Activities Deduction - Federal</t>
  </si>
  <si>
    <t>Percentage</t>
  </si>
  <si>
    <t>Adjusted Capital</t>
  </si>
  <si>
    <t>of Total</t>
  </si>
  <si>
    <t xml:space="preserve">Weighted </t>
  </si>
  <si>
    <t>13 Month</t>
  </si>
  <si>
    <t>Average</t>
  </si>
  <si>
    <t>Utility Plant - Original Cost</t>
  </si>
  <si>
    <t>Deduct</t>
  </si>
  <si>
    <t>Reserve for Depreciation</t>
  </si>
  <si>
    <t>Deduct:</t>
  </si>
  <si>
    <t>Customer Advances for Construction</t>
  </si>
  <si>
    <t>Accumulated Deferred Income taxes</t>
  </si>
  <si>
    <t>Total Deductions</t>
  </si>
  <si>
    <t>Add:</t>
  </si>
  <si>
    <t>Prepayments</t>
  </si>
  <si>
    <t>Unamortized Closure Costs</t>
  </si>
  <si>
    <t>Total Additions</t>
  </si>
  <si>
    <t>Total Net Original Cost Rate Base</t>
  </si>
  <si>
    <t>Net Plant Deductions</t>
  </si>
  <si>
    <t>ARO Balance Offset</t>
  </si>
  <si>
    <t>Total Net Original Cost Rate Base for Capital Allocation</t>
  </si>
  <si>
    <t>Schedule A from Company filing</t>
  </si>
  <si>
    <t>Louisville Gas and Electric Company</t>
  </si>
  <si>
    <t>Case No. 2016-00371</t>
  </si>
  <si>
    <t>(C=AxB)</t>
  </si>
  <si>
    <t>(E=C+D)</t>
  </si>
  <si>
    <t>Col. A: Amounts from WPD-2, Sheet 5 of 5 from Company's filing</t>
  </si>
  <si>
    <t>LGE Schedule H-1</t>
  </si>
  <si>
    <t>LGE Schedule C-1, Column 3</t>
  </si>
  <si>
    <t>Cols. A-D (Lines 1-3): Schedule J-1.1/J-2.2, Page 1 of LGE's filing</t>
  </si>
  <si>
    <t>Forecasted Test Period Ended June 30, 2018</t>
  </si>
  <si>
    <t>Electric Utility Revenue Requirement and Adjustment Schedules</t>
  </si>
  <si>
    <t>Total Debt</t>
  </si>
  <si>
    <t>Recommended</t>
  </si>
  <si>
    <t>Ratios</t>
  </si>
  <si>
    <t>Capitilization</t>
  </si>
  <si>
    <t>WORKPAPER BELOW THIS LINE</t>
  </si>
  <si>
    <t>Equity Difference</t>
  </si>
  <si>
    <t>Reapportion</t>
  </si>
  <si>
    <t>Before</t>
  </si>
  <si>
    <t>Reapportionment</t>
  </si>
  <si>
    <t>(N)</t>
  </si>
  <si>
    <t>Sum of Lines 5 and 6</t>
  </si>
  <si>
    <t>L.8 - L4</t>
  </si>
  <si>
    <t>Adjusted Jurisdictional Capitalization</t>
  </si>
  <si>
    <t>Weighted Cost of Debt</t>
  </si>
  <si>
    <t>Synchornized Interest Deduction</t>
  </si>
  <si>
    <t>Composite Federal and State Income Tax Rate</t>
  </si>
  <si>
    <t>Col. B: Debt capitalization amounts and cost rates are from Schedule D</t>
  </si>
  <si>
    <t>State</t>
  </si>
  <si>
    <t>Federal</t>
  </si>
  <si>
    <t>Uncollectible Accounts Expense</t>
  </si>
  <si>
    <t>Company Schedule WPD-2, line 6; WPH-1.B</t>
  </si>
  <si>
    <t>Col. B: See Schedule B.1</t>
  </si>
  <si>
    <t>Plant in Service</t>
  </si>
  <si>
    <t>Utility Plant at Original Cost</t>
  </si>
  <si>
    <t>Slippage Adjustment</t>
  </si>
  <si>
    <t>Plant &amp; CWIP</t>
  </si>
  <si>
    <t>Rate Base Component</t>
  </si>
  <si>
    <t>Base Period</t>
  </si>
  <si>
    <t>13 Month Avg Forecast Period</t>
  </si>
  <si>
    <t>Increase From Base Period</t>
  </si>
  <si>
    <t>Slippage Factor</t>
  </si>
  <si>
    <t>Slippage Adjusted</t>
  </si>
  <si>
    <t>(E)=C x D</t>
  </si>
  <si>
    <t>(F) = E-C</t>
  </si>
  <si>
    <t>ELECTRIC:</t>
  </si>
  <si>
    <t>Property Held for Future Use</t>
  </si>
  <si>
    <t>Accumulated Depreciation and Amortization</t>
  </si>
  <si>
    <t>Net Plant in Service (Lines 1+2+3)</t>
  </si>
  <si>
    <t>Construction Work in Progress</t>
  </si>
  <si>
    <t>Net Plant (Lines 4+5)</t>
  </si>
  <si>
    <t>Cash Working Capital Allowance</t>
  </si>
  <si>
    <t>Other Working Capital Allowances</t>
  </si>
  <si>
    <t>Deferred Income Taxes</t>
  </si>
  <si>
    <t>Investment Tax Credits</t>
  </si>
  <si>
    <t>Other Items</t>
  </si>
  <si>
    <t>Rate Base (Lines 6 through 12)</t>
  </si>
  <si>
    <t>Cols. A and B:  Company Schedule B-1</t>
  </si>
  <si>
    <t>Col.C: Col. B - Col.A</t>
  </si>
  <si>
    <t>Col. D: Company response to Staff 1-13</t>
  </si>
  <si>
    <t>WORKPAPER THIS LINE AND BELOW</t>
  </si>
  <si>
    <t>Amounts from B-1</t>
  </si>
  <si>
    <t>Difference (should be zero)</t>
  </si>
  <si>
    <t>Slippage</t>
  </si>
  <si>
    <t>Slippage:</t>
  </si>
  <si>
    <t>Adjustment (from B-1)</t>
  </si>
  <si>
    <t>Total Slippage (From Line 7)</t>
  </si>
  <si>
    <t>Base</t>
  </si>
  <si>
    <t>Electric</t>
  </si>
  <si>
    <t>Electric O&amp;M Expenses</t>
  </si>
  <si>
    <t>Less:</t>
  </si>
  <si>
    <t>Electric Power Purchased</t>
  </si>
  <si>
    <t>Gas Supply Expenses</t>
  </si>
  <si>
    <t>Col. A: Amounts from Company's application, Supporting Schedule B-1.1, page 4 of 4</t>
  </si>
  <si>
    <t>Cash Working Capital:</t>
  </si>
  <si>
    <t>Adjustment (from B-3)</t>
  </si>
  <si>
    <t>Total Cash Working Capital (Line 7)</t>
  </si>
  <si>
    <t>LG&amp;E Employees</t>
  </si>
  <si>
    <t>AG 1-68</t>
  </si>
  <si>
    <t>LGE-KU Services</t>
  </si>
  <si>
    <t>KU</t>
  </si>
  <si>
    <t>Total Test Period Team Incentive Award Expense</t>
  </si>
  <si>
    <t>AG Adjustment to Test Year Team Incentive Award Expense</t>
  </si>
  <si>
    <t>Portion of AG Adjustment to Team Incentive Award Expense Allocated to Electric Operations</t>
  </si>
  <si>
    <t>Portion of AG Adjustment to Team Incentive Award Expense Allocated to Gas Operations</t>
  </si>
  <si>
    <t>Total AG Adjustment to Team Incentive Award Expense</t>
  </si>
  <si>
    <t>Period</t>
  </si>
  <si>
    <t>Team Incentive Award Description</t>
  </si>
  <si>
    <t>Net Income</t>
  </si>
  <si>
    <t>Cost Control</t>
  </si>
  <si>
    <t>Customer Reliability</t>
  </si>
  <si>
    <t>Customer Satisfaction</t>
  </si>
  <si>
    <t>Corporate Safety</t>
  </si>
  <si>
    <t>Individual/Team Effectiveness</t>
  </si>
  <si>
    <t>Total Team Incentive Award Expense</t>
  </si>
  <si>
    <t>Amounts above from the response to KIUC 1-19</t>
  </si>
  <si>
    <t>Line 8: Composite Income Tax Rate</t>
  </si>
  <si>
    <t>Kentucky Utilities Company</t>
  </si>
  <si>
    <t>FERC</t>
  </si>
  <si>
    <t>Account</t>
  </si>
  <si>
    <t>500</t>
  </si>
  <si>
    <t>501</t>
  </si>
  <si>
    <t>502</t>
  </si>
  <si>
    <t>505</t>
  </si>
  <si>
    <t>506</t>
  </si>
  <si>
    <t>510</t>
  </si>
  <si>
    <t>512</t>
  </si>
  <si>
    <t>513</t>
  </si>
  <si>
    <t>Operations</t>
  </si>
  <si>
    <t>Gas</t>
  </si>
  <si>
    <t>Cols. A-C: Amounts from the response to AG 2-17</t>
  </si>
  <si>
    <t>A: Adjustment to incentive compensation expense calculated as follows:</t>
  </si>
  <si>
    <t>see below</t>
  </si>
  <si>
    <t>AG Adjustment split between LG&amp;E Electric and Gas Operations</t>
  </si>
  <si>
    <t>Transmission Vegetation Management</t>
  </si>
  <si>
    <t>Transmission Vegetation Management Expense</t>
  </si>
  <si>
    <t>AG Adjustment to Transmission Vegetation Management Expense</t>
  </si>
  <si>
    <t>A: Amounts from the response to KIUC 2-12</t>
  </si>
  <si>
    <t>Test Period Transmission Vegetation Management Expense Per LG&amp;E</t>
  </si>
  <si>
    <t>Maintenance of Meters</t>
  </si>
  <si>
    <t>LG&amp;E</t>
  </si>
  <si>
    <t>Total Adjustment</t>
  </si>
  <si>
    <t>Distribution Automation</t>
  </si>
  <si>
    <t>AG Jurisdictional Adjustment to Plant in Service Related to Distribution Automation</t>
  </si>
  <si>
    <t>A: This adjustment is being sponsored by AG witness Larry Holloway</t>
  </si>
  <si>
    <t>Plant</t>
  </si>
  <si>
    <t>OH Conductors and Devices</t>
  </si>
  <si>
    <t>Communication Equipment</t>
  </si>
  <si>
    <t>Amount Reflected in Slippage Adjustment on Schedule B-1</t>
  </si>
  <si>
    <t>Net Adjustment to Plant in Service Related to Distribution Automation</t>
  </si>
  <si>
    <t>Holloway</t>
  </si>
  <si>
    <t>Adjustment (B-2)</t>
  </si>
  <si>
    <t>DA Total (From Line 7)</t>
  </si>
  <si>
    <t>Distribution</t>
  </si>
  <si>
    <t>Automation</t>
  </si>
  <si>
    <t>Depreciation Expense Related to Distribution Automation</t>
  </si>
  <si>
    <t>A: This amount is a fallout adjustment related to AG witness Holloway's Distribution Automation related adjustment</t>
  </si>
  <si>
    <t>Depreciation</t>
  </si>
  <si>
    <t>Rate*</t>
  </si>
  <si>
    <t>(Sch. B-2)</t>
  </si>
  <si>
    <t>* Depreciation rates from the attachment provided in response to PSC 1-66</t>
  </si>
  <si>
    <t xml:space="preserve">AG Recommended Transmission Vegetation Management Expense </t>
  </si>
  <si>
    <t>Advanced Metering Systems</t>
  </si>
  <si>
    <t>Advanced Metering Services</t>
  </si>
  <si>
    <t>Test Year</t>
  </si>
  <si>
    <t>Adjustment to Remove AMS Costs from Operating Expenses</t>
  </si>
  <si>
    <t>Meter Expense</t>
  </si>
  <si>
    <t>Customer Records and Collection Services</t>
  </si>
  <si>
    <t>Miscellaneous Customer Service and Information Expense</t>
  </si>
  <si>
    <t>Total AMS Related Operating Expenses</t>
  </si>
  <si>
    <t>A: Adjustment calculated using information from the response to KIUC 1-14 and shown below:</t>
  </si>
  <si>
    <t>Meter and House Regulator Expense</t>
  </si>
  <si>
    <t>Maintenance of Meters and House Regulators Expense</t>
  </si>
  <si>
    <t>AMS Related Depreciation Expense</t>
  </si>
  <si>
    <t>Adjustment to Remove AMS Costs from Depreciation Expense</t>
  </si>
  <si>
    <t>B: Adjustment calculated using information from the response to KIUC 1-18 and shown below:</t>
  </si>
  <si>
    <t>Operations*</t>
  </si>
  <si>
    <t>* The response to KIUC 1-18 indicates that 70% of costs relate to electric operations and 30% relates to gas operations</t>
  </si>
  <si>
    <t>B-4</t>
  </si>
  <si>
    <t>Alvarez</t>
  </si>
  <si>
    <t>Schedule B-4</t>
  </si>
  <si>
    <t>Adjustment to Remove AMS Related Costs from CWIP</t>
  </si>
  <si>
    <t>Adjustment to Remove AMS Related ADIT</t>
  </si>
  <si>
    <t>Net Adjustment to 13-Month Average Rate Base</t>
  </si>
  <si>
    <t>A: Adjustment calculated using information from the response to KIUC 1-18 and shown below:</t>
  </si>
  <si>
    <t>13-Month Average CWIP Related to AMS</t>
  </si>
  <si>
    <t>13-Month Average ADIT Related to AMS</t>
  </si>
  <si>
    <t>Net Adjustment to CWIP Related to AMS</t>
  </si>
  <si>
    <t>Gas Line Tracker Mechanism</t>
  </si>
  <si>
    <t>N/A</t>
  </si>
  <si>
    <t>Payroll and Employee Benefits - Remove Vacant Positions</t>
  </si>
  <si>
    <t>LKE</t>
  </si>
  <si>
    <t>AG Adjustment to Payroll Expense for Vacant Positions</t>
  </si>
  <si>
    <t>AG Adjustment to Employee Benefits Expense for Vacant Positions</t>
  </si>
  <si>
    <t>AG Adjustment to Payroll Tax Expense for Vacant Positions</t>
  </si>
  <si>
    <t>Col. A: see page 2</t>
  </si>
  <si>
    <t>Col. B: see page 3</t>
  </si>
  <si>
    <t xml:space="preserve">Electric </t>
  </si>
  <si>
    <t>Number of Vacant Positions</t>
  </si>
  <si>
    <t>Salaries</t>
  </si>
  <si>
    <t>Team Incentive Award*</t>
  </si>
  <si>
    <t>Total Payroll</t>
  </si>
  <si>
    <t>O&amp;M Payroll</t>
  </si>
  <si>
    <t>Employee Benefits</t>
  </si>
  <si>
    <t>401(k) Match</t>
  </si>
  <si>
    <t>Retirement Income</t>
  </si>
  <si>
    <t>Group Life Insurance</t>
  </si>
  <si>
    <t>Long Term Disability</t>
  </si>
  <si>
    <t>Post Retirement Benefits</t>
  </si>
  <si>
    <t>Worker's Compensation</t>
  </si>
  <si>
    <t>Dental</t>
  </si>
  <si>
    <t>Medical</t>
  </si>
  <si>
    <t>Other Miscellaneous</t>
  </si>
  <si>
    <t>Total Benefits</t>
  </si>
  <si>
    <t>O&amp;M Employee Benefits</t>
  </si>
  <si>
    <t>Payroll Taxes</t>
  </si>
  <si>
    <t>O&amp;M Payroll Taxes</t>
  </si>
  <si>
    <t>A: Adjustment calculated using information from the response to AG 2-8 and shown below:</t>
  </si>
  <si>
    <t>O&amp;M Percentage^</t>
  </si>
  <si>
    <t>Post Employment Benefits</t>
  </si>
  <si>
    <t>Total LKE O&amp;M Payroll, Employee Benefits and Payroll Taxes</t>
  </si>
  <si>
    <t>A: Amounts above from the response to AG 2-8</t>
  </si>
  <si>
    <t>Total LG&amp;E O&amp;M Payroll, Employee Benefits and Payroll Taxes</t>
  </si>
  <si>
    <t>^ O&amp;M percentages from 807 KAR 5:001 Section 16(8)(g), page 2</t>
  </si>
  <si>
    <t>Payroll and Employee Benefits Expense - Remove Vacant Positions</t>
  </si>
  <si>
    <t>LG&amp;E and KU Services Company</t>
  </si>
  <si>
    <t>Team Incentive Award Expense</t>
  </si>
  <si>
    <t>AG recommended percentage of Team Incentive Award in Cost of Service</t>
  </si>
  <si>
    <t>Net Team Incentive Award Expense</t>
  </si>
  <si>
    <t>LKE O&amp;M Payroll Allocated to LG&amp;E</t>
  </si>
  <si>
    <t>LKE O&amp;M Employee Benefits Allocated to LG&amp;E</t>
  </si>
  <si>
    <t>LKE O&amp;M Payroll Taxes Allocated to LG&amp;E</t>
  </si>
  <si>
    <t>Percentage to Allocate to LG&amp;E</t>
  </si>
  <si>
    <t>Adjustment (B-4)</t>
  </si>
  <si>
    <t>AMS Total (From Line 7)</t>
  </si>
  <si>
    <t>Advanced</t>
  </si>
  <si>
    <t>Metering</t>
  </si>
  <si>
    <t>Systems</t>
  </si>
  <si>
    <t>Capitalization per LG&amp;E's Filing</t>
  </si>
  <si>
    <t>Col. A: Amounts from Supporting Schedule B-1.1, Page 3 of 4 of LGE's filing</t>
  </si>
  <si>
    <t>Overhead Conductors and Devices</t>
  </si>
  <si>
    <t>Less: Amount Reflected in Overall Slippage Adjustment on Schedule B-1</t>
  </si>
  <si>
    <t>See Below</t>
  </si>
  <si>
    <t>B: The amount reflected in Overall Slippage Adjustment calculated as follows</t>
  </si>
  <si>
    <t>Total Distribution Automation Adjustment - Line 4</t>
  </si>
  <si>
    <t>Slippage Factor on Schedule B-1</t>
  </si>
  <si>
    <t>Slippage Adjusted Distribution Automation Adjustment</t>
  </si>
  <si>
    <t>Line 4</t>
  </si>
  <si>
    <t>Sch. B-1</t>
  </si>
  <si>
    <t>Amount to Reflect in Overall Slippage Adjustment on Schedule B-1</t>
  </si>
  <si>
    <t>Adjusted for Impact of Slippage</t>
  </si>
  <si>
    <t>AG Adjustment to Depreciation Expense Related to Distribution Automation</t>
  </si>
  <si>
    <t>AG Adjustment to Depreciation Expense Related to Distribution Automation - Adjusted for Slippage</t>
  </si>
  <si>
    <t>Depreciation Expense - Impacts of Slippage</t>
  </si>
  <si>
    <t>A: AG recommended adjustment to reflect the impact of slippage on depreciation expense calculated below:</t>
  </si>
  <si>
    <t>Depreciation and Amortization Expense Per LG&amp;E</t>
  </si>
  <si>
    <t>13-Month Average Plant in Service per LG&amp;E</t>
  </si>
  <si>
    <t>Slippage Factor for Depreciation Expense</t>
  </si>
  <si>
    <t xml:space="preserve">AG Adjustment to Depreciation Expense to Reflect the Impact of Slippage </t>
  </si>
  <si>
    <t>Cols E&amp;F: The Base Period in the Company's filing is the 12 months ending February 28, 2017</t>
  </si>
  <si>
    <t>LG&amp;E Sch. B-1</t>
  </si>
  <si>
    <t>LG&amp;E Sch. C-1</t>
  </si>
  <si>
    <t>L2 / L3</t>
  </si>
  <si>
    <t>Adjustment to Depreciation Expense to Reflect the Impact of Slippage</t>
  </si>
  <si>
    <t>L5 x L6</t>
  </si>
  <si>
    <t>AG Adjustment to Plant in Service to Reflect the Impact of Slippage</t>
  </si>
  <si>
    <t>Composite Depreciation Expense Rate</t>
  </si>
  <si>
    <t>B: Slippage rate from Schedule B-1</t>
  </si>
  <si>
    <t>Uncollectibles Expense</t>
  </si>
  <si>
    <t>PSC Fees</t>
  </si>
  <si>
    <t>Total AG Capitalization Adjustments</t>
  </si>
  <si>
    <t>Effect of AG Adjustments to Capitalization</t>
  </si>
  <si>
    <t>Reverse LG&amp;E Adjustment to Remove Gas Line Tracker Mechanism from Base Rates</t>
  </si>
  <si>
    <t>Not applicable to LG&amp;E Electric Operations</t>
  </si>
  <si>
    <t>AG Adjusted</t>
  </si>
  <si>
    <t>(C) =( B) - (A)</t>
  </si>
  <si>
    <t>Notes and Source:</t>
  </si>
  <si>
    <t>Col (A): From Schedule C-2.1, Pages 7-12 of Company's Filing</t>
  </si>
  <si>
    <t>Year</t>
  </si>
  <si>
    <t xml:space="preserve">Uncollectible Accounts </t>
  </si>
  <si>
    <t>Expense Factor (5-Year Average)</t>
  </si>
  <si>
    <t>Col A: From LG&amp;E's Attachment to Response to AG-1 Question No. 25(a)</t>
  </si>
  <si>
    <t>Col B, Line 5-6: From LG&amp;E's Resposne to AG-1 Question No. 85</t>
  </si>
  <si>
    <t>to AG-1 Question No. 25(a) and LG&amp;E's Response to AG-1 Question No. 85</t>
  </si>
  <si>
    <t>Additional Calculations:</t>
  </si>
  <si>
    <t>From Schedule C-2.1, Pages 7-12 of Company's Filing:</t>
  </si>
  <si>
    <t>Total Unadjusted</t>
  </si>
  <si>
    <t>Jurisdictional Adjusted</t>
  </si>
  <si>
    <t>Uncollectible Accounts</t>
  </si>
  <si>
    <t>Total Sales to Ultimate Consumers</t>
  </si>
  <si>
    <t>Expense Factor (Line 9/Line 10)</t>
  </si>
  <si>
    <t>Per AG:</t>
  </si>
  <si>
    <t>[B]</t>
  </si>
  <si>
    <t>Uncollectible Expense Factor</t>
  </si>
  <si>
    <t>[B] Using Adjusted Jurisdictional amount from Schedule C-2.1 of Company's filing</t>
  </si>
  <si>
    <t>Rescheduling of Expiring Regulatory Asset Amortizations</t>
  </si>
  <si>
    <t>Adjustment to Remove Affiliate Charges from PPL Services Corporation</t>
  </si>
  <si>
    <t>A: Adjustment calculated from information provided in response to AG 2-11 and calculated below:</t>
  </si>
  <si>
    <t>IT Joint Initiatives</t>
  </si>
  <si>
    <t>Audit - PCAOB Fees</t>
  </si>
  <si>
    <t>Office of Compliance</t>
  </si>
  <si>
    <t>Credit Services</t>
  </si>
  <si>
    <t>Financial Statement Reporting Software</t>
  </si>
  <si>
    <t>Hyperion Financial Management Software</t>
  </si>
  <si>
    <t>Insurance Services</t>
  </si>
  <si>
    <t>Internal Reporting</t>
  </si>
  <si>
    <t>Investor Relations</t>
  </si>
  <si>
    <t>Office of General Counsel</t>
  </si>
  <si>
    <t>Pension/Investments</t>
  </si>
  <si>
    <t>UI Planner Software</t>
  </si>
  <si>
    <t>Wall Street Software</t>
  </si>
  <si>
    <t>Total Account 921</t>
  </si>
  <si>
    <t>Grand Total</t>
  </si>
  <si>
    <t>Allocation Percentage to Electric Operations</t>
  </si>
  <si>
    <t>PPL Services Corporation Affiliate Charges Allocated to Electric Operations</t>
  </si>
  <si>
    <t xml:space="preserve">* AG recommended removing 25% of TIA expense on Schedule C-2. The amount above reflects this adjustment </t>
  </si>
  <si>
    <t>Rate Case Expenses Beginning Balance</t>
  </si>
  <si>
    <t>Amortization of 2 Years</t>
  </si>
  <si>
    <t>Annual Amortization of Rate Case Expenses</t>
  </si>
  <si>
    <t>Annual Amortization of Rate Case Expenses Per LG&amp;E</t>
  </si>
  <si>
    <t>AG Adjustment to Reduce Amortization of Rate Case Expenses</t>
  </si>
  <si>
    <t>A: Adjustment calculated below using information from the response to KIUC 2-8</t>
  </si>
  <si>
    <t>Schedule B-5</t>
  </si>
  <si>
    <t xml:space="preserve"> Company</t>
  </si>
  <si>
    <t xml:space="preserve"> AG</t>
  </si>
  <si>
    <t>(C) = B - A</t>
  </si>
  <si>
    <t>Not applicable to LG&amp;E electric operations</t>
  </si>
  <si>
    <t>B-5</t>
  </si>
  <si>
    <t>Company Proposed</t>
  </si>
  <si>
    <t>Page 2, column E, lines 1-4</t>
  </si>
  <si>
    <t>Capitalization Reapportionment Adjustment:</t>
  </si>
  <si>
    <t>AG (Woolridge)</t>
  </si>
  <si>
    <t>Cols. I and L: AG witness Woolridge recommended capital structure ratios. See Exhibits JRW-1 and JRW-5</t>
  </si>
  <si>
    <t>(G)=A+F</t>
  </si>
  <si>
    <t>Per Company Before Adjustment</t>
  </si>
  <si>
    <t>Page 2, Col. E</t>
  </si>
  <si>
    <t>Page 2, Col. G</t>
  </si>
  <si>
    <t>Adjustment on</t>
  </si>
  <si>
    <t>Company Amount</t>
  </si>
  <si>
    <t>AG Adjusted Amt.</t>
  </si>
  <si>
    <t>(O)</t>
  </si>
  <si>
    <t>(P)</t>
  </si>
  <si>
    <t>(H) =P</t>
  </si>
  <si>
    <t>(Q) = P-O</t>
  </si>
  <si>
    <t>AG Capitalization Reapportionment</t>
  </si>
  <si>
    <t>(L)=I</t>
  </si>
  <si>
    <t>PPL Services Corporation Affiliate Charges to LG&amp;E</t>
  </si>
  <si>
    <t>Cols. A-D (Lines 5-8):  Also see pages 2 and 3 of this schedule</t>
  </si>
  <si>
    <t>Cols. B, C and D (lines 5-8): Cost rates and Return on Equity as recommended by AG witness J. Randall Woolridge</t>
  </si>
  <si>
    <t>The long term debt cost rate has been updated by AG witness Woolridge</t>
  </si>
  <si>
    <t>Part I: Amounts above from Schedule J-1.1/J-2.2, Page 1 from the Company's filing</t>
  </si>
  <si>
    <t xml:space="preserve">Part II: Column F: See page 3 of this schedule, columns H </t>
  </si>
  <si>
    <t>AG Adjustments to Capitalization</t>
  </si>
  <si>
    <t>Line 5</t>
  </si>
  <si>
    <t>L8 x L9</t>
  </si>
  <si>
    <t>L10 - L8</t>
  </si>
  <si>
    <t>This schedule shows how the AG adjustments to operating expenses from Schedule C.1 are posted for CWC purposes.</t>
  </si>
  <si>
    <t>Total per Schedule C.1, line 11</t>
  </si>
  <si>
    <t>Line 8 below</t>
  </si>
  <si>
    <t>Percentage of Base Period Team Incentive Award Expense Recommended for Disallowance</t>
  </si>
  <si>
    <t xml:space="preserve">Allocation between Electric and Gas Operations </t>
  </si>
  <si>
    <t>Team Incentive Award Expense Allocated to Electric Operations (see page 2)</t>
  </si>
  <si>
    <t>Team Incentive Award Expense Allocated to Gas Operations (see page 2)</t>
  </si>
  <si>
    <t>Total Test Period Team Incentive Award Expense (see page 2)</t>
  </si>
  <si>
    <t>Five-Year Avg</t>
  </si>
  <si>
    <t>[A] Difference is noted between the percentage given in LG&amp;E's Attachment to Response</t>
  </si>
  <si>
    <t>Depreciation Expense Related to Adjustment to Distribution Automation</t>
  </si>
  <si>
    <t xml:space="preserve">Half of </t>
  </si>
  <si>
    <t>Plant Amount</t>
  </si>
  <si>
    <t>2011 Summer Storm - Electric Beginning Balance</t>
  </si>
  <si>
    <t>Annual Amortization of 2011 Summer Storm - Electric</t>
  </si>
  <si>
    <t>Annual Amortization of 2011 Summer Storm - Electric Per LG&amp;E</t>
  </si>
  <si>
    <t>AG Adjustment to Reduce Amortization of 2011 Summer Storm - Electric</t>
  </si>
  <si>
    <t>Total AG Adjustment Related to Expiring Regulatory Asset Amortizations</t>
  </si>
  <si>
    <t>AG Adjustment to Reduce Expiring Regulatory Asset Amortizations</t>
  </si>
  <si>
    <t>Total O&amp;M Expense per Schedule C, column B, line 4</t>
  </si>
  <si>
    <t>Reconciled Revenue Deficiency (Excess)</t>
  </si>
  <si>
    <t>Income Tax Adjustment (Ln 3 X Ln 4)</t>
  </si>
  <si>
    <t>Total Sales Revenue to Ultimate Consumers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</si>
</sst>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_)"/>
    <numFmt numFmtId="167" formatCode="_(* #,##0_);_(* \(#,##0\);_(* &quot;-&quot;??_);_(@_)"/>
    <numFmt numFmtId="168" formatCode="0.0000%"/>
    <numFmt numFmtId="169" formatCode="0.000000%"/>
    <numFmt numFmtId="170" formatCode="0.00000%"/>
    <numFmt numFmtId="171" formatCode="0.000000"/>
    <numFmt numFmtId="173" formatCode="0.0000000%"/>
    <numFmt numFmtId="174" formatCode="_(* #,##0.0000000_);_(* \(#,##0.0000000\);_(* &quot;-&quot;??_);_(@_)"/>
    <numFmt numFmtId="175" formatCode="_(* #,##0.0000_);_(* \(#,##0.0000\);_(* &quot;-&quot;??_);_(@_)"/>
    <numFmt numFmtId="176" formatCode="0.0000"/>
    <numFmt numFmtId="177" formatCode="0.000"/>
    <numFmt numFmtId="178" formatCode="0.0%"/>
    <numFmt numFmtId="179" formatCode="_(* #,##0.000_);_(* \(#,##0.000\);_(* &quot;-&quot;??_);_(@_)"/>
    <numFmt numFmtId="180" formatCode="_(* #,##0.000000_);_(* \(#,##0.000000\);_(* &quot;-&quot;??_);_(@_)"/>
    <numFmt numFmtId="181" formatCode="###0;###0"/>
    <numFmt numFmtId="182" formatCode="0.000000000000000000"/>
  </numFmts>
  <fonts count="13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/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2" fillId="0" borderId="0"/>
    <xf numFmtId="44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164" fontId="2" fillId="0" borderId="0" xfId="2" applyNumberFormat="1" applyFont="1"/>
    <xf numFmtId="10" fontId="2" fillId="0" borderId="0" xfId="0" applyNumberFormat="1" applyFont="1"/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165" fontId="2" fillId="0" borderId="0" xfId="3" applyNumberFormat="1" applyFont="1"/>
    <xf numFmtId="164" fontId="2" fillId="0" borderId="0" xfId="2" applyNumberFormat="1" applyFont="1" applyAlignment="1">
      <alignment horizontal="center"/>
    </xf>
    <xf numFmtId="10" fontId="2" fillId="0" borderId="0" xfId="3" applyNumberFormat="1" applyFont="1" applyAlignment="1">
      <alignment horizontal="center"/>
    </xf>
    <xf numFmtId="164" fontId="2" fillId="0" borderId="3" xfId="2" applyNumberFormat="1" applyFont="1" applyBorder="1"/>
    <xf numFmtId="164" fontId="2" fillId="0" borderId="0" xfId="2" applyNumberFormat="1" applyFont="1" applyBorder="1"/>
    <xf numFmtId="164" fontId="2" fillId="0" borderId="4" xfId="2" applyNumberFormat="1" applyFont="1" applyBorder="1"/>
    <xf numFmtId="171" fontId="2" fillId="0" borderId="0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0" fontId="2" fillId="0" borderId="0" xfId="3" applyNumberFormat="1" applyFont="1"/>
    <xf numFmtId="0" fontId="2" fillId="0" borderId="0" xfId="0" applyFont="1" applyAlignment="1">
      <alignment horizontal="right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165" fontId="2" fillId="0" borderId="0" xfId="3" applyNumberFormat="1" applyFont="1" applyBorder="1"/>
    <xf numFmtId="10" fontId="2" fillId="0" borderId="0" xfId="0" applyNumberFormat="1" applyFont="1" applyBorder="1" applyProtection="1"/>
    <xf numFmtId="10" fontId="2" fillId="0" borderId="3" xfId="0" applyNumberFormat="1" applyFont="1" applyBorder="1"/>
    <xf numFmtId="10" fontId="2" fillId="0" borderId="0" xfId="0" applyNumberFormat="1" applyFont="1" applyBorder="1"/>
    <xf numFmtId="10" fontId="2" fillId="0" borderId="0" xfId="3" applyNumberFormat="1" applyFont="1" applyBorder="1"/>
    <xf numFmtId="165" fontId="2" fillId="0" borderId="0" xfId="0" applyNumberFormat="1" applyFont="1" applyBorder="1"/>
    <xf numFmtId="170" fontId="2" fillId="0" borderId="0" xfId="3" applyNumberFormat="1" applyFont="1" applyBorder="1"/>
    <xf numFmtId="0" fontId="3" fillId="0" borderId="0" xfId="0" applyFont="1" applyBorder="1"/>
    <xf numFmtId="164" fontId="2" fillId="0" borderId="0" xfId="0" applyNumberFormat="1" applyFont="1" applyBorder="1"/>
    <xf numFmtId="0" fontId="2" fillId="0" borderId="0" xfId="0" quotePrefix="1" applyFont="1"/>
    <xf numFmtId="0" fontId="2" fillId="0" borderId="0" xfId="0" applyFont="1" applyFill="1" applyBorder="1" applyAlignment="1">
      <alignment horizontal="center"/>
    </xf>
    <xf numFmtId="164" fontId="2" fillId="0" borderId="4" xfId="0" applyNumberFormat="1" applyFont="1" applyBorder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0" xfId="2" applyNumberFormat="1" applyFont="1" applyBorder="1" applyAlignment="1">
      <alignment horizontal="center"/>
    </xf>
    <xf numFmtId="164" fontId="2" fillId="0" borderId="1" xfId="2" applyNumberFormat="1" applyFont="1" applyBorder="1"/>
    <xf numFmtId="0" fontId="2" fillId="0" borderId="0" xfId="0" applyFont="1" applyBorder="1" applyAlignment="1">
      <alignment horizontal="left"/>
    </xf>
    <xf numFmtId="164" fontId="2" fillId="0" borderId="7" xfId="2" applyNumberFormat="1" applyFont="1" applyBorder="1"/>
    <xf numFmtId="164" fontId="2" fillId="0" borderId="7" xfId="0" applyNumberFormat="1" applyFont="1" applyBorder="1"/>
    <xf numFmtId="0" fontId="2" fillId="0" borderId="0" xfId="0" applyFont="1" applyFill="1" applyBorder="1"/>
    <xf numFmtId="37" fontId="2" fillId="0" borderId="0" xfId="0" applyNumberFormat="1" applyFont="1" applyAlignment="1" applyProtection="1">
      <alignment horizontal="center"/>
    </xf>
    <xf numFmtId="37" fontId="2" fillId="0" borderId="9" xfId="0" applyNumberFormat="1" applyFont="1" applyBorder="1" applyAlignment="1" applyProtection="1">
      <alignment horizontal="center"/>
    </xf>
    <xf numFmtId="0" fontId="6" fillId="0" borderId="0" xfId="0" applyFont="1"/>
    <xf numFmtId="0" fontId="2" fillId="0" borderId="9" xfId="0" applyFont="1" applyBorder="1" applyAlignment="1">
      <alignment horizontal="center"/>
    </xf>
    <xf numFmtId="0" fontId="5" fillId="0" borderId="0" xfId="0" applyFont="1"/>
    <xf numFmtId="39" fontId="5" fillId="0" borderId="0" xfId="0" applyNumberFormat="1" applyFont="1" applyProtection="1"/>
    <xf numFmtId="37" fontId="2" fillId="0" borderId="0" xfId="0" applyNumberFormat="1" applyFont="1" applyAlignment="1">
      <alignment horizontal="center"/>
    </xf>
    <xf numFmtId="10" fontId="3" fillId="0" borderId="5" xfId="0" applyNumberFormat="1" applyFont="1" applyBorder="1" applyProtection="1"/>
    <xf numFmtId="10" fontId="2" fillId="0" borderId="4" xfId="0" applyNumberFormat="1" applyFont="1" applyBorder="1"/>
    <xf numFmtId="39" fontId="2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10" fontId="2" fillId="0" borderId="4" xfId="3" applyNumberFormat="1" applyFont="1" applyBorder="1"/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/>
    <xf numFmtId="168" fontId="2" fillId="0" borderId="0" xfId="3" applyNumberFormat="1" applyFont="1"/>
    <xf numFmtId="168" fontId="2" fillId="0" borderId="4" xfId="3" applyNumberFormat="1" applyFont="1" applyBorder="1"/>
    <xf numFmtId="0" fontId="2" fillId="0" borderId="0" xfId="0" applyFont="1" applyBorder="1" applyAlignment="1">
      <alignment horizontal="left" indent="3"/>
    </xf>
    <xf numFmtId="0" fontId="1" fillId="0" borderId="0" xfId="0" applyFont="1"/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quotePrefix="1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37" fontId="2" fillId="0" borderId="0" xfId="0" applyNumberFormat="1" applyFont="1" applyBorder="1" applyAlignment="1" applyProtection="1">
      <alignment horizontal="center"/>
    </xf>
    <xf numFmtId="37" fontId="2" fillId="0" borderId="1" xfId="0" applyNumberFormat="1" applyFont="1" applyBorder="1" applyAlignment="1" applyProtection="1">
      <alignment horizontal="center"/>
    </xf>
    <xf numFmtId="164" fontId="2" fillId="0" borderId="0" xfId="2" applyNumberFormat="1" applyFont="1" applyProtection="1"/>
    <xf numFmtId="165" fontId="2" fillId="0" borderId="0" xfId="0" applyNumberFormat="1" applyFont="1"/>
    <xf numFmtId="169" fontId="2" fillId="0" borderId="0" xfId="3" applyNumberFormat="1" applyFont="1"/>
    <xf numFmtId="3" fontId="2" fillId="0" borderId="2" xfId="0" applyNumberFormat="1" applyFont="1" applyBorder="1" applyAlignment="1"/>
    <xf numFmtId="3" fontId="2" fillId="0" borderId="0" xfId="0" applyNumberFormat="1" applyFont="1"/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70" fontId="2" fillId="0" borderId="0" xfId="3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5" xfId="2" applyNumberFormat="1" applyFont="1" applyBorder="1"/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4" fontId="2" fillId="0" borderId="0" xfId="0" applyNumberFormat="1" applyFont="1"/>
    <xf numFmtId="0" fontId="2" fillId="0" borderId="0" xfId="0" applyFont="1" applyAlignment="1">
      <alignment horizontal="center"/>
    </xf>
    <xf numFmtId="168" fontId="2" fillId="0" borderId="0" xfId="3" applyNumberFormat="1" applyFont="1" applyAlignment="1">
      <alignment horizontal="center"/>
    </xf>
    <xf numFmtId="164" fontId="2" fillId="0" borderId="3" xfId="2" applyNumberFormat="1" applyFont="1" applyBorder="1" applyProtection="1"/>
    <xf numFmtId="10" fontId="3" fillId="0" borderId="3" xfId="0" applyNumberFormat="1" applyFont="1" applyBorder="1" applyProtection="1"/>
    <xf numFmtId="9" fontId="2" fillId="0" borderId="0" xfId="3" applyFont="1" applyBorder="1"/>
    <xf numFmtId="10" fontId="2" fillId="0" borderId="1" xfId="3" applyNumberFormat="1" applyFont="1" applyBorder="1"/>
    <xf numFmtId="176" fontId="2" fillId="0" borderId="0" xfId="0" applyNumberFormat="1" applyFont="1"/>
    <xf numFmtId="0" fontId="2" fillId="0" borderId="0" xfId="0" applyFont="1" applyAlignment="1">
      <alignment horizontal="left" indent="1"/>
    </xf>
    <xf numFmtId="176" fontId="2" fillId="0" borderId="1" xfId="0" applyNumberFormat="1" applyFont="1" applyBorder="1" applyAlignment="1">
      <alignment horizontal="center"/>
    </xf>
    <xf numFmtId="10" fontId="2" fillId="0" borderId="0" xfId="3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64" fontId="3" fillId="0" borderId="0" xfId="2" applyNumberFormat="1" applyFont="1" applyBorder="1"/>
    <xf numFmtId="10" fontId="3" fillId="0" borderId="0" xfId="0" applyNumberFormat="1" applyFont="1" applyBorder="1" applyProtection="1"/>
    <xf numFmtId="166" fontId="2" fillId="0" borderId="0" xfId="0" applyNumberFormat="1" applyFont="1" applyAlignment="1" applyProtection="1">
      <alignment horizontal="center"/>
    </xf>
    <xf numFmtId="175" fontId="2" fillId="0" borderId="0" xfId="1" applyNumberFormat="1" applyFont="1" applyAlignment="1" applyProtection="1">
      <alignment horizontal="center"/>
    </xf>
    <xf numFmtId="164" fontId="2" fillId="0" borderId="0" xfId="2" applyNumberFormat="1" applyFont="1" applyAlignment="1">
      <alignment horizontal="right"/>
    </xf>
    <xf numFmtId="164" fontId="7" fillId="0" borderId="0" xfId="2" applyNumberFormat="1" applyFont="1" applyAlignment="1">
      <alignment horizontal="center"/>
    </xf>
    <xf numFmtId="164" fontId="2" fillId="2" borderId="0" xfId="2" applyNumberFormat="1" applyFont="1" applyFill="1"/>
    <xf numFmtId="164" fontId="2" fillId="0" borderId="0" xfId="2" applyNumberFormat="1" applyFont="1" applyFill="1"/>
    <xf numFmtId="164" fontId="2" fillId="0" borderId="1" xfId="2" applyNumberFormat="1" applyFont="1" applyBorder="1" applyAlignment="1">
      <alignment horizontal="left"/>
    </xf>
    <xf numFmtId="0" fontId="2" fillId="0" borderId="0" xfId="2" applyNumberFormat="1" applyFont="1" applyAlignment="1">
      <alignment horizontal="center"/>
    </xf>
    <xf numFmtId="178" fontId="2" fillId="0" borderId="0" xfId="3" applyNumberFormat="1" applyFont="1"/>
    <xf numFmtId="177" fontId="2" fillId="0" borderId="0" xfId="0" applyNumberFormat="1" applyFont="1" applyBorder="1"/>
    <xf numFmtId="175" fontId="2" fillId="0" borderId="0" xfId="1" applyNumberFormat="1" applyFont="1"/>
    <xf numFmtId="0" fontId="2" fillId="0" borderId="5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39" fontId="2" fillId="0" borderId="0" xfId="0" applyNumberFormat="1" applyFont="1" applyFill="1" applyBorder="1" applyProtection="1"/>
    <xf numFmtId="165" fontId="2" fillId="0" borderId="0" xfId="0" applyNumberFormat="1" applyFont="1" applyFill="1" applyBorder="1"/>
    <xf numFmtId="165" fontId="2" fillId="0" borderId="4" xfId="0" applyNumberFormat="1" applyFont="1" applyFill="1" applyBorder="1"/>
    <xf numFmtId="0" fontId="2" fillId="0" borderId="7" xfId="0" applyFont="1" applyBorder="1"/>
    <xf numFmtId="0" fontId="9" fillId="0" borderId="0" xfId="0" applyFont="1"/>
    <xf numFmtId="169" fontId="2" fillId="0" borderId="0" xfId="0" applyNumberFormat="1" applyFont="1"/>
    <xf numFmtId="179" fontId="2" fillId="0" borderId="0" xfId="1" applyNumberFormat="1" applyFont="1" applyAlignment="1">
      <alignment horizontal="left"/>
    </xf>
    <xf numFmtId="164" fontId="3" fillId="0" borderId="1" xfId="2" applyNumberFormat="1" applyFont="1" applyBorder="1"/>
    <xf numFmtId="164" fontId="8" fillId="0" borderId="4" xfId="0" applyNumberFormat="1" applyFont="1" applyBorder="1"/>
    <xf numFmtId="175" fontId="2" fillId="0" borderId="1" xfId="1" applyNumberFormat="1" applyFont="1" applyBorder="1" applyAlignment="1"/>
    <xf numFmtId="0" fontId="0" fillId="0" borderId="0" xfId="0" applyBorder="1"/>
    <xf numFmtId="10" fontId="2" fillId="0" borderId="4" xfId="2" applyNumberFormat="1" applyFont="1" applyBorder="1"/>
    <xf numFmtId="169" fontId="2" fillId="0" borderId="0" xfId="3" applyNumberFormat="1" applyFont="1" applyBorder="1"/>
    <xf numFmtId="169" fontId="2" fillId="0" borderId="5" xfId="3" applyNumberFormat="1" applyFont="1" applyBorder="1"/>
    <xf numFmtId="10" fontId="2" fillId="2" borderId="0" xfId="2" applyNumberFormat="1" applyFont="1" applyFill="1"/>
    <xf numFmtId="10" fontId="2" fillId="0" borderId="0" xfId="2" applyNumberFormat="1" applyFont="1"/>
    <xf numFmtId="10" fontId="2" fillId="0" borderId="3" xfId="2" applyNumberFormat="1" applyFont="1" applyBorder="1"/>
    <xf numFmtId="10" fontId="2" fillId="2" borderId="0" xfId="2" applyNumberFormat="1" applyFont="1" applyFill="1" applyBorder="1"/>
    <xf numFmtId="42" fontId="2" fillId="0" borderId="7" xfId="0" applyNumberFormat="1" applyFont="1" applyBorder="1"/>
    <xf numFmtId="42" fontId="2" fillId="0" borderId="0" xfId="0" applyNumberFormat="1" applyFont="1" applyBorder="1"/>
    <xf numFmtId="164" fontId="2" fillId="0" borderId="3" xfId="2" applyNumberFormat="1" applyFont="1" applyFill="1" applyBorder="1"/>
    <xf numFmtId="0" fontId="2" fillId="0" borderId="7" xfId="0" applyFont="1" applyBorder="1" applyAlignment="1">
      <alignment horizontal="center"/>
    </xf>
    <xf numFmtId="10" fontId="2" fillId="2" borderId="0" xfId="2" applyNumberFormat="1" applyFont="1" applyFill="1" applyAlignment="1">
      <alignment horizontal="center"/>
    </xf>
    <xf numFmtId="10" fontId="0" fillId="0" borderId="0" xfId="0" applyNumberFormat="1"/>
    <xf numFmtId="164" fontId="0" fillId="0" borderId="0" xfId="2" applyNumberFormat="1" applyFont="1"/>
    <xf numFmtId="169" fontId="2" fillId="0" borderId="3" xfId="3" applyNumberFormat="1" applyFont="1" applyBorder="1"/>
    <xf numFmtId="169" fontId="2" fillId="0" borderId="3" xfId="0" applyNumberFormat="1" applyFont="1" applyBorder="1"/>
    <xf numFmtId="180" fontId="2" fillId="0" borderId="4" xfId="1" applyNumberFormat="1" applyFont="1" applyBorder="1"/>
    <xf numFmtId="168" fontId="2" fillId="0" borderId="0" xfId="3" applyNumberFormat="1" applyFont="1" applyBorder="1" applyAlignment="1"/>
    <xf numFmtId="168" fontId="2" fillId="0" borderId="0" xfId="0" applyNumberFormat="1" applyFont="1"/>
    <xf numFmtId="168" fontId="2" fillId="0" borderId="3" xfId="0" applyNumberFormat="1" applyFont="1" applyBorder="1"/>
    <xf numFmtId="165" fontId="2" fillId="0" borderId="1" xfId="3" applyNumberFormat="1" applyFont="1" applyBorder="1"/>
    <xf numFmtId="165" fontId="2" fillId="0" borderId="1" xfId="3" applyNumberFormat="1" applyFont="1" applyFill="1" applyBorder="1"/>
    <xf numFmtId="0" fontId="2" fillId="0" borderId="1" xfId="0" applyFont="1" applyBorder="1" applyAlignment="1">
      <alignment horizontal="center"/>
    </xf>
    <xf numFmtId="164" fontId="2" fillId="0" borderId="5" xfId="0" applyNumberFormat="1" applyFont="1" applyBorder="1"/>
    <xf numFmtId="37" fontId="2" fillId="0" borderId="0" xfId="2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Border="1" applyAlignment="1">
      <alignment horizontal="center"/>
    </xf>
    <xf numFmtId="164" fontId="10" fillId="0" borderId="4" xfId="0" applyNumberFormat="1" applyFont="1" applyBorder="1"/>
    <xf numFmtId="0" fontId="10" fillId="0" borderId="0" xfId="0" applyFont="1" applyBorder="1"/>
    <xf numFmtId="164" fontId="10" fillId="0" borderId="0" xfId="0" applyNumberFormat="1" applyFont="1"/>
    <xf numFmtId="164" fontId="10" fillId="0" borderId="0" xfId="2" applyNumberFormat="1" applyFont="1" applyBorder="1" applyAlignment="1">
      <alignment horizontal="center"/>
    </xf>
    <xf numFmtId="164" fontId="10" fillId="0" borderId="1" xfId="2" applyNumberFormat="1" applyFont="1" applyBorder="1" applyAlignment="1">
      <alignment horizontal="center"/>
    </xf>
    <xf numFmtId="164" fontId="10" fillId="0" borderId="0" xfId="2" applyNumberFormat="1" applyFont="1"/>
    <xf numFmtId="10" fontId="10" fillId="0" borderId="0" xfId="0" applyNumberFormat="1" applyFont="1"/>
    <xf numFmtId="164" fontId="10" fillId="0" borderId="3" xfId="2" applyNumberFormat="1" applyFont="1" applyBorder="1"/>
    <xf numFmtId="0" fontId="11" fillId="0" borderId="0" xfId="0" applyFont="1"/>
    <xf numFmtId="10" fontId="10" fillId="0" borderId="0" xfId="3" applyNumberFormat="1" applyFont="1"/>
    <xf numFmtId="10" fontId="10" fillId="0" borderId="3" xfId="3" applyNumberFormat="1" applyFont="1" applyBorder="1"/>
    <xf numFmtId="164" fontId="10" fillId="0" borderId="3" xfId="0" applyNumberFormat="1" applyFont="1" applyBorder="1"/>
    <xf numFmtId="168" fontId="2" fillId="0" borderId="5" xfId="3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3" xfId="3" applyNumberFormat="1" applyFont="1" applyBorder="1"/>
    <xf numFmtId="0" fontId="2" fillId="0" borderId="1" xfId="0" applyFont="1" applyBorder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wrapText="1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/>
    <xf numFmtId="181" fontId="2" fillId="0" borderId="0" xfId="0" applyNumberFormat="1" applyFont="1" applyAlignment="1">
      <alignment horizontal="center"/>
    </xf>
    <xf numFmtId="181" fontId="2" fillId="0" borderId="0" xfId="0" applyNumberFormat="1" applyFont="1"/>
    <xf numFmtId="165" fontId="2" fillId="0" borderId="0" xfId="0" applyNumberFormat="1" applyFont="1" applyAlignment="1">
      <alignment horizontal="center"/>
    </xf>
    <xf numFmtId="44" fontId="2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2" fillId="0" borderId="4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2" fontId="2" fillId="0" borderId="0" xfId="0" applyNumberFormat="1" applyFont="1"/>
    <xf numFmtId="3" fontId="2" fillId="0" borderId="2" xfId="0" applyNumberFormat="1" applyFont="1" applyBorder="1"/>
    <xf numFmtId="10" fontId="2" fillId="0" borderId="0" xfId="2" applyNumberFormat="1" applyFont="1" applyFill="1"/>
    <xf numFmtId="164" fontId="2" fillId="0" borderId="0" xfId="2" applyNumberFormat="1" applyFont="1" applyFill="1" applyAlignment="1">
      <alignment horizontal="center"/>
    </xf>
    <xf numFmtId="164" fontId="2" fillId="0" borderId="0" xfId="0" applyNumberFormat="1" applyFont="1" applyAlignment="1"/>
    <xf numFmtId="165" fontId="2" fillId="0" borderId="1" xfId="0" applyNumberFormat="1" applyFont="1" applyBorder="1" applyAlignment="1">
      <alignment horizontal="right"/>
    </xf>
    <xf numFmtId="164" fontId="2" fillId="0" borderId="3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165" fontId="2" fillId="0" borderId="0" xfId="3" applyNumberFormat="1" applyFont="1" applyFill="1" applyBorder="1" applyAlignment="1">
      <alignment horizontal="right"/>
    </xf>
    <xf numFmtId="164" fontId="2" fillId="0" borderId="0" xfId="2" applyNumberFormat="1" applyFont="1" applyFill="1" applyBorder="1"/>
    <xf numFmtId="37" fontId="2" fillId="0" borderId="4" xfId="0" applyNumberFormat="1" applyFont="1" applyBorder="1"/>
    <xf numFmtId="0" fontId="2" fillId="0" borderId="0" xfId="0" applyFont="1" applyBorder="1" applyAlignment="1">
      <alignment horizontal="center" wrapText="1"/>
    </xf>
    <xf numFmtId="165" fontId="2" fillId="0" borderId="3" xfId="0" applyNumberFormat="1" applyFont="1" applyBorder="1"/>
    <xf numFmtId="0" fontId="2" fillId="0" borderId="0" xfId="2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 applyProtection="1">
      <alignment horizontal="center"/>
    </xf>
    <xf numFmtId="10" fontId="2" fillId="0" borderId="0" xfId="0" applyNumberFormat="1" applyFont="1" applyBorder="1" applyAlignment="1" applyProtection="1">
      <alignment horizontal="center"/>
    </xf>
    <xf numFmtId="178" fontId="2" fillId="0" borderId="1" xfId="3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2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4" fontId="2" fillId="0" borderId="0" xfId="2" applyFont="1" applyAlignment="1">
      <alignment horizontal="center"/>
    </xf>
    <xf numFmtId="171" fontId="2" fillId="0" borderId="1" xfId="0" applyNumberFormat="1" applyFont="1" applyBorder="1"/>
    <xf numFmtId="171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left" indent="13"/>
    </xf>
    <xf numFmtId="0" fontId="2" fillId="0" borderId="7" xfId="0" applyFont="1" applyBorder="1" applyAlignment="1">
      <alignment horizontal="left" indent="13"/>
    </xf>
    <xf numFmtId="164" fontId="8" fillId="0" borderId="0" xfId="2" applyNumberFormat="1" applyFont="1" applyAlignment="1">
      <alignment horizontal="center" textRotation="180" wrapText="1"/>
    </xf>
  </cellXfs>
  <cellStyles count="13">
    <cellStyle name="Comma" xfId="1" builtinId="3"/>
    <cellStyle name="Comma 2 2" xfId="8"/>
    <cellStyle name="Comma 86" xfId="9"/>
    <cellStyle name="Currency" xfId="2" builtinId="4"/>
    <cellStyle name="Currency 10 2" xfId="12"/>
    <cellStyle name="Currency 2 2" xfId="7"/>
    <cellStyle name="Normal" xfId="0" builtinId="0"/>
    <cellStyle name="Normal 129" xfId="6"/>
    <cellStyle name="Normal 2" xfId="4"/>
    <cellStyle name="Normal 2 3" xfId="5"/>
    <cellStyle name="Normal 46 2" xfId="11"/>
    <cellStyle name="Percent" xfId="3" builtinId="5"/>
    <cellStyle name="Percent 15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ll\Downloads\2017-02-16%20LGE%20Electric%20RR%20Exhibits_draft0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LA%20Work\KY%20AG%202016%20LGE%20and%20KU%20rate%20cases\Larkin%20Draft%20Exhibits\KU%20Revenue%20Requirement%20Exhibits\2017-02-27%20KU%20RR%20Exhibits_draft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"/>
      <sheetName val="Ap2"/>
      <sheetName val="A-1"/>
      <sheetName val="B"/>
      <sheetName val="B, P2"/>
      <sheetName val="B.1"/>
      <sheetName val="C"/>
      <sheetName val="C.1"/>
      <sheetName val="Dp1"/>
      <sheetName val="Dp2"/>
      <sheetName val="Dp3"/>
      <sheetName val="B-1"/>
      <sheetName val="B-2"/>
      <sheetName val="B-3"/>
      <sheetName val="B-3, P2"/>
      <sheetName val="C-1Int.Sync"/>
      <sheetName val="C-2"/>
      <sheetName val="C-3"/>
      <sheetName val="C-4"/>
      <sheetName val="C-5"/>
      <sheetName val="C-6"/>
      <sheetName val="C-7"/>
      <sheetName val="C-8"/>
      <sheetName val="C-9"/>
      <sheetName val="C-10"/>
      <sheetName val="C-11 "/>
      <sheetName val="C-12"/>
      <sheetName val="&lt;- Used"/>
      <sheetName val="Not Used -&gt;"/>
      <sheetName val="50 BP ROE"/>
      <sheetName val="D Base Period"/>
      <sheetName val="D Forecasted Period"/>
      <sheetName val="D P2 Base Period"/>
      <sheetName val="D P2 Forecasted Peri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6">
          <cell r="I26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"/>
      <sheetName val="Ap2"/>
      <sheetName val="A-1"/>
      <sheetName val="B"/>
      <sheetName val="B.1"/>
      <sheetName val="C"/>
      <sheetName val="C.1"/>
      <sheetName val="D P1"/>
      <sheetName val="D P2 "/>
      <sheetName val="D P3"/>
      <sheetName val="B-1"/>
      <sheetName val="B-2"/>
      <sheetName val="B-3"/>
      <sheetName val="B-3, P2"/>
      <sheetName val="B-4"/>
      <sheetName val="C-1 Int.Sync"/>
      <sheetName val="C-2 P1"/>
      <sheetName val="C-2 P2"/>
      <sheetName val="C-2 P3"/>
      <sheetName val="C-3 "/>
      <sheetName val="C-4"/>
      <sheetName val="C-5"/>
      <sheetName val="C-6"/>
      <sheetName val="C-7"/>
      <sheetName val="C-8 P1"/>
      <sheetName val="C-8 P2"/>
      <sheetName val="C-8 P3"/>
      <sheetName val="C-9"/>
      <sheetName val="C-10"/>
      <sheetName val="C-11 "/>
      <sheetName val="C-12"/>
      <sheetName val="&lt;- Used"/>
      <sheetName val="Not Used -&gt;"/>
      <sheetName val="AMS-Avg Service Life"/>
      <sheetName val="Affiliate P1"/>
      <sheetName val="Affiliate P2"/>
      <sheetName val="Affiliate P3"/>
      <sheetName val="50 BP ROE"/>
      <sheetName val="D Base Period"/>
      <sheetName val="D Forecasted Period"/>
      <sheetName val="D P2 Base Period"/>
      <sheetName val="D P2 Forecasted Period"/>
    </sheetNames>
    <sheetDataSet>
      <sheetData sheetId="0">
        <row r="1">
          <cell r="A1" t="str">
            <v>Kentucky Utilities Company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tabSelected="1" zoomScaleSheetLayoutView="90" workbookViewId="0">
      <selection activeCell="F35" sqref="F35"/>
    </sheetView>
  </sheetViews>
  <sheetFormatPr defaultRowHeight="12.75"/>
  <cols>
    <col min="1" max="1" width="9" style="1" customWidth="1"/>
    <col min="2" max="2" width="70" style="1" customWidth="1"/>
    <col min="3" max="16384" width="9.140625" style="1"/>
  </cols>
  <sheetData>
    <row r="1" spans="1:30" ht="18.75">
      <c r="A1" s="222" t="s">
        <v>281</v>
      </c>
      <c r="B1" s="222"/>
      <c r="C1" s="222"/>
      <c r="D1" s="222"/>
    </row>
    <row r="2" spans="1:30" ht="18.75">
      <c r="A2" s="222" t="s">
        <v>282</v>
      </c>
      <c r="B2" s="222"/>
      <c r="C2" s="222"/>
      <c r="D2" s="222"/>
      <c r="U2" s="1" t="s">
        <v>79</v>
      </c>
    </row>
    <row r="3" spans="1:30" ht="18.75">
      <c r="A3" s="222" t="s">
        <v>290</v>
      </c>
      <c r="B3" s="222"/>
      <c r="C3" s="222"/>
      <c r="D3" s="222"/>
    </row>
    <row r="4" spans="1:30" ht="18.75">
      <c r="A4" s="222" t="s">
        <v>176</v>
      </c>
      <c r="B4" s="222"/>
      <c r="C4" s="222"/>
      <c r="D4" s="222"/>
    </row>
    <row r="5" spans="1:30" ht="18.75">
      <c r="A5" s="222" t="s">
        <v>59</v>
      </c>
      <c r="B5" s="222"/>
      <c r="C5" s="222"/>
      <c r="D5" s="222"/>
      <c r="Q5" s="1" t="s">
        <v>46</v>
      </c>
      <c r="S5" s="1" t="s">
        <v>176</v>
      </c>
      <c r="W5" s="1" t="s">
        <v>124</v>
      </c>
    </row>
    <row r="6" spans="1:30" ht="25.5">
      <c r="A6" s="7" t="s">
        <v>32</v>
      </c>
      <c r="B6" s="7" t="s">
        <v>3</v>
      </c>
      <c r="C6" s="71" t="s">
        <v>143</v>
      </c>
      <c r="D6" s="71" t="s">
        <v>148</v>
      </c>
      <c r="E6" s="75"/>
      <c r="F6" s="75"/>
      <c r="G6" s="75"/>
      <c r="H6" s="75"/>
      <c r="I6" t="s">
        <v>144</v>
      </c>
      <c r="J6" t="s">
        <v>145</v>
      </c>
      <c r="K6"/>
      <c r="L6" t="s">
        <v>146</v>
      </c>
      <c r="M6" s="75"/>
      <c r="N6" s="75"/>
      <c r="AA6" t="s">
        <v>144</v>
      </c>
      <c r="AB6" t="s">
        <v>145</v>
      </c>
      <c r="AC6"/>
      <c r="AD6" t="s">
        <v>146</v>
      </c>
    </row>
    <row r="7" spans="1:30">
      <c r="A7" s="6"/>
      <c r="B7" s="7" t="s">
        <v>105</v>
      </c>
      <c r="C7" s="6"/>
      <c r="D7" s="6"/>
      <c r="I7" s="72">
        <v>1</v>
      </c>
      <c r="J7"/>
      <c r="K7" s="73" t="s">
        <v>147</v>
      </c>
      <c r="L7"/>
      <c r="AA7" s="72">
        <v>1</v>
      </c>
      <c r="AB7"/>
      <c r="AC7" s="73" t="s">
        <v>147</v>
      </c>
      <c r="AD7"/>
    </row>
    <row r="8" spans="1:30">
      <c r="A8" s="8" t="str">
        <f t="shared" ref="A8:A14" si="0">O8</f>
        <v xml:space="preserve">A </v>
      </c>
      <c r="B8" s="6" t="s">
        <v>104</v>
      </c>
      <c r="C8" s="8">
        <v>2</v>
      </c>
      <c r="D8" s="8" t="str">
        <f>L8</f>
        <v>2-3</v>
      </c>
      <c r="I8" s="74">
        <v>2</v>
      </c>
      <c r="J8" s="70">
        <f>I7+C8</f>
        <v>3</v>
      </c>
      <c r="K8" s="73" t="s">
        <v>147</v>
      </c>
      <c r="L8" s="72" t="str">
        <f t="shared" ref="L8:L14" si="1">IF(I8=J8,J8,I8&amp;K8&amp;J8)</f>
        <v>2-3</v>
      </c>
      <c r="O8" s="1" t="s">
        <v>91</v>
      </c>
      <c r="Q8" s="1" t="e">
        <f>#REF!&amp;$Q$5&amp;O8</f>
        <v>#REF!</v>
      </c>
      <c r="AA8" s="74">
        <v>3</v>
      </c>
      <c r="AB8" s="70">
        <f>AA7+C8</f>
        <v>3</v>
      </c>
      <c r="AC8" s="73" t="s">
        <v>147</v>
      </c>
      <c r="AD8" s="72">
        <f t="shared" ref="AD8:AD14" si="2">IF(AA8=AB8,AB8,AA8&amp;AC8&amp;AB8)</f>
        <v>3</v>
      </c>
    </row>
    <row r="9" spans="1:30">
      <c r="A9" s="8" t="str">
        <f>O9</f>
        <v xml:space="preserve">A-1 </v>
      </c>
      <c r="B9" s="6" t="s">
        <v>60</v>
      </c>
      <c r="C9" s="8">
        <v>1</v>
      </c>
      <c r="D9" s="8">
        <f t="shared" ref="D9:D14" si="3">L9</f>
        <v>4</v>
      </c>
      <c r="I9" s="74">
        <f t="shared" ref="I9:I14" si="4">J8+1</f>
        <v>4</v>
      </c>
      <c r="J9" s="70">
        <f t="shared" ref="J9:J14" si="5">J8+C9</f>
        <v>4</v>
      </c>
      <c r="K9" s="73" t="s">
        <v>147</v>
      </c>
      <c r="L9" s="72">
        <f t="shared" si="1"/>
        <v>4</v>
      </c>
      <c r="O9" s="1" t="s">
        <v>92</v>
      </c>
      <c r="W9" s="1" t="str">
        <f>A9</f>
        <v xml:space="preserve">A-1 </v>
      </c>
      <c r="X9" s="1" t="str">
        <f>B9</f>
        <v>Gross Revenue Conversion Factor</v>
      </c>
      <c r="AA9" s="74">
        <f t="shared" ref="AA9:AA14" si="6">AB8+1</f>
        <v>4</v>
      </c>
      <c r="AB9" s="70">
        <f t="shared" ref="AB9:AB14" si="7">AB8+T9</f>
        <v>3</v>
      </c>
      <c r="AC9" s="73" t="s">
        <v>147</v>
      </c>
      <c r="AD9" s="72" t="str">
        <f t="shared" si="2"/>
        <v>4-3</v>
      </c>
    </row>
    <row r="10" spans="1:30">
      <c r="A10" s="8" t="str">
        <f t="shared" si="0"/>
        <v xml:space="preserve">B </v>
      </c>
      <c r="B10" s="6" t="s">
        <v>106</v>
      </c>
      <c r="C10" s="8">
        <v>1</v>
      </c>
      <c r="D10" s="8">
        <f t="shared" si="3"/>
        <v>5</v>
      </c>
      <c r="I10" s="74">
        <f t="shared" si="4"/>
        <v>5</v>
      </c>
      <c r="J10" s="70">
        <f t="shared" si="5"/>
        <v>5</v>
      </c>
      <c r="K10" s="73" t="s">
        <v>147</v>
      </c>
      <c r="L10" s="72">
        <f t="shared" si="1"/>
        <v>5</v>
      </c>
      <c r="O10" s="1" t="s">
        <v>93</v>
      </c>
      <c r="AA10" s="74">
        <f t="shared" si="6"/>
        <v>4</v>
      </c>
      <c r="AB10" s="70">
        <f t="shared" si="7"/>
        <v>3</v>
      </c>
      <c r="AC10" s="73" t="s">
        <v>147</v>
      </c>
      <c r="AD10" s="72" t="str">
        <f t="shared" si="2"/>
        <v>4-3</v>
      </c>
    </row>
    <row r="11" spans="1:30">
      <c r="A11" s="8" t="str">
        <f t="shared" si="0"/>
        <v xml:space="preserve">B.1 </v>
      </c>
      <c r="B11" s="6" t="s">
        <v>107</v>
      </c>
      <c r="C11" s="8">
        <v>1</v>
      </c>
      <c r="D11" s="8">
        <f t="shared" si="3"/>
        <v>6</v>
      </c>
      <c r="I11" s="74">
        <f t="shared" si="4"/>
        <v>6</v>
      </c>
      <c r="J11" s="70">
        <f t="shared" si="5"/>
        <v>6</v>
      </c>
      <c r="K11" s="73" t="s">
        <v>147</v>
      </c>
      <c r="L11" s="72">
        <f t="shared" si="1"/>
        <v>6</v>
      </c>
      <c r="O11" s="1" t="s">
        <v>94</v>
      </c>
      <c r="AA11" s="74">
        <f t="shared" si="6"/>
        <v>4</v>
      </c>
      <c r="AB11" s="70">
        <f t="shared" si="7"/>
        <v>3</v>
      </c>
      <c r="AC11" s="73" t="s">
        <v>147</v>
      </c>
      <c r="AD11" s="72" t="str">
        <f t="shared" si="2"/>
        <v>4-3</v>
      </c>
    </row>
    <row r="12" spans="1:30">
      <c r="A12" s="8" t="str">
        <f t="shared" si="0"/>
        <v xml:space="preserve">C </v>
      </c>
      <c r="B12" s="6" t="s">
        <v>108</v>
      </c>
      <c r="C12" s="8">
        <v>1</v>
      </c>
      <c r="D12" s="8">
        <f t="shared" si="3"/>
        <v>7</v>
      </c>
      <c r="I12" s="74">
        <f t="shared" si="4"/>
        <v>7</v>
      </c>
      <c r="J12" s="70">
        <f t="shared" si="5"/>
        <v>7</v>
      </c>
      <c r="K12" s="73" t="s">
        <v>147</v>
      </c>
      <c r="L12" s="72">
        <f t="shared" si="1"/>
        <v>7</v>
      </c>
      <c r="O12" s="1" t="s">
        <v>95</v>
      </c>
      <c r="Q12" s="1" t="e">
        <f>#REF!&amp;$Q$5&amp;O12</f>
        <v>#REF!</v>
      </c>
      <c r="AA12" s="74">
        <f t="shared" si="6"/>
        <v>4</v>
      </c>
      <c r="AB12" s="70">
        <f t="shared" si="7"/>
        <v>3</v>
      </c>
      <c r="AC12" s="73" t="s">
        <v>147</v>
      </c>
      <c r="AD12" s="72" t="str">
        <f t="shared" si="2"/>
        <v>4-3</v>
      </c>
    </row>
    <row r="13" spans="1:30">
      <c r="A13" s="8" t="str">
        <f t="shared" si="0"/>
        <v>C.1</v>
      </c>
      <c r="B13" s="6" t="s">
        <v>109</v>
      </c>
      <c r="C13" s="8">
        <v>3</v>
      </c>
      <c r="D13" s="8" t="str">
        <f t="shared" si="3"/>
        <v>8-10</v>
      </c>
      <c r="I13" s="74">
        <f t="shared" si="4"/>
        <v>8</v>
      </c>
      <c r="J13" s="70">
        <f t="shared" si="5"/>
        <v>10</v>
      </c>
      <c r="K13" s="73" t="s">
        <v>147</v>
      </c>
      <c r="L13" s="72" t="str">
        <f t="shared" si="1"/>
        <v>8-10</v>
      </c>
      <c r="O13" s="1" t="s">
        <v>96</v>
      </c>
      <c r="AA13" s="74">
        <f t="shared" si="6"/>
        <v>4</v>
      </c>
      <c r="AB13" s="70">
        <f t="shared" si="7"/>
        <v>3</v>
      </c>
      <c r="AC13" s="73" t="s">
        <v>147</v>
      </c>
      <c r="AD13" s="72" t="str">
        <f t="shared" si="2"/>
        <v>4-3</v>
      </c>
    </row>
    <row r="14" spans="1:30">
      <c r="A14" s="8" t="str">
        <f t="shared" si="0"/>
        <v xml:space="preserve">D </v>
      </c>
      <c r="B14" s="6" t="s">
        <v>110</v>
      </c>
      <c r="C14" s="8">
        <v>3</v>
      </c>
      <c r="D14" s="8" t="str">
        <f t="shared" si="3"/>
        <v>11-13</v>
      </c>
      <c r="I14" s="74">
        <f t="shared" si="4"/>
        <v>11</v>
      </c>
      <c r="J14" s="70">
        <f t="shared" si="5"/>
        <v>13</v>
      </c>
      <c r="K14" s="73" t="s">
        <v>147</v>
      </c>
      <c r="L14" s="72" t="str">
        <f t="shared" si="1"/>
        <v>11-13</v>
      </c>
      <c r="O14" s="1" t="s">
        <v>97</v>
      </c>
      <c r="AA14" s="74">
        <f t="shared" si="6"/>
        <v>4</v>
      </c>
      <c r="AB14" s="70">
        <f t="shared" si="7"/>
        <v>3</v>
      </c>
      <c r="AC14" s="73" t="s">
        <v>147</v>
      </c>
      <c r="AD14" s="72" t="str">
        <f t="shared" si="2"/>
        <v>4-3</v>
      </c>
    </row>
    <row r="15" spans="1:30">
      <c r="A15" s="8"/>
      <c r="B15" s="6"/>
      <c r="C15" s="8"/>
      <c r="D15" s="6"/>
      <c r="I15" s="74"/>
      <c r="J15" s="70"/>
      <c r="K15" s="70"/>
      <c r="L15" s="74"/>
      <c r="AA15" s="74"/>
      <c r="AB15" s="70"/>
      <c r="AC15" s="70"/>
      <c r="AD15" s="74"/>
    </row>
    <row r="16" spans="1:30">
      <c r="A16" s="8"/>
      <c r="B16" s="7" t="s">
        <v>36</v>
      </c>
      <c r="C16" s="8"/>
      <c r="D16" s="6"/>
      <c r="I16" s="74"/>
      <c r="J16" s="70"/>
      <c r="K16" s="70"/>
      <c r="L16" s="74"/>
      <c r="AA16" s="74"/>
      <c r="AB16" s="70"/>
      <c r="AC16" s="70"/>
      <c r="AD16" s="74"/>
    </row>
    <row r="17" spans="1:30">
      <c r="A17" s="8" t="str">
        <f>Q17</f>
        <v>B-1</v>
      </c>
      <c r="B17" s="6" t="str">
        <f>'B-1'!A2</f>
        <v>Slippage Adjustment</v>
      </c>
      <c r="C17" s="8">
        <v>1</v>
      </c>
      <c r="D17" s="8">
        <f t="shared" ref="D17:D22" si="8">L17</f>
        <v>14</v>
      </c>
      <c r="E17" s="1" t="s">
        <v>155</v>
      </c>
      <c r="F17" s="1" t="str">
        <f t="shared" ref="F17:F23" si="9">A17&amp;E17&amp;B17</f>
        <v>B-1, Slippage Adjustment</v>
      </c>
      <c r="I17" s="74">
        <f>J14+1</f>
        <v>14</v>
      </c>
      <c r="J17" s="70">
        <f>J14+C17</f>
        <v>14</v>
      </c>
      <c r="K17" s="73" t="s">
        <v>147</v>
      </c>
      <c r="L17" s="72">
        <f t="shared" ref="L17:L22" si="10">IF(I17=J17,J17,I17&amp;K17&amp;J17)</f>
        <v>14</v>
      </c>
      <c r="O17" s="1" t="s">
        <v>120</v>
      </c>
      <c r="P17" s="1">
        <v>1</v>
      </c>
      <c r="Q17" s="1" t="str">
        <f>O17&amp;P17</f>
        <v>B-1</v>
      </c>
      <c r="W17" s="1" t="str">
        <f>A17</f>
        <v>B-1</v>
      </c>
      <c r="X17" s="1" t="str">
        <f>B17</f>
        <v>Slippage Adjustment</v>
      </c>
      <c r="AA17" s="74">
        <f>AB14+1</f>
        <v>4</v>
      </c>
      <c r="AB17" s="70">
        <f>AB14+T17</f>
        <v>3</v>
      </c>
      <c r="AC17" s="73" t="s">
        <v>147</v>
      </c>
      <c r="AD17" s="72" t="str">
        <f t="shared" ref="AD17:AD22" si="11">IF(AA17=AB17,AB17,AA17&amp;AC17&amp;AB17)</f>
        <v>4-3</v>
      </c>
    </row>
    <row r="18" spans="1:30">
      <c r="A18" s="8" t="str">
        <f t="shared" ref="A18:A20" si="12">Q18</f>
        <v>B-2</v>
      </c>
      <c r="B18" s="81" t="str">
        <f>'B-2'!A2</f>
        <v>Distribution Automation</v>
      </c>
      <c r="C18" s="8">
        <v>1</v>
      </c>
      <c r="D18" s="8">
        <f t="shared" si="8"/>
        <v>15</v>
      </c>
      <c r="E18" s="1" t="s">
        <v>155</v>
      </c>
      <c r="F18" s="1" t="str">
        <f t="shared" si="9"/>
        <v>B-2, Distribution Automation</v>
      </c>
      <c r="I18" s="74">
        <f t="shared" ref="I18:I22" si="13">J17+1</f>
        <v>15</v>
      </c>
      <c r="J18" s="70">
        <f t="shared" ref="J18:J23" si="14">J17+C18</f>
        <v>15</v>
      </c>
      <c r="K18" s="73" t="s">
        <v>147</v>
      </c>
      <c r="L18" s="72">
        <f t="shared" si="10"/>
        <v>15</v>
      </c>
      <c r="O18" s="1" t="s">
        <v>120</v>
      </c>
      <c r="P18" s="1">
        <f>P17+1</f>
        <v>2</v>
      </c>
      <c r="Q18" s="1" t="str">
        <f t="shared" ref="Q18:Q38" si="15">O18&amp;P18</f>
        <v>B-2</v>
      </c>
      <c r="S18" s="1">
        <v>1</v>
      </c>
      <c r="AA18" s="74">
        <f>AB17+1</f>
        <v>4</v>
      </c>
      <c r="AB18" s="70">
        <f>AB17+T18</f>
        <v>3</v>
      </c>
      <c r="AC18" s="73" t="s">
        <v>147</v>
      </c>
      <c r="AD18" s="72" t="str">
        <f t="shared" si="11"/>
        <v>4-3</v>
      </c>
    </row>
    <row r="19" spans="1:30">
      <c r="A19" s="8" t="str">
        <f t="shared" si="12"/>
        <v>B-3</v>
      </c>
      <c r="B19" s="81" t="str">
        <f>'B-3'!A2</f>
        <v>Cash Working Capital</v>
      </c>
      <c r="C19" s="8">
        <v>2</v>
      </c>
      <c r="D19" s="8" t="str">
        <f t="shared" si="8"/>
        <v>16-17</v>
      </c>
      <c r="E19" s="1" t="s">
        <v>155</v>
      </c>
      <c r="F19" s="1" t="str">
        <f t="shared" si="9"/>
        <v>B-3, Cash Working Capital</v>
      </c>
      <c r="I19" s="74">
        <f t="shared" si="13"/>
        <v>16</v>
      </c>
      <c r="J19" s="70">
        <f t="shared" si="14"/>
        <v>17</v>
      </c>
      <c r="K19" s="73" t="s">
        <v>147</v>
      </c>
      <c r="L19" s="72" t="str">
        <f t="shared" si="10"/>
        <v>16-17</v>
      </c>
      <c r="O19" s="1" t="s">
        <v>120</v>
      </c>
      <c r="P19" s="1">
        <f t="shared" ref="P19:P22" si="16">P18+1</f>
        <v>3</v>
      </c>
      <c r="Q19" s="1" t="str">
        <f t="shared" si="15"/>
        <v>B-3</v>
      </c>
      <c r="S19" s="1">
        <f>S18+1</f>
        <v>2</v>
      </c>
      <c r="AA19" s="74">
        <f>AB18+1</f>
        <v>4</v>
      </c>
      <c r="AB19" s="70">
        <f>AB18+T19</f>
        <v>3</v>
      </c>
      <c r="AC19" s="73" t="s">
        <v>147</v>
      </c>
      <c r="AD19" s="72" t="str">
        <f t="shared" si="11"/>
        <v>4-3</v>
      </c>
    </row>
    <row r="20" spans="1:30" ht="15" customHeight="1">
      <c r="A20" s="8" t="str">
        <f t="shared" si="12"/>
        <v>B-4</v>
      </c>
      <c r="B20" s="192" t="str">
        <f>'B-4'!A2</f>
        <v>Advanced Metering Systems</v>
      </c>
      <c r="C20" s="8">
        <v>1</v>
      </c>
      <c r="D20" s="8">
        <f t="shared" si="8"/>
        <v>18</v>
      </c>
      <c r="E20" s="1" t="s">
        <v>155</v>
      </c>
      <c r="F20" s="1" t="str">
        <f t="shared" si="9"/>
        <v>B-4, Advanced Metering Systems</v>
      </c>
      <c r="I20" s="74">
        <f t="shared" si="13"/>
        <v>18</v>
      </c>
      <c r="J20" s="70">
        <f t="shared" si="14"/>
        <v>18</v>
      </c>
      <c r="K20" s="73" t="s">
        <v>147</v>
      </c>
      <c r="L20" s="72">
        <f t="shared" si="10"/>
        <v>18</v>
      </c>
      <c r="O20" s="1" t="s">
        <v>120</v>
      </c>
      <c r="P20" s="1">
        <f t="shared" si="16"/>
        <v>4</v>
      </c>
      <c r="Q20" s="1" t="str">
        <f t="shared" si="15"/>
        <v>B-4</v>
      </c>
      <c r="S20" s="1">
        <f>S19+1</f>
        <v>3</v>
      </c>
      <c r="AA20" s="74">
        <f>AB19+1</f>
        <v>4</v>
      </c>
      <c r="AB20" s="70">
        <f>AB19+T20</f>
        <v>3</v>
      </c>
      <c r="AC20" s="73" t="s">
        <v>147</v>
      </c>
      <c r="AD20" s="72" t="str">
        <f t="shared" si="11"/>
        <v>4-3</v>
      </c>
    </row>
    <row r="21" spans="1:30" ht="15" hidden="1" customHeight="1">
      <c r="A21" s="8"/>
      <c r="B21" s="6"/>
      <c r="C21" s="8"/>
      <c r="D21" s="8" t="str">
        <f t="shared" si="8"/>
        <v>19-18</v>
      </c>
      <c r="E21" s="1" t="s">
        <v>155</v>
      </c>
      <c r="F21" s="1" t="str">
        <f t="shared" si="9"/>
        <v xml:space="preserve">, </v>
      </c>
      <c r="I21" s="74">
        <f t="shared" si="13"/>
        <v>19</v>
      </c>
      <c r="J21" s="70">
        <f t="shared" si="14"/>
        <v>18</v>
      </c>
      <c r="K21" s="73" t="s">
        <v>147</v>
      </c>
      <c r="L21" s="72" t="str">
        <f t="shared" si="10"/>
        <v>19-18</v>
      </c>
      <c r="O21" s="1" t="s">
        <v>120</v>
      </c>
      <c r="P21" s="1">
        <f t="shared" si="16"/>
        <v>5</v>
      </c>
      <c r="Q21" s="1" t="str">
        <f t="shared" si="15"/>
        <v>B-5</v>
      </c>
      <c r="AA21" s="74">
        <f>AB20+1</f>
        <v>4</v>
      </c>
      <c r="AB21" s="70">
        <f>AB20+T21</f>
        <v>3</v>
      </c>
      <c r="AC21" s="73" t="s">
        <v>147</v>
      </c>
      <c r="AD21" s="72" t="str">
        <f t="shared" si="11"/>
        <v>4-3</v>
      </c>
    </row>
    <row r="22" spans="1:30" ht="15.75" hidden="1" customHeight="1">
      <c r="A22" s="8"/>
      <c r="B22" s="6"/>
      <c r="C22" s="8"/>
      <c r="D22" s="8" t="str">
        <f t="shared" si="8"/>
        <v>19-18</v>
      </c>
      <c r="E22" s="1" t="s">
        <v>155</v>
      </c>
      <c r="F22" s="1" t="str">
        <f t="shared" si="9"/>
        <v xml:space="preserve">, </v>
      </c>
      <c r="I22" s="74">
        <f t="shared" si="13"/>
        <v>19</v>
      </c>
      <c r="J22" s="70">
        <f t="shared" si="14"/>
        <v>18</v>
      </c>
      <c r="K22" s="73" t="s">
        <v>147</v>
      </c>
      <c r="L22" s="72" t="str">
        <f t="shared" si="10"/>
        <v>19-18</v>
      </c>
      <c r="O22" s="1" t="s">
        <v>120</v>
      </c>
      <c r="P22" s="1">
        <f t="shared" si="16"/>
        <v>6</v>
      </c>
      <c r="Q22" s="1" t="str">
        <f t="shared" si="15"/>
        <v>B-6</v>
      </c>
      <c r="S22" s="1" t="e">
        <f>#REF!+1</f>
        <v>#REF!</v>
      </c>
      <c r="AA22" s="74">
        <f>AB21+1</f>
        <v>4</v>
      </c>
      <c r="AB22" s="70">
        <f>AB21+T22</f>
        <v>3</v>
      </c>
      <c r="AC22" s="73" t="s">
        <v>147</v>
      </c>
      <c r="AD22" s="72" t="str">
        <f t="shared" si="11"/>
        <v>4-3</v>
      </c>
    </row>
    <row r="23" spans="1:30" ht="13.5" customHeight="1">
      <c r="A23" s="8" t="str">
        <f t="shared" ref="A23" si="17">Q23</f>
        <v>B-5</v>
      </c>
      <c r="B23" s="192" t="str">
        <f>'B-5'!A2</f>
        <v>Reverse LG&amp;E Adjustment to Remove Gas Line Tracker Mechanism from Base Rates</v>
      </c>
      <c r="C23" s="8">
        <v>1</v>
      </c>
      <c r="D23" s="8">
        <f t="shared" ref="D23" si="18">L23</f>
        <v>19</v>
      </c>
      <c r="E23" s="1" t="s">
        <v>155</v>
      </c>
      <c r="F23" s="1" t="str">
        <f t="shared" si="9"/>
        <v>B-5, Reverse LG&amp;E Adjustment to Remove Gas Line Tracker Mechanism from Base Rates</v>
      </c>
      <c r="I23" s="74">
        <f t="shared" ref="I23" si="19">J22+1</f>
        <v>19</v>
      </c>
      <c r="J23" s="70">
        <f t="shared" si="14"/>
        <v>19</v>
      </c>
      <c r="K23" s="73" t="s">
        <v>147</v>
      </c>
      <c r="L23" s="72">
        <f t="shared" ref="L23" si="20">IF(I23=J23,J23,I23&amp;K23&amp;J23)</f>
        <v>19</v>
      </c>
      <c r="O23" s="1" t="s">
        <v>120</v>
      </c>
      <c r="P23" s="1">
        <f>P20+1</f>
        <v>5</v>
      </c>
      <c r="Q23" s="1" t="str">
        <f t="shared" ref="Q23" si="21">O23&amp;P23</f>
        <v>B-5</v>
      </c>
      <c r="AA23" s="74"/>
      <c r="AB23" s="70"/>
      <c r="AC23" s="73"/>
      <c r="AD23" s="72"/>
    </row>
    <row r="24" spans="1:30">
      <c r="A24" s="8"/>
      <c r="B24" s="6"/>
      <c r="C24" s="8"/>
      <c r="D24" s="6"/>
      <c r="I24" s="74"/>
      <c r="J24" s="70"/>
      <c r="K24" s="73"/>
      <c r="L24" s="72"/>
      <c r="AA24" s="74">
        <f>AB22+1</f>
        <v>4</v>
      </c>
      <c r="AB24" s="70">
        <f>AB22+T24</f>
        <v>3</v>
      </c>
      <c r="AC24" s="73" t="s">
        <v>147</v>
      </c>
      <c r="AD24" s="72" t="str">
        <f t="shared" ref="AD24:AD29" si="22">IF(AA24=AB24,AB24,AA24&amp;AC24&amp;AB24)</f>
        <v>4-3</v>
      </c>
    </row>
    <row r="25" spans="1:30">
      <c r="A25" s="6"/>
      <c r="B25" s="7" t="s">
        <v>35</v>
      </c>
      <c r="C25" s="8"/>
      <c r="D25" s="6"/>
      <c r="I25" s="74"/>
      <c r="J25" s="70"/>
      <c r="K25" s="73"/>
      <c r="L25" s="72"/>
      <c r="AA25" s="74">
        <f>AB24+1</f>
        <v>4</v>
      </c>
      <c r="AB25" s="70">
        <f>AB24+T25</f>
        <v>3</v>
      </c>
      <c r="AC25" s="73" t="s">
        <v>147</v>
      </c>
      <c r="AD25" s="72" t="str">
        <f t="shared" si="22"/>
        <v>4-3</v>
      </c>
    </row>
    <row r="26" spans="1:30">
      <c r="A26" s="8" t="str">
        <f>Q26</f>
        <v>C-1</v>
      </c>
      <c r="B26" s="6" t="str">
        <f>'C-1Int.Sync'!$A$2</f>
        <v>Interest Synchronization</v>
      </c>
      <c r="C26" s="8">
        <v>1</v>
      </c>
      <c r="D26" s="8">
        <f t="shared" ref="D26:D37" si="23">L26</f>
        <v>20</v>
      </c>
      <c r="E26" s="1" t="s">
        <v>155</v>
      </c>
      <c r="F26" s="1" t="str">
        <f t="shared" ref="F26:F31" si="24">A26&amp;E26&amp;B26</f>
        <v>C-1, Interest Synchronization</v>
      </c>
      <c r="I26" s="74">
        <f>J23+1</f>
        <v>20</v>
      </c>
      <c r="J26" s="70">
        <f>J23+C26</f>
        <v>20</v>
      </c>
      <c r="K26" s="73" t="s">
        <v>147</v>
      </c>
      <c r="L26" s="72">
        <f>IF(I26=J26,J26,I26&amp;K26&amp;J26)</f>
        <v>20</v>
      </c>
      <c r="O26" s="1" t="s">
        <v>121</v>
      </c>
      <c r="P26" s="1">
        <v>1</v>
      </c>
      <c r="Q26" s="1" t="str">
        <f t="shared" si="15"/>
        <v>C-1</v>
      </c>
      <c r="AA26" s="74">
        <f>AB25+1</f>
        <v>4</v>
      </c>
      <c r="AB26" s="70">
        <f>AB25+T26</f>
        <v>3</v>
      </c>
      <c r="AC26" s="73" t="s">
        <v>147</v>
      </c>
      <c r="AD26" s="72" t="str">
        <f t="shared" si="22"/>
        <v>4-3</v>
      </c>
    </row>
    <row r="27" spans="1:30">
      <c r="A27" s="8" t="str">
        <f t="shared" ref="A27:A55" si="25">Q27</f>
        <v>C-2</v>
      </c>
      <c r="B27" s="6" t="str">
        <f>'C-2 P1'!A2</f>
        <v>Incentive Compensation Expense</v>
      </c>
      <c r="C27" s="8">
        <v>3</v>
      </c>
      <c r="D27" s="8" t="str">
        <f t="shared" si="23"/>
        <v>21-23</v>
      </c>
      <c r="E27" s="1" t="s">
        <v>155</v>
      </c>
      <c r="F27" s="1" t="str">
        <f t="shared" si="24"/>
        <v>C-2, Incentive Compensation Expense</v>
      </c>
      <c r="I27" s="74">
        <f t="shared" ref="I27" si="26">J26+1</f>
        <v>21</v>
      </c>
      <c r="J27" s="70">
        <f t="shared" ref="J27:J55" si="27">J26+C27</f>
        <v>23</v>
      </c>
      <c r="K27" s="73" t="s">
        <v>147</v>
      </c>
      <c r="L27" s="72" t="str">
        <f t="shared" ref="L27" si="28">IF(I27=J27,J27,I27&amp;K27&amp;J27)</f>
        <v>21-23</v>
      </c>
      <c r="O27" s="1" t="s">
        <v>121</v>
      </c>
      <c r="P27" s="1">
        <f>P26+1</f>
        <v>2</v>
      </c>
      <c r="Q27" s="1" t="str">
        <f t="shared" si="15"/>
        <v>C-2</v>
      </c>
      <c r="U27" s="1">
        <v>1</v>
      </c>
      <c r="AA27" s="74">
        <f>AB26+1</f>
        <v>4</v>
      </c>
      <c r="AB27" s="70">
        <f>AB26+T27</f>
        <v>3</v>
      </c>
      <c r="AC27" s="73" t="s">
        <v>147</v>
      </c>
      <c r="AD27" s="72" t="str">
        <f t="shared" si="22"/>
        <v>4-3</v>
      </c>
    </row>
    <row r="28" spans="1:30">
      <c r="A28" s="8" t="str">
        <f t="shared" si="25"/>
        <v>C-3</v>
      </c>
      <c r="B28" s="6" t="str">
        <f>'C-3 '!A2</f>
        <v>Advanced Metering Services</v>
      </c>
      <c r="C28" s="8">
        <v>1</v>
      </c>
      <c r="D28" s="8">
        <f t="shared" si="23"/>
        <v>24</v>
      </c>
      <c r="E28" s="1" t="s">
        <v>155</v>
      </c>
      <c r="F28" s="1" t="str">
        <f t="shared" si="24"/>
        <v>C-3, Advanced Metering Services</v>
      </c>
      <c r="I28" s="74">
        <f t="shared" ref="I28" si="29">J27+1</f>
        <v>24</v>
      </c>
      <c r="J28" s="70">
        <f t="shared" si="27"/>
        <v>24</v>
      </c>
      <c r="K28" s="73" t="s">
        <v>147</v>
      </c>
      <c r="L28" s="72">
        <f t="shared" ref="L28" si="30">IF(I28=J28,J28,I28&amp;K28&amp;J28)</f>
        <v>24</v>
      </c>
      <c r="O28" s="1" t="s">
        <v>121</v>
      </c>
      <c r="P28" s="1">
        <f t="shared" ref="P28:P38" si="31">P27+1</f>
        <v>3</v>
      </c>
      <c r="Q28" s="1" t="str">
        <f t="shared" si="15"/>
        <v>C-3</v>
      </c>
      <c r="U28" s="1">
        <f>U27+1</f>
        <v>2</v>
      </c>
      <c r="AA28" s="74">
        <f>AB27+1</f>
        <v>4</v>
      </c>
      <c r="AB28" s="70">
        <f>AB27+T28</f>
        <v>3</v>
      </c>
      <c r="AC28" s="73" t="s">
        <v>147</v>
      </c>
      <c r="AD28" s="72" t="str">
        <f t="shared" si="22"/>
        <v>4-3</v>
      </c>
    </row>
    <row r="29" spans="1:30">
      <c r="A29" s="8" t="str">
        <f t="shared" si="25"/>
        <v>C-4</v>
      </c>
      <c r="B29" s="6" t="str">
        <f>'C-4'!A2</f>
        <v>Transmission Vegetation Management Expense</v>
      </c>
      <c r="C29" s="8">
        <v>1</v>
      </c>
      <c r="D29" s="8">
        <f t="shared" si="23"/>
        <v>25</v>
      </c>
      <c r="E29" s="1" t="s">
        <v>155</v>
      </c>
      <c r="F29" s="1" t="str">
        <f t="shared" si="24"/>
        <v>C-4, Transmission Vegetation Management Expense</v>
      </c>
      <c r="I29" s="74">
        <f>J28+1</f>
        <v>25</v>
      </c>
      <c r="J29" s="70">
        <f t="shared" si="27"/>
        <v>25</v>
      </c>
      <c r="K29" s="73" t="s">
        <v>147</v>
      </c>
      <c r="L29" s="72">
        <f>IF(I29=J29,J29,I29&amp;K29&amp;J29)</f>
        <v>25</v>
      </c>
      <c r="O29" s="1" t="s">
        <v>121</v>
      </c>
      <c r="P29" s="1">
        <f t="shared" si="31"/>
        <v>4</v>
      </c>
      <c r="Q29" s="1" t="str">
        <f t="shared" si="15"/>
        <v>C-4</v>
      </c>
      <c r="U29" s="1">
        <f t="shared" ref="U29:U38" si="32">U28+1</f>
        <v>3</v>
      </c>
      <c r="AA29" s="74">
        <f>AB28+1</f>
        <v>4</v>
      </c>
      <c r="AB29" s="70">
        <f>AB28+T29</f>
        <v>3</v>
      </c>
      <c r="AC29" s="73" t="s">
        <v>147</v>
      </c>
      <c r="AD29" s="72" t="str">
        <f t="shared" si="22"/>
        <v>4-3</v>
      </c>
    </row>
    <row r="30" spans="1:30">
      <c r="A30" s="8" t="str">
        <f t="shared" si="25"/>
        <v>C-5</v>
      </c>
      <c r="B30" s="6" t="str">
        <f>'C-5'!A2</f>
        <v>Uncollectibles Expense</v>
      </c>
      <c r="C30" s="8">
        <v>1</v>
      </c>
      <c r="D30" s="8">
        <f t="shared" si="23"/>
        <v>26</v>
      </c>
      <c r="E30" s="1" t="s">
        <v>155</v>
      </c>
      <c r="F30" s="1" t="str">
        <f t="shared" si="24"/>
        <v>C-5, Uncollectibles Expense</v>
      </c>
      <c r="I30" s="74">
        <f t="shared" ref="I30:I38" si="33">J29+1</f>
        <v>26</v>
      </c>
      <c r="J30" s="70">
        <f t="shared" si="27"/>
        <v>26</v>
      </c>
      <c r="K30" s="73" t="s">
        <v>147</v>
      </c>
      <c r="L30" s="72">
        <f t="shared" ref="L30:L38" si="34">IF(I30=J30,J30,I30&amp;K30&amp;J30)</f>
        <v>26</v>
      </c>
      <c r="O30" s="1" t="s">
        <v>121</v>
      </c>
      <c r="P30" s="1">
        <f t="shared" si="31"/>
        <v>5</v>
      </c>
      <c r="Q30" s="1" t="str">
        <f t="shared" si="15"/>
        <v>C-5</v>
      </c>
      <c r="U30" s="1">
        <f t="shared" si="32"/>
        <v>4</v>
      </c>
      <c r="W30" s="1" t="str">
        <f>A30</f>
        <v>C-5</v>
      </c>
      <c r="X30" s="1" t="str">
        <f>B30</f>
        <v>Uncollectibles Expense</v>
      </c>
      <c r="AA30" s="74"/>
      <c r="AB30" s="70"/>
      <c r="AC30" s="70"/>
      <c r="AD30" s="74"/>
    </row>
    <row r="31" spans="1:30">
      <c r="A31" s="8" t="str">
        <f t="shared" si="25"/>
        <v>C-6</v>
      </c>
      <c r="B31" s="6" t="str">
        <f>'C-6'!A2</f>
        <v>Depreciation Expense - Impacts of Slippage</v>
      </c>
      <c r="C31" s="8">
        <v>1</v>
      </c>
      <c r="D31" s="8">
        <f t="shared" si="23"/>
        <v>27</v>
      </c>
      <c r="E31" s="1" t="s">
        <v>155</v>
      </c>
      <c r="F31" s="1" t="str">
        <f t="shared" si="24"/>
        <v>C-6, Depreciation Expense - Impacts of Slippage</v>
      </c>
      <c r="I31" s="74">
        <f t="shared" si="33"/>
        <v>27</v>
      </c>
      <c r="J31" s="70">
        <f t="shared" si="27"/>
        <v>27</v>
      </c>
      <c r="K31" s="73" t="s">
        <v>147</v>
      </c>
      <c r="L31" s="72">
        <f t="shared" si="34"/>
        <v>27</v>
      </c>
      <c r="O31" s="1" t="s">
        <v>121</v>
      </c>
      <c r="P31" s="1">
        <f t="shared" si="31"/>
        <v>6</v>
      </c>
      <c r="Q31" s="1" t="str">
        <f t="shared" si="15"/>
        <v>C-6</v>
      </c>
      <c r="U31" s="1">
        <f t="shared" si="32"/>
        <v>5</v>
      </c>
      <c r="AA31" s="74"/>
      <c r="AB31" s="70"/>
      <c r="AC31" s="70"/>
      <c r="AD31" s="74"/>
    </row>
    <row r="32" spans="1:30">
      <c r="A32" s="8" t="str">
        <f t="shared" si="25"/>
        <v>C-7</v>
      </c>
      <c r="B32" s="6" t="str">
        <f>'C-7'!A2</f>
        <v>Depreciation Expense Related to Distribution Automation</v>
      </c>
      <c r="C32" s="8">
        <v>1</v>
      </c>
      <c r="D32" s="8">
        <f t="shared" si="23"/>
        <v>28</v>
      </c>
      <c r="E32" s="1" t="s">
        <v>155</v>
      </c>
      <c r="F32" s="1" t="str">
        <f>A32&amp;E32&amp;B31</f>
        <v>C-7, Depreciation Expense - Impacts of Slippage</v>
      </c>
      <c r="I32" s="74">
        <f t="shared" si="33"/>
        <v>28</v>
      </c>
      <c r="J32" s="70">
        <f t="shared" si="27"/>
        <v>28</v>
      </c>
      <c r="K32" s="73" t="s">
        <v>147</v>
      </c>
      <c r="L32" s="72">
        <f t="shared" si="34"/>
        <v>28</v>
      </c>
      <c r="O32" s="1" t="s">
        <v>121</v>
      </c>
      <c r="P32" s="1">
        <f t="shared" si="31"/>
        <v>7</v>
      </c>
      <c r="Q32" s="1" t="str">
        <f t="shared" si="15"/>
        <v>C-7</v>
      </c>
      <c r="U32" s="1">
        <f t="shared" si="32"/>
        <v>6</v>
      </c>
      <c r="AA32" s="74">
        <f>AB29+1</f>
        <v>4</v>
      </c>
      <c r="AB32" s="70">
        <f>AB29+T32</f>
        <v>3</v>
      </c>
      <c r="AC32" s="73" t="s">
        <v>147</v>
      </c>
      <c r="AD32" s="72" t="str">
        <f t="shared" ref="AD32:AD38" si="35">IF(AA32=AB32,AB32,AA32&amp;AC32&amp;AB32)</f>
        <v>4-3</v>
      </c>
    </row>
    <row r="33" spans="1:30">
      <c r="A33" s="8" t="str">
        <f t="shared" si="25"/>
        <v>C-8</v>
      </c>
      <c r="B33" s="6" t="str">
        <f>'C-8 P1'!A2</f>
        <v>Payroll and Employee Benefits Expense - Remove Vacant Positions</v>
      </c>
      <c r="C33" s="8">
        <v>3</v>
      </c>
      <c r="D33" s="8" t="str">
        <f t="shared" si="23"/>
        <v>29-31</v>
      </c>
      <c r="E33" s="1" t="s">
        <v>155</v>
      </c>
      <c r="F33" s="1" t="str">
        <f>A33&amp;E33&amp;B33</f>
        <v>C-8, Payroll and Employee Benefits Expense - Remove Vacant Positions</v>
      </c>
      <c r="I33" s="74">
        <f t="shared" si="33"/>
        <v>29</v>
      </c>
      <c r="J33" s="70">
        <f t="shared" si="27"/>
        <v>31</v>
      </c>
      <c r="K33" s="73" t="s">
        <v>147</v>
      </c>
      <c r="L33" s="72" t="str">
        <f t="shared" si="34"/>
        <v>29-31</v>
      </c>
      <c r="O33" s="1" t="s">
        <v>121</v>
      </c>
      <c r="P33" s="1">
        <f t="shared" si="31"/>
        <v>8</v>
      </c>
      <c r="Q33" s="1" t="str">
        <f t="shared" si="15"/>
        <v>C-8</v>
      </c>
      <c r="U33" s="1">
        <f>U32+1</f>
        <v>7</v>
      </c>
      <c r="AA33" s="74">
        <f>AB32+1</f>
        <v>4</v>
      </c>
      <c r="AB33" s="70">
        <f t="shared" ref="AB33:AB38" si="36">AB32+T33</f>
        <v>3</v>
      </c>
      <c r="AC33" s="73" t="s">
        <v>147</v>
      </c>
      <c r="AD33" s="72" t="str">
        <f t="shared" si="35"/>
        <v>4-3</v>
      </c>
    </row>
    <row r="34" spans="1:30">
      <c r="A34" s="8" t="str">
        <f t="shared" si="25"/>
        <v>C-9</v>
      </c>
      <c r="B34" s="6" t="str">
        <f>'C-9'!A2</f>
        <v>PPL Services Corporation Affiliate Charges to LG&amp;E</v>
      </c>
      <c r="C34" s="8">
        <v>1</v>
      </c>
      <c r="D34" s="8">
        <f t="shared" si="23"/>
        <v>32</v>
      </c>
      <c r="E34" s="1" t="s">
        <v>155</v>
      </c>
      <c r="F34" s="1" t="str">
        <f>A34&amp;E34&amp;B32</f>
        <v>C-9, Depreciation Expense Related to Distribution Automation</v>
      </c>
      <c r="I34" s="74">
        <f t="shared" si="33"/>
        <v>32</v>
      </c>
      <c r="J34" s="70">
        <f t="shared" si="27"/>
        <v>32</v>
      </c>
      <c r="K34" s="73" t="s">
        <v>147</v>
      </c>
      <c r="L34" s="72">
        <f t="shared" si="34"/>
        <v>32</v>
      </c>
      <c r="O34" s="1" t="s">
        <v>121</v>
      </c>
      <c r="P34" s="1">
        <f t="shared" si="31"/>
        <v>9</v>
      </c>
      <c r="Q34" s="1" t="str">
        <f t="shared" si="15"/>
        <v>C-9</v>
      </c>
      <c r="U34" s="1">
        <f t="shared" si="32"/>
        <v>8</v>
      </c>
      <c r="AA34" s="74">
        <f t="shared" ref="AA34:AA38" si="37">AB33+1</f>
        <v>4</v>
      </c>
      <c r="AB34" s="70">
        <f t="shared" si="36"/>
        <v>3</v>
      </c>
      <c r="AC34" s="73" t="s">
        <v>147</v>
      </c>
      <c r="AD34" s="72" t="str">
        <f t="shared" si="35"/>
        <v>4-3</v>
      </c>
    </row>
    <row r="35" spans="1:30">
      <c r="A35" s="8" t="str">
        <f t="shared" si="25"/>
        <v>C-10</v>
      </c>
      <c r="B35" s="6" t="str">
        <f>'C-10'!A2</f>
        <v>Reverse LG&amp;E Adjustment to Remove Gas Line Tracker Mechanism from Base Rates</v>
      </c>
      <c r="C35" s="8">
        <v>1</v>
      </c>
      <c r="D35" s="8">
        <f t="shared" si="23"/>
        <v>33</v>
      </c>
      <c r="E35" s="1" t="s">
        <v>155</v>
      </c>
      <c r="F35" s="1" t="str">
        <f t="shared" ref="F35:F55" si="38">A35&amp;E35&amp;B35</f>
        <v>C-10, Reverse LG&amp;E Adjustment to Remove Gas Line Tracker Mechanism from Base Rates</v>
      </c>
      <c r="I35" s="74">
        <f t="shared" si="33"/>
        <v>33</v>
      </c>
      <c r="J35" s="70">
        <f t="shared" si="27"/>
        <v>33</v>
      </c>
      <c r="K35" s="73" t="s">
        <v>147</v>
      </c>
      <c r="L35" s="72">
        <f t="shared" si="34"/>
        <v>33</v>
      </c>
      <c r="O35" s="1" t="s">
        <v>121</v>
      </c>
      <c r="P35" s="1">
        <f t="shared" si="31"/>
        <v>10</v>
      </c>
      <c r="Q35" s="1" t="str">
        <f t="shared" si="15"/>
        <v>C-10</v>
      </c>
      <c r="U35" s="1">
        <f t="shared" si="32"/>
        <v>9</v>
      </c>
      <c r="AA35" s="74">
        <f t="shared" si="37"/>
        <v>4</v>
      </c>
      <c r="AB35" s="70">
        <f t="shared" si="36"/>
        <v>3</v>
      </c>
      <c r="AC35" s="73" t="s">
        <v>147</v>
      </c>
      <c r="AD35" s="72" t="str">
        <f t="shared" si="35"/>
        <v>4-3</v>
      </c>
    </row>
    <row r="36" spans="1:30">
      <c r="A36" s="8" t="str">
        <f t="shared" si="25"/>
        <v>C-11</v>
      </c>
      <c r="B36" s="6" t="str">
        <f>'C-11 '!A2</f>
        <v>Rescheduling of Expiring Regulatory Asset Amortizations</v>
      </c>
      <c r="C36" s="8">
        <v>1</v>
      </c>
      <c r="D36" s="8">
        <f t="shared" si="23"/>
        <v>34</v>
      </c>
      <c r="E36" s="1" t="s">
        <v>155</v>
      </c>
      <c r="F36" s="1" t="str">
        <f t="shared" si="38"/>
        <v>C-11, Rescheduling of Expiring Regulatory Asset Amortizations</v>
      </c>
      <c r="I36" s="74">
        <f t="shared" si="33"/>
        <v>34</v>
      </c>
      <c r="J36" s="70">
        <f t="shared" si="27"/>
        <v>34</v>
      </c>
      <c r="K36" s="73" t="s">
        <v>147</v>
      </c>
      <c r="L36" s="72">
        <f t="shared" si="34"/>
        <v>34</v>
      </c>
      <c r="O36" s="1" t="s">
        <v>121</v>
      </c>
      <c r="P36" s="1">
        <f t="shared" si="31"/>
        <v>11</v>
      </c>
      <c r="Q36" s="1" t="str">
        <f t="shared" si="15"/>
        <v>C-11</v>
      </c>
      <c r="U36" s="1">
        <f t="shared" si="32"/>
        <v>10</v>
      </c>
      <c r="AA36" s="74">
        <f t="shared" si="37"/>
        <v>4</v>
      </c>
      <c r="AB36" s="70">
        <f t="shared" si="36"/>
        <v>3</v>
      </c>
      <c r="AC36" s="73" t="s">
        <v>147</v>
      </c>
      <c r="AD36" s="72" t="str">
        <f t="shared" si="35"/>
        <v>4-3</v>
      </c>
    </row>
    <row r="37" spans="1:30" hidden="1">
      <c r="A37" s="8"/>
      <c r="B37" s="6"/>
      <c r="C37" s="8"/>
      <c r="D37" s="8" t="str">
        <f t="shared" si="23"/>
        <v>35-34</v>
      </c>
      <c r="E37" s="1" t="s">
        <v>155</v>
      </c>
      <c r="F37" s="1" t="str">
        <f t="shared" si="38"/>
        <v xml:space="preserve">, </v>
      </c>
      <c r="I37" s="74">
        <f t="shared" si="33"/>
        <v>35</v>
      </c>
      <c r="J37" s="70">
        <f t="shared" si="27"/>
        <v>34</v>
      </c>
      <c r="K37" s="73" t="s">
        <v>147</v>
      </c>
      <c r="L37" s="72" t="str">
        <f t="shared" si="34"/>
        <v>35-34</v>
      </c>
      <c r="O37" s="1" t="s">
        <v>121</v>
      </c>
      <c r="P37" s="1">
        <f t="shared" si="31"/>
        <v>12</v>
      </c>
      <c r="Q37" s="1" t="str">
        <f t="shared" si="15"/>
        <v>C-12</v>
      </c>
      <c r="U37" s="1">
        <f t="shared" si="32"/>
        <v>11</v>
      </c>
      <c r="AA37" s="74">
        <f t="shared" si="37"/>
        <v>4</v>
      </c>
      <c r="AB37" s="70">
        <f t="shared" si="36"/>
        <v>3</v>
      </c>
      <c r="AC37" s="73" t="s">
        <v>147</v>
      </c>
      <c r="AD37" s="72" t="str">
        <f t="shared" si="35"/>
        <v>4-3</v>
      </c>
    </row>
    <row r="38" spans="1:30">
      <c r="A38" s="8"/>
      <c r="B38" s="6"/>
      <c r="C38" s="8"/>
      <c r="D38" s="8"/>
      <c r="E38" s="1" t="s">
        <v>155</v>
      </c>
      <c r="F38" s="1" t="str">
        <f t="shared" si="38"/>
        <v xml:space="preserve">, </v>
      </c>
      <c r="I38" s="74">
        <f t="shared" si="33"/>
        <v>35</v>
      </c>
      <c r="J38" s="70">
        <f t="shared" si="27"/>
        <v>34</v>
      </c>
      <c r="K38" s="73" t="s">
        <v>147</v>
      </c>
      <c r="L38" s="72" t="str">
        <f t="shared" si="34"/>
        <v>35-34</v>
      </c>
      <c r="O38" s="1" t="s">
        <v>121</v>
      </c>
      <c r="P38" s="1">
        <f t="shared" si="31"/>
        <v>13</v>
      </c>
      <c r="Q38" s="1" t="str">
        <f t="shared" si="15"/>
        <v>C-13</v>
      </c>
      <c r="U38" s="1">
        <f t="shared" si="32"/>
        <v>12</v>
      </c>
      <c r="AA38" s="74">
        <f t="shared" si="37"/>
        <v>4</v>
      </c>
      <c r="AB38" s="70">
        <f t="shared" si="36"/>
        <v>3</v>
      </c>
      <c r="AC38" s="73" t="s">
        <v>147</v>
      </c>
      <c r="AD38" s="72" t="str">
        <f t="shared" si="35"/>
        <v>4-3</v>
      </c>
    </row>
    <row r="39" spans="1:30" hidden="1">
      <c r="A39" s="8" t="e">
        <f t="shared" si="25"/>
        <v>#REF!</v>
      </c>
      <c r="B39" s="6"/>
      <c r="C39" s="8"/>
      <c r="D39" s="8" t="e">
        <f t="shared" ref="D39:D42" si="39">L39</f>
        <v>#REF!</v>
      </c>
      <c r="E39" s="1" t="s">
        <v>155</v>
      </c>
      <c r="F39" s="1" t="e">
        <f t="shared" si="38"/>
        <v>#REF!</v>
      </c>
      <c r="I39" s="74" t="e">
        <f>#REF!+1</f>
        <v>#REF!</v>
      </c>
      <c r="J39" s="70" t="e">
        <f>#REF!+C39</f>
        <v>#REF!</v>
      </c>
      <c r="K39" s="73" t="s">
        <v>147</v>
      </c>
      <c r="L39" s="72" t="e">
        <f t="shared" ref="L39:L42" si="40">IF(I39=J39,J39,I39&amp;K39&amp;J39)</f>
        <v>#REF!</v>
      </c>
      <c r="O39" s="1" t="s">
        <v>121</v>
      </c>
      <c r="P39" s="1" t="e">
        <f>#REF!+1</f>
        <v>#REF!</v>
      </c>
      <c r="Q39" s="1" t="e">
        <f t="shared" ref="Q39:Q57" si="41">O39&amp;P39</f>
        <v>#REF!</v>
      </c>
      <c r="AA39" s="74"/>
      <c r="AB39" s="70"/>
      <c r="AC39" s="73"/>
      <c r="AD39" s="72"/>
    </row>
    <row r="40" spans="1:30" hidden="1">
      <c r="A40" s="8" t="e">
        <f t="shared" si="25"/>
        <v>#REF!</v>
      </c>
      <c r="B40" s="6"/>
      <c r="C40" s="8"/>
      <c r="D40" s="8" t="e">
        <f t="shared" si="39"/>
        <v>#REF!</v>
      </c>
      <c r="E40" s="1" t="s">
        <v>155</v>
      </c>
      <c r="F40" s="1" t="e">
        <f t="shared" si="38"/>
        <v>#REF!</v>
      </c>
      <c r="I40" s="74" t="e">
        <f t="shared" ref="I40:I42" si="42">J39+1</f>
        <v>#REF!</v>
      </c>
      <c r="J40" s="70" t="e">
        <f t="shared" si="27"/>
        <v>#REF!</v>
      </c>
      <c r="K40" s="73" t="s">
        <v>147</v>
      </c>
      <c r="L40" s="72" t="e">
        <f t="shared" si="40"/>
        <v>#REF!</v>
      </c>
      <c r="O40" s="1" t="s">
        <v>121</v>
      </c>
      <c r="P40" s="1" t="e">
        <f t="shared" ref="P40:P55" si="43">P39+1</f>
        <v>#REF!</v>
      </c>
      <c r="Q40" s="1" t="e">
        <f t="shared" si="41"/>
        <v>#REF!</v>
      </c>
      <c r="AA40" s="74"/>
      <c r="AB40" s="70"/>
      <c r="AC40" s="73"/>
      <c r="AD40" s="72"/>
    </row>
    <row r="41" spans="1:30" hidden="1">
      <c r="A41" s="8" t="e">
        <f t="shared" si="25"/>
        <v>#REF!</v>
      </c>
      <c r="B41" s="6"/>
      <c r="C41" s="8"/>
      <c r="D41" s="8" t="e">
        <f t="shared" si="39"/>
        <v>#REF!</v>
      </c>
      <c r="E41" s="1" t="s">
        <v>155</v>
      </c>
      <c r="F41" s="1" t="e">
        <f t="shared" si="38"/>
        <v>#REF!</v>
      </c>
      <c r="I41" s="74" t="e">
        <f t="shared" si="42"/>
        <v>#REF!</v>
      </c>
      <c r="J41" s="70" t="e">
        <f t="shared" si="27"/>
        <v>#REF!</v>
      </c>
      <c r="K41" s="73" t="s">
        <v>147</v>
      </c>
      <c r="L41" s="72" t="e">
        <f t="shared" si="40"/>
        <v>#REF!</v>
      </c>
      <c r="O41" s="1" t="s">
        <v>121</v>
      </c>
      <c r="P41" s="1" t="e">
        <f t="shared" si="43"/>
        <v>#REF!</v>
      </c>
      <c r="Q41" s="1" t="e">
        <f t="shared" si="41"/>
        <v>#REF!</v>
      </c>
      <c r="AA41" s="74"/>
      <c r="AB41" s="70"/>
      <c r="AC41" s="73"/>
      <c r="AD41" s="72"/>
    </row>
    <row r="42" spans="1:30" hidden="1">
      <c r="A42" s="8" t="e">
        <f t="shared" si="25"/>
        <v>#REF!</v>
      </c>
      <c r="B42" s="6"/>
      <c r="C42" s="8"/>
      <c r="D42" s="8" t="e">
        <f t="shared" si="39"/>
        <v>#REF!</v>
      </c>
      <c r="E42" s="1" t="s">
        <v>155</v>
      </c>
      <c r="F42" s="1" t="e">
        <f t="shared" si="38"/>
        <v>#REF!</v>
      </c>
      <c r="I42" s="74" t="e">
        <f t="shared" si="42"/>
        <v>#REF!</v>
      </c>
      <c r="J42" s="70" t="e">
        <f t="shared" si="27"/>
        <v>#REF!</v>
      </c>
      <c r="K42" s="73" t="s">
        <v>147</v>
      </c>
      <c r="L42" s="72" t="e">
        <f t="shared" si="40"/>
        <v>#REF!</v>
      </c>
      <c r="O42" s="1" t="s">
        <v>121</v>
      </c>
      <c r="P42" s="1" t="e">
        <f t="shared" si="43"/>
        <v>#REF!</v>
      </c>
      <c r="Q42" s="1" t="e">
        <f t="shared" si="41"/>
        <v>#REF!</v>
      </c>
      <c r="AA42" s="74"/>
      <c r="AB42" s="70"/>
      <c r="AC42" s="73"/>
      <c r="AD42" s="72"/>
    </row>
    <row r="43" spans="1:30" hidden="1">
      <c r="A43" s="8" t="e">
        <f t="shared" si="25"/>
        <v>#REF!</v>
      </c>
      <c r="B43" s="6"/>
      <c r="C43" s="8"/>
      <c r="D43" s="8" t="e">
        <f t="shared" ref="D43:D55" si="44">L43</f>
        <v>#REF!</v>
      </c>
      <c r="E43" s="1" t="s">
        <v>155</v>
      </c>
      <c r="F43" s="1" t="e">
        <f t="shared" si="38"/>
        <v>#REF!</v>
      </c>
      <c r="I43" s="74" t="e">
        <f t="shared" ref="I43" si="45">J42+1</f>
        <v>#REF!</v>
      </c>
      <c r="J43" s="70" t="e">
        <f t="shared" si="27"/>
        <v>#REF!</v>
      </c>
      <c r="K43" s="73" t="s">
        <v>147</v>
      </c>
      <c r="L43" s="72" t="e">
        <f t="shared" ref="L43:L52" si="46">IF(I43=J43,J43,I43&amp;K43&amp;J43)</f>
        <v>#REF!</v>
      </c>
      <c r="O43" s="1" t="s">
        <v>121</v>
      </c>
      <c r="P43" s="1" t="e">
        <f t="shared" si="43"/>
        <v>#REF!</v>
      </c>
      <c r="Q43" s="1" t="e">
        <f t="shared" ref="Q43:Q53" si="47">O43&amp;P43</f>
        <v>#REF!</v>
      </c>
      <c r="AA43" s="74"/>
      <c r="AB43" s="70"/>
      <c r="AC43" s="73"/>
      <c r="AD43" s="72"/>
    </row>
    <row r="44" spans="1:30" hidden="1">
      <c r="A44" s="8" t="str">
        <f t="shared" si="25"/>
        <v>C-23.1</v>
      </c>
      <c r="B44" s="6"/>
      <c r="C44" s="8"/>
      <c r="D44" s="8" t="e">
        <f t="shared" si="44"/>
        <v>#REF!</v>
      </c>
      <c r="E44" s="1" t="s">
        <v>155</v>
      </c>
      <c r="F44" s="1" t="str">
        <f t="shared" si="38"/>
        <v xml:space="preserve">C-23.1, </v>
      </c>
      <c r="I44" s="74" t="e">
        <f t="shared" ref="I44:I51" si="48">J43+1</f>
        <v>#REF!</v>
      </c>
      <c r="J44" s="70" t="e">
        <f t="shared" si="27"/>
        <v>#REF!</v>
      </c>
      <c r="K44" s="73" t="s">
        <v>147</v>
      </c>
      <c r="L44" s="72" t="e">
        <f t="shared" ref="L44:L51" si="49">IF(I44=J44,J44,I44&amp;K44&amp;J44)</f>
        <v>#REF!</v>
      </c>
      <c r="O44" s="1" t="s">
        <v>121</v>
      </c>
      <c r="P44" s="1">
        <f>U44</f>
        <v>23.1</v>
      </c>
      <c r="Q44" s="1" t="str">
        <f t="shared" ref="Q44:Q51" si="50">O44&amp;P44</f>
        <v>C-23.1</v>
      </c>
      <c r="U44" s="1">
        <v>23.1</v>
      </c>
      <c r="AA44" s="74"/>
      <c r="AB44" s="70"/>
      <c r="AC44" s="73"/>
      <c r="AD44" s="72"/>
    </row>
    <row r="45" spans="1:30" hidden="1">
      <c r="A45" s="8" t="str">
        <f t="shared" si="25"/>
        <v>C-23.2</v>
      </c>
      <c r="B45" s="6"/>
      <c r="C45" s="8"/>
      <c r="D45" s="8" t="e">
        <f t="shared" si="44"/>
        <v>#REF!</v>
      </c>
      <c r="E45" s="1" t="s">
        <v>155</v>
      </c>
      <c r="F45" s="1" t="str">
        <f t="shared" si="38"/>
        <v xml:space="preserve">C-23.2, </v>
      </c>
      <c r="I45" s="74" t="e">
        <f t="shared" si="48"/>
        <v>#REF!</v>
      </c>
      <c r="J45" s="70" t="e">
        <f t="shared" si="27"/>
        <v>#REF!</v>
      </c>
      <c r="K45" s="73" t="s">
        <v>147</v>
      </c>
      <c r="L45" s="72" t="e">
        <f t="shared" si="49"/>
        <v>#REF!</v>
      </c>
      <c r="O45" s="1" t="s">
        <v>121</v>
      </c>
      <c r="P45" s="1">
        <f t="shared" ref="P45:P51" si="51">U45</f>
        <v>23.200000000000003</v>
      </c>
      <c r="Q45" s="1" t="str">
        <f t="shared" si="50"/>
        <v>C-23.2</v>
      </c>
      <c r="U45" s="1">
        <f>U44+0.1</f>
        <v>23.200000000000003</v>
      </c>
      <c r="AA45" s="74"/>
      <c r="AB45" s="70"/>
      <c r="AC45" s="73"/>
      <c r="AD45" s="72"/>
    </row>
    <row r="46" spans="1:30" hidden="1">
      <c r="A46" s="8" t="str">
        <f t="shared" si="25"/>
        <v>C-23.3</v>
      </c>
      <c r="B46" s="6"/>
      <c r="C46" s="8"/>
      <c r="D46" s="8" t="e">
        <f t="shared" si="44"/>
        <v>#REF!</v>
      </c>
      <c r="E46" s="1" t="s">
        <v>155</v>
      </c>
      <c r="F46" s="1" t="str">
        <f t="shared" si="38"/>
        <v xml:space="preserve">C-23.3, </v>
      </c>
      <c r="I46" s="74" t="e">
        <f t="shared" si="48"/>
        <v>#REF!</v>
      </c>
      <c r="J46" s="70" t="e">
        <f t="shared" si="27"/>
        <v>#REF!</v>
      </c>
      <c r="K46" s="73" t="s">
        <v>147</v>
      </c>
      <c r="L46" s="72" t="e">
        <f t="shared" si="49"/>
        <v>#REF!</v>
      </c>
      <c r="O46" s="1" t="s">
        <v>121</v>
      </c>
      <c r="P46" s="1">
        <f t="shared" si="51"/>
        <v>23.300000000000004</v>
      </c>
      <c r="Q46" s="1" t="str">
        <f t="shared" si="50"/>
        <v>C-23.3</v>
      </c>
      <c r="U46" s="1">
        <f t="shared" ref="U46:U51" si="52">U45+0.1</f>
        <v>23.300000000000004</v>
      </c>
      <c r="AA46" s="74"/>
      <c r="AB46" s="70"/>
      <c r="AC46" s="73"/>
      <c r="AD46" s="72"/>
    </row>
    <row r="47" spans="1:30" hidden="1">
      <c r="A47" s="8" t="str">
        <f t="shared" si="25"/>
        <v>C-23.4</v>
      </c>
      <c r="B47" s="6"/>
      <c r="C47" s="8"/>
      <c r="D47" s="8" t="e">
        <f t="shared" si="44"/>
        <v>#REF!</v>
      </c>
      <c r="E47" s="1" t="s">
        <v>155</v>
      </c>
      <c r="F47" s="1" t="str">
        <f t="shared" si="38"/>
        <v xml:space="preserve">C-23.4, </v>
      </c>
      <c r="I47" s="74" t="e">
        <f t="shared" si="48"/>
        <v>#REF!</v>
      </c>
      <c r="J47" s="70" t="e">
        <f t="shared" si="27"/>
        <v>#REF!</v>
      </c>
      <c r="K47" s="73" t="s">
        <v>147</v>
      </c>
      <c r="L47" s="72" t="e">
        <f t="shared" si="49"/>
        <v>#REF!</v>
      </c>
      <c r="O47" s="1" t="s">
        <v>121</v>
      </c>
      <c r="P47" s="1">
        <f t="shared" si="51"/>
        <v>23.400000000000006</v>
      </c>
      <c r="Q47" s="1" t="str">
        <f t="shared" si="50"/>
        <v>C-23.4</v>
      </c>
      <c r="U47" s="1">
        <f t="shared" si="52"/>
        <v>23.400000000000006</v>
      </c>
      <c r="AA47" s="74"/>
      <c r="AB47" s="70"/>
      <c r="AC47" s="73"/>
      <c r="AD47" s="72"/>
    </row>
    <row r="48" spans="1:30" hidden="1">
      <c r="A48" s="8" t="str">
        <f t="shared" si="25"/>
        <v>C-23.5</v>
      </c>
      <c r="B48" s="6"/>
      <c r="C48" s="8"/>
      <c r="D48" s="8" t="e">
        <f t="shared" si="44"/>
        <v>#REF!</v>
      </c>
      <c r="E48" s="1" t="s">
        <v>155</v>
      </c>
      <c r="F48" s="1" t="str">
        <f t="shared" si="38"/>
        <v xml:space="preserve">C-23.5, </v>
      </c>
      <c r="I48" s="74" t="e">
        <f t="shared" si="48"/>
        <v>#REF!</v>
      </c>
      <c r="J48" s="70" t="e">
        <f t="shared" si="27"/>
        <v>#REF!</v>
      </c>
      <c r="K48" s="73" t="s">
        <v>147</v>
      </c>
      <c r="L48" s="72" t="e">
        <f t="shared" si="49"/>
        <v>#REF!</v>
      </c>
      <c r="O48" s="1" t="s">
        <v>121</v>
      </c>
      <c r="P48" s="1">
        <f t="shared" si="51"/>
        <v>23.500000000000007</v>
      </c>
      <c r="Q48" s="1" t="str">
        <f t="shared" si="50"/>
        <v>C-23.5</v>
      </c>
      <c r="U48" s="1">
        <f t="shared" si="52"/>
        <v>23.500000000000007</v>
      </c>
      <c r="AA48" s="74"/>
      <c r="AB48" s="70"/>
      <c r="AC48" s="73"/>
      <c r="AD48" s="72"/>
    </row>
    <row r="49" spans="1:30" hidden="1">
      <c r="A49" s="8" t="str">
        <f t="shared" si="25"/>
        <v>C-23.6</v>
      </c>
      <c r="B49" s="6"/>
      <c r="C49" s="8"/>
      <c r="D49" s="8" t="e">
        <f t="shared" si="44"/>
        <v>#REF!</v>
      </c>
      <c r="E49" s="1" t="s">
        <v>155</v>
      </c>
      <c r="F49" s="1" t="str">
        <f t="shared" si="38"/>
        <v xml:space="preserve">C-23.6, </v>
      </c>
      <c r="I49" s="74" t="e">
        <f t="shared" si="48"/>
        <v>#REF!</v>
      </c>
      <c r="J49" s="70" t="e">
        <f t="shared" si="27"/>
        <v>#REF!</v>
      </c>
      <c r="K49" s="73" t="s">
        <v>147</v>
      </c>
      <c r="L49" s="72" t="e">
        <f t="shared" si="49"/>
        <v>#REF!</v>
      </c>
      <c r="O49" s="1" t="s">
        <v>121</v>
      </c>
      <c r="P49" s="1">
        <f t="shared" si="51"/>
        <v>23.600000000000009</v>
      </c>
      <c r="Q49" s="1" t="str">
        <f t="shared" si="50"/>
        <v>C-23.6</v>
      </c>
      <c r="U49" s="1">
        <f t="shared" si="52"/>
        <v>23.600000000000009</v>
      </c>
      <c r="AA49" s="74"/>
      <c r="AB49" s="70"/>
      <c r="AC49" s="73"/>
      <c r="AD49" s="72"/>
    </row>
    <row r="50" spans="1:30" hidden="1">
      <c r="A50" s="8" t="str">
        <f t="shared" si="25"/>
        <v>C-23.7</v>
      </c>
      <c r="B50" s="6"/>
      <c r="C50" s="8"/>
      <c r="D50" s="8" t="e">
        <f t="shared" si="44"/>
        <v>#REF!</v>
      </c>
      <c r="E50" s="1" t="s">
        <v>155</v>
      </c>
      <c r="F50" s="1" t="str">
        <f t="shared" si="38"/>
        <v xml:space="preserve">C-23.7, </v>
      </c>
      <c r="I50" s="74" t="e">
        <f t="shared" si="48"/>
        <v>#REF!</v>
      </c>
      <c r="J50" s="70" t="e">
        <f t="shared" si="27"/>
        <v>#REF!</v>
      </c>
      <c r="K50" s="73" t="s">
        <v>147</v>
      </c>
      <c r="L50" s="72" t="e">
        <f t="shared" si="49"/>
        <v>#REF!</v>
      </c>
      <c r="O50" s="1" t="s">
        <v>121</v>
      </c>
      <c r="P50" s="1">
        <f t="shared" si="51"/>
        <v>23.70000000000001</v>
      </c>
      <c r="Q50" s="1" t="str">
        <f t="shared" si="50"/>
        <v>C-23.7</v>
      </c>
      <c r="U50" s="1">
        <f t="shared" si="52"/>
        <v>23.70000000000001</v>
      </c>
      <c r="AA50" s="74"/>
      <c r="AB50" s="70"/>
      <c r="AC50" s="73"/>
      <c r="AD50" s="72"/>
    </row>
    <row r="51" spans="1:30" hidden="1">
      <c r="A51" s="8" t="str">
        <f t="shared" si="25"/>
        <v>C-23.8</v>
      </c>
      <c r="B51" s="6"/>
      <c r="C51" s="8"/>
      <c r="D51" s="8" t="e">
        <f t="shared" si="44"/>
        <v>#REF!</v>
      </c>
      <c r="E51" s="1" t="s">
        <v>155</v>
      </c>
      <c r="F51" s="1" t="str">
        <f t="shared" si="38"/>
        <v xml:space="preserve">C-23.8, </v>
      </c>
      <c r="I51" s="74" t="e">
        <f t="shared" si="48"/>
        <v>#REF!</v>
      </c>
      <c r="J51" s="70" t="e">
        <f t="shared" si="27"/>
        <v>#REF!</v>
      </c>
      <c r="K51" s="73" t="s">
        <v>147</v>
      </c>
      <c r="L51" s="72" t="e">
        <f t="shared" si="49"/>
        <v>#REF!</v>
      </c>
      <c r="O51" s="1" t="s">
        <v>121</v>
      </c>
      <c r="P51" s="1">
        <f t="shared" si="51"/>
        <v>23.800000000000011</v>
      </c>
      <c r="Q51" s="1" t="str">
        <f t="shared" si="50"/>
        <v>C-23.8</v>
      </c>
      <c r="U51" s="1">
        <f t="shared" si="52"/>
        <v>23.800000000000011</v>
      </c>
      <c r="AA51" s="74"/>
      <c r="AB51" s="70"/>
      <c r="AC51" s="73"/>
      <c r="AD51" s="72"/>
    </row>
    <row r="52" spans="1:30" hidden="1">
      <c r="A52" s="8" t="e">
        <f t="shared" si="25"/>
        <v>#REF!</v>
      </c>
      <c r="B52" s="6"/>
      <c r="C52" s="8"/>
      <c r="D52" s="8" t="e">
        <f t="shared" si="44"/>
        <v>#REF!</v>
      </c>
      <c r="E52" s="1" t="s">
        <v>155</v>
      </c>
      <c r="F52" s="1" t="e">
        <f t="shared" si="38"/>
        <v>#REF!</v>
      </c>
      <c r="I52" s="74" t="e">
        <f>J51+1</f>
        <v>#REF!</v>
      </c>
      <c r="J52" s="70" t="e">
        <f t="shared" si="27"/>
        <v>#REF!</v>
      </c>
      <c r="K52" s="73" t="s">
        <v>147</v>
      </c>
      <c r="L52" s="72" t="e">
        <f t="shared" si="46"/>
        <v>#REF!</v>
      </c>
      <c r="O52" s="1" t="s">
        <v>121</v>
      </c>
      <c r="P52" s="1" t="e">
        <f>P43+1</f>
        <v>#REF!</v>
      </c>
      <c r="Q52" s="1" t="e">
        <f t="shared" si="47"/>
        <v>#REF!</v>
      </c>
      <c r="AA52" s="74"/>
      <c r="AB52" s="70"/>
      <c r="AC52" s="73"/>
      <c r="AD52" s="72"/>
    </row>
    <row r="53" spans="1:30" hidden="1">
      <c r="A53" s="8" t="e">
        <f t="shared" si="25"/>
        <v>#REF!</v>
      </c>
      <c r="B53" s="6"/>
      <c r="C53" s="8"/>
      <c r="D53" s="8" t="e">
        <f t="shared" si="44"/>
        <v>#REF!</v>
      </c>
      <c r="E53" s="1" t="s">
        <v>155</v>
      </c>
      <c r="F53" s="1" t="e">
        <f t="shared" si="38"/>
        <v>#REF!</v>
      </c>
      <c r="I53" s="74" t="e">
        <f t="shared" ref="I53:I55" si="53">J52+1</f>
        <v>#REF!</v>
      </c>
      <c r="J53" s="70" t="e">
        <f t="shared" si="27"/>
        <v>#REF!</v>
      </c>
      <c r="K53" s="73" t="s">
        <v>147</v>
      </c>
      <c r="L53" s="72" t="e">
        <f t="shared" ref="L53" si="54">IF(I53=J53,J53,I53&amp;K53&amp;J53)</f>
        <v>#REF!</v>
      </c>
      <c r="O53" s="1" t="s">
        <v>121</v>
      </c>
      <c r="P53" s="1" t="e">
        <f t="shared" si="43"/>
        <v>#REF!</v>
      </c>
      <c r="Q53" s="1" t="e">
        <f t="shared" si="47"/>
        <v>#REF!</v>
      </c>
      <c r="AA53" s="74"/>
      <c r="AB53" s="70"/>
      <c r="AC53" s="73"/>
      <c r="AD53" s="72"/>
    </row>
    <row r="54" spans="1:30" hidden="1">
      <c r="A54" s="8" t="e">
        <f t="shared" si="25"/>
        <v>#REF!</v>
      </c>
      <c r="B54" s="6"/>
      <c r="C54" s="8"/>
      <c r="D54" s="8" t="e">
        <f t="shared" si="44"/>
        <v>#REF!</v>
      </c>
      <c r="E54" s="1" t="s">
        <v>155</v>
      </c>
      <c r="F54" s="1" t="e">
        <f t="shared" si="38"/>
        <v>#REF!</v>
      </c>
      <c r="I54" s="74" t="e">
        <f t="shared" si="53"/>
        <v>#REF!</v>
      </c>
      <c r="J54" s="70" t="e">
        <f t="shared" si="27"/>
        <v>#REF!</v>
      </c>
      <c r="K54" s="73" t="s">
        <v>147</v>
      </c>
      <c r="L54" s="72" t="e">
        <f t="shared" ref="L54:L55" si="55">IF(I54=J54,J54,I54&amp;K54&amp;J54)</f>
        <v>#REF!</v>
      </c>
      <c r="O54" s="1" t="s">
        <v>121</v>
      </c>
      <c r="P54" s="1" t="e">
        <f t="shared" si="43"/>
        <v>#REF!</v>
      </c>
      <c r="Q54" s="1" t="e">
        <f t="shared" ref="Q54:Q55" si="56">O54&amp;P54</f>
        <v>#REF!</v>
      </c>
      <c r="AA54" s="74"/>
      <c r="AB54" s="70"/>
      <c r="AC54" s="73"/>
      <c r="AD54" s="72"/>
    </row>
    <row r="55" spans="1:30" hidden="1">
      <c r="A55" s="8" t="e">
        <f t="shared" si="25"/>
        <v>#REF!</v>
      </c>
      <c r="B55" s="6"/>
      <c r="C55" s="8"/>
      <c r="D55" s="8" t="e">
        <f t="shared" si="44"/>
        <v>#REF!</v>
      </c>
      <c r="E55" s="1" t="s">
        <v>155</v>
      </c>
      <c r="F55" s="1" t="e">
        <f t="shared" si="38"/>
        <v>#REF!</v>
      </c>
      <c r="I55" s="74" t="e">
        <f t="shared" si="53"/>
        <v>#REF!</v>
      </c>
      <c r="J55" s="70" t="e">
        <f t="shared" si="27"/>
        <v>#REF!</v>
      </c>
      <c r="K55" s="73" t="s">
        <v>147</v>
      </c>
      <c r="L55" s="72" t="e">
        <f t="shared" si="55"/>
        <v>#REF!</v>
      </c>
      <c r="O55" s="1" t="s">
        <v>121</v>
      </c>
      <c r="P55" s="1" t="e">
        <f t="shared" si="43"/>
        <v>#REF!</v>
      </c>
      <c r="Q55" s="1" t="e">
        <f t="shared" si="56"/>
        <v>#REF!</v>
      </c>
      <c r="AA55" s="74"/>
      <c r="AB55" s="70"/>
      <c r="AC55" s="73"/>
      <c r="AD55" s="72"/>
    </row>
    <row r="56" spans="1:30">
      <c r="A56" s="8"/>
      <c r="B56" s="6"/>
      <c r="C56" s="8"/>
      <c r="D56" s="8"/>
      <c r="I56" s="74"/>
      <c r="J56" s="70"/>
      <c r="K56" s="73"/>
      <c r="L56" s="72"/>
      <c r="AA56" s="74"/>
      <c r="AB56" s="70"/>
      <c r="AC56" s="73"/>
      <c r="AD56" s="72"/>
    </row>
    <row r="57" spans="1:30">
      <c r="A57" s="6"/>
      <c r="B57" s="9" t="s">
        <v>142</v>
      </c>
      <c r="C57" s="8">
        <f>SUM(C8:C55)+1</f>
        <v>34</v>
      </c>
      <c r="D57" s="6"/>
      <c r="I57" s="74"/>
      <c r="J57" s="70"/>
      <c r="K57" s="73"/>
      <c r="L57" s="72"/>
      <c r="O57" s="1" t="s">
        <v>121</v>
      </c>
      <c r="P57" s="1" t="e">
        <f>P55+1</f>
        <v>#REF!</v>
      </c>
      <c r="Q57" s="1" t="e">
        <f t="shared" si="41"/>
        <v>#REF!</v>
      </c>
      <c r="AA57" s="74" t="e">
        <f>#REF!+1</f>
        <v>#REF!</v>
      </c>
      <c r="AB57" s="70" t="e">
        <f>#REF!+T57</f>
        <v>#REF!</v>
      </c>
      <c r="AC57" s="73" t="s">
        <v>147</v>
      </c>
      <c r="AD57" s="72" t="e">
        <f t="shared" ref="AD57:AD73" si="57">IF(AA57=AB57,AB57,AA57&amp;AC57&amp;AB57)</f>
        <v>#REF!</v>
      </c>
    </row>
    <row r="58" spans="1:30">
      <c r="I58" s="74"/>
      <c r="J58" s="70"/>
      <c r="K58" s="73"/>
      <c r="L58" s="72"/>
      <c r="AA58" s="74" t="e">
        <f>#REF!+1</f>
        <v>#REF!</v>
      </c>
      <c r="AB58" s="70" t="e">
        <f>#REF!+T58</f>
        <v>#REF!</v>
      </c>
      <c r="AC58" s="73" t="s">
        <v>147</v>
      </c>
      <c r="AD58" s="72" t="e">
        <f t="shared" si="57"/>
        <v>#REF!</v>
      </c>
    </row>
    <row r="59" spans="1:30">
      <c r="D59" s="1" t="s">
        <v>90</v>
      </c>
      <c r="I59" s="74"/>
      <c r="J59" s="70"/>
      <c r="K59" s="73"/>
      <c r="L59" s="72"/>
      <c r="AA59" s="74" t="e">
        <f t="shared" ref="AA59:AA73" si="58">AB58+1</f>
        <v>#REF!</v>
      </c>
      <c r="AB59" s="70" t="e">
        <f t="shared" ref="AB59:AB73" si="59">AB58+T59</f>
        <v>#REF!</v>
      </c>
      <c r="AC59" s="73" t="s">
        <v>147</v>
      </c>
      <c r="AD59" s="72" t="e">
        <f t="shared" si="57"/>
        <v>#REF!</v>
      </c>
    </row>
    <row r="60" spans="1:30">
      <c r="I60" s="74"/>
      <c r="J60" s="70"/>
      <c r="K60" s="73"/>
      <c r="L60" s="72"/>
      <c r="AA60" s="74" t="e">
        <f t="shared" si="58"/>
        <v>#REF!</v>
      </c>
      <c r="AB60" s="70" t="e">
        <f t="shared" si="59"/>
        <v>#REF!</v>
      </c>
      <c r="AC60" s="73" t="s">
        <v>147</v>
      </c>
      <c r="AD60" s="72" t="e">
        <f t="shared" si="57"/>
        <v>#REF!</v>
      </c>
    </row>
    <row r="61" spans="1:30">
      <c r="I61" s="74"/>
      <c r="J61" s="70"/>
      <c r="K61" s="73"/>
      <c r="L61" s="72"/>
      <c r="AA61" s="74" t="e">
        <f t="shared" si="58"/>
        <v>#REF!</v>
      </c>
      <c r="AB61" s="70" t="e">
        <f t="shared" si="59"/>
        <v>#REF!</v>
      </c>
      <c r="AC61" s="73" t="s">
        <v>147</v>
      </c>
      <c r="AD61" s="72" t="e">
        <f t="shared" si="57"/>
        <v>#REF!</v>
      </c>
    </row>
    <row r="62" spans="1:30">
      <c r="I62" s="74"/>
      <c r="J62" s="70"/>
      <c r="K62" s="73"/>
      <c r="L62" s="72"/>
      <c r="AA62" s="74" t="e">
        <f t="shared" si="58"/>
        <v>#REF!</v>
      </c>
      <c r="AB62" s="70" t="e">
        <f t="shared" si="59"/>
        <v>#REF!</v>
      </c>
      <c r="AC62" s="73" t="s">
        <v>147</v>
      </c>
      <c r="AD62" s="72" t="e">
        <f t="shared" si="57"/>
        <v>#REF!</v>
      </c>
    </row>
    <row r="63" spans="1:30">
      <c r="I63" s="74"/>
      <c r="J63" s="70"/>
      <c r="K63" s="73"/>
      <c r="L63" s="72"/>
      <c r="AA63" s="74" t="e">
        <f t="shared" si="58"/>
        <v>#REF!</v>
      </c>
      <c r="AB63" s="70" t="e">
        <f t="shared" si="59"/>
        <v>#REF!</v>
      </c>
      <c r="AC63" s="73" t="s">
        <v>147</v>
      </c>
      <c r="AD63" s="72" t="e">
        <f t="shared" si="57"/>
        <v>#REF!</v>
      </c>
    </row>
    <row r="64" spans="1:30">
      <c r="I64" s="74"/>
      <c r="J64" s="70"/>
      <c r="K64" s="73"/>
      <c r="L64" s="72"/>
      <c r="AA64" s="74" t="e">
        <f t="shared" si="58"/>
        <v>#REF!</v>
      </c>
      <c r="AB64" s="70" t="e">
        <f t="shared" si="59"/>
        <v>#REF!</v>
      </c>
      <c r="AC64" s="73" t="s">
        <v>147</v>
      </c>
      <c r="AD64" s="72" t="e">
        <f t="shared" si="57"/>
        <v>#REF!</v>
      </c>
    </row>
    <row r="65" spans="9:30">
      <c r="I65" s="74"/>
      <c r="J65" s="70"/>
      <c r="K65" s="73"/>
      <c r="L65" s="72"/>
      <c r="AA65" s="74" t="e">
        <f t="shared" si="58"/>
        <v>#REF!</v>
      </c>
      <c r="AB65" s="70" t="e">
        <f t="shared" si="59"/>
        <v>#REF!</v>
      </c>
      <c r="AC65" s="73" t="s">
        <v>147</v>
      </c>
      <c r="AD65" s="72" t="e">
        <f t="shared" si="57"/>
        <v>#REF!</v>
      </c>
    </row>
    <row r="66" spans="9:30">
      <c r="I66" s="74"/>
      <c r="J66" s="70"/>
      <c r="K66" s="73"/>
      <c r="L66" s="72"/>
      <c r="AA66" s="74" t="e">
        <f t="shared" si="58"/>
        <v>#REF!</v>
      </c>
      <c r="AB66" s="70" t="e">
        <f t="shared" si="59"/>
        <v>#REF!</v>
      </c>
      <c r="AC66" s="73" t="s">
        <v>147</v>
      </c>
      <c r="AD66" s="72" t="e">
        <f t="shared" si="57"/>
        <v>#REF!</v>
      </c>
    </row>
    <row r="67" spans="9:30">
      <c r="I67" s="74"/>
      <c r="J67" s="70"/>
      <c r="K67" s="73"/>
      <c r="L67" s="72"/>
      <c r="AA67" s="74" t="e">
        <f t="shared" si="58"/>
        <v>#REF!</v>
      </c>
      <c r="AB67" s="70" t="e">
        <f t="shared" si="59"/>
        <v>#REF!</v>
      </c>
      <c r="AC67" s="73" t="s">
        <v>147</v>
      </c>
      <c r="AD67" s="72" t="e">
        <f t="shared" si="57"/>
        <v>#REF!</v>
      </c>
    </row>
    <row r="68" spans="9:30">
      <c r="I68" s="74"/>
      <c r="J68" s="70"/>
      <c r="K68" s="73"/>
      <c r="L68" s="72"/>
      <c r="AA68" s="74" t="e">
        <f t="shared" si="58"/>
        <v>#REF!</v>
      </c>
      <c r="AB68" s="70" t="e">
        <f t="shared" si="59"/>
        <v>#REF!</v>
      </c>
      <c r="AC68" s="73" t="s">
        <v>147</v>
      </c>
      <c r="AD68" s="72" t="e">
        <f t="shared" si="57"/>
        <v>#REF!</v>
      </c>
    </row>
    <row r="69" spans="9:30">
      <c r="I69" s="74"/>
      <c r="J69" s="70"/>
      <c r="K69" s="73"/>
      <c r="L69" s="72"/>
      <c r="AA69" s="74" t="e">
        <f t="shared" si="58"/>
        <v>#REF!</v>
      </c>
      <c r="AB69" s="70" t="e">
        <f t="shared" si="59"/>
        <v>#REF!</v>
      </c>
      <c r="AC69" s="73" t="s">
        <v>147</v>
      </c>
      <c r="AD69" s="72" t="e">
        <f t="shared" si="57"/>
        <v>#REF!</v>
      </c>
    </row>
    <row r="70" spans="9:30">
      <c r="I70" s="74"/>
      <c r="J70" s="70"/>
      <c r="K70" s="73"/>
      <c r="L70" s="72"/>
      <c r="AA70" s="74" t="e">
        <f t="shared" si="58"/>
        <v>#REF!</v>
      </c>
      <c r="AB70" s="70" t="e">
        <f t="shared" si="59"/>
        <v>#REF!</v>
      </c>
      <c r="AC70" s="73" t="s">
        <v>147</v>
      </c>
      <c r="AD70" s="72" t="e">
        <f t="shared" si="57"/>
        <v>#REF!</v>
      </c>
    </row>
    <row r="71" spans="9:30">
      <c r="I71" s="74"/>
      <c r="J71" s="70"/>
      <c r="K71" s="73"/>
      <c r="L71" s="72"/>
      <c r="AA71" s="74" t="e">
        <f t="shared" si="58"/>
        <v>#REF!</v>
      </c>
      <c r="AB71" s="70" t="e">
        <f t="shared" si="59"/>
        <v>#REF!</v>
      </c>
      <c r="AC71" s="73" t="s">
        <v>147</v>
      </c>
      <c r="AD71" s="72" t="e">
        <f t="shared" si="57"/>
        <v>#REF!</v>
      </c>
    </row>
    <row r="72" spans="9:30">
      <c r="I72" s="74"/>
      <c r="J72" s="70"/>
      <c r="K72" s="73"/>
      <c r="L72" s="72"/>
      <c r="AA72" s="74" t="e">
        <f t="shared" si="58"/>
        <v>#REF!</v>
      </c>
      <c r="AB72" s="70" t="e">
        <f t="shared" si="59"/>
        <v>#REF!</v>
      </c>
      <c r="AC72" s="73" t="s">
        <v>147</v>
      </c>
      <c r="AD72" s="72" t="e">
        <f t="shared" si="57"/>
        <v>#REF!</v>
      </c>
    </row>
    <row r="73" spans="9:30">
      <c r="I73" s="74"/>
      <c r="J73" s="70"/>
      <c r="K73" s="73"/>
      <c r="L73" s="72"/>
      <c r="AA73" s="74" t="e">
        <f t="shared" si="58"/>
        <v>#REF!</v>
      </c>
      <c r="AB73" s="70" t="e">
        <f t="shared" si="59"/>
        <v>#REF!</v>
      </c>
      <c r="AC73" s="73" t="s">
        <v>147</v>
      </c>
      <c r="AD73" s="72" t="e">
        <f t="shared" si="57"/>
        <v>#REF!</v>
      </c>
    </row>
    <row r="74" spans="9:30">
      <c r="I74" s="72"/>
      <c r="J74"/>
      <c r="K74"/>
      <c r="L74"/>
    </row>
  </sheetData>
  <mergeCells count="5">
    <mergeCell ref="A1:D1"/>
    <mergeCell ref="A2:D2"/>
    <mergeCell ref="A4:D4"/>
    <mergeCell ref="A5:D5"/>
    <mergeCell ref="A3:D3"/>
  </mergeCells>
  <pageMargins left="1" right="0.75" top="0.5" bottom="0.41" header="0.5" footer="0.61"/>
  <pageSetup scale="8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workbookViewId="0">
      <selection activeCell="C64" sqref="C64"/>
    </sheetView>
  </sheetViews>
  <sheetFormatPr defaultRowHeight="12.75"/>
  <cols>
    <col min="1" max="1" width="4.7109375" style="4" customWidth="1"/>
    <col min="2" max="2" width="1.85546875" style="4" customWidth="1"/>
    <col min="3" max="3" width="20.42578125" style="4" customWidth="1"/>
    <col min="4" max="4" width="1.28515625" style="4" customWidth="1"/>
    <col min="5" max="5" width="16.5703125" style="4" bestFit="1" customWidth="1"/>
    <col min="6" max="6" width="1.5703125" style="4" customWidth="1"/>
    <col min="7" max="7" width="13.42578125" style="4" customWidth="1"/>
    <col min="8" max="8" width="1.42578125" style="4" customWidth="1"/>
    <col min="9" max="9" width="16.28515625" style="4" bestFit="1" customWidth="1"/>
    <col min="10" max="10" width="1.5703125" style="4" customWidth="1"/>
    <col min="11" max="11" width="15.28515625" style="4" bestFit="1" customWidth="1"/>
    <col min="12" max="12" width="1.140625" style="4" customWidth="1"/>
    <col min="13" max="13" width="16.28515625" style="4" bestFit="1" customWidth="1"/>
    <col min="14" max="14" width="1.5703125" style="4" customWidth="1"/>
    <col min="15" max="15" width="13.5703125" style="4" bestFit="1" customWidth="1"/>
    <col min="16" max="16" width="1.5703125" style="4" customWidth="1"/>
    <col min="17" max="17" width="9.42578125" style="4" customWidth="1"/>
    <col min="18" max="18" width="1.42578125" style="4" customWidth="1"/>
    <col min="19" max="19" width="9.140625" style="4" customWidth="1"/>
    <col min="20" max="20" width="1.7109375" style="4" customWidth="1"/>
    <col min="21" max="21" width="12" style="4" customWidth="1"/>
    <col min="22" max="22" width="1.28515625" style="4" customWidth="1"/>
    <col min="23" max="23" width="2.7109375" style="4" customWidth="1"/>
    <col min="24" max="24" width="9.140625" style="4"/>
    <col min="25" max="25" width="16.28515625" style="4" bestFit="1" customWidth="1"/>
    <col min="26" max="26" width="12.28515625" style="4" bestFit="1" customWidth="1"/>
    <col min="27" max="27" width="11.5703125" style="4" bestFit="1" customWidth="1"/>
    <col min="28" max="28" width="11.140625" style="4" bestFit="1" customWidth="1"/>
    <col min="29" max="16384" width="9.140625" style="4"/>
  </cols>
  <sheetData>
    <row r="1" spans="1:22">
      <c r="A1" s="1" t="str">
        <f>Contents!A1</f>
        <v>Louisville Gas and Electric Company</v>
      </c>
      <c r="B1" s="1"/>
      <c r="C1" s="1"/>
      <c r="D1" s="1"/>
      <c r="E1" s="1"/>
      <c r="F1" s="1"/>
      <c r="M1" s="16"/>
      <c r="U1" s="27" t="str">
        <f>Contents!A4</f>
        <v>Exhibit RCS-1</v>
      </c>
    </row>
    <row r="2" spans="1:22">
      <c r="A2" s="1" t="s">
        <v>207</v>
      </c>
      <c r="B2" s="1"/>
      <c r="C2" s="1"/>
      <c r="D2" s="1"/>
      <c r="E2" s="1"/>
      <c r="F2" s="1"/>
      <c r="M2" s="16"/>
      <c r="U2" s="27" t="s">
        <v>103</v>
      </c>
    </row>
    <row r="3" spans="1:22">
      <c r="A3" s="1"/>
      <c r="B3" s="1"/>
      <c r="C3" s="1"/>
      <c r="D3" s="1"/>
      <c r="E3" s="1"/>
      <c r="F3" s="1"/>
      <c r="M3" s="108"/>
      <c r="U3" s="27" t="str">
        <f>Contents!A2</f>
        <v>Case No. 2016-00371</v>
      </c>
    </row>
    <row r="4" spans="1:22">
      <c r="A4" s="1" t="s">
        <v>289</v>
      </c>
      <c r="B4" s="1"/>
      <c r="C4" s="1"/>
      <c r="D4" s="1"/>
      <c r="E4" s="1"/>
      <c r="F4" s="1"/>
      <c r="U4" s="27" t="s">
        <v>184</v>
      </c>
    </row>
    <row r="6" spans="1:22">
      <c r="O6" s="16" t="s">
        <v>183</v>
      </c>
      <c r="U6" s="16" t="s">
        <v>263</v>
      </c>
    </row>
    <row r="7" spans="1:22">
      <c r="A7" s="16"/>
      <c r="B7" s="16"/>
      <c r="C7" s="16"/>
      <c r="D7" s="16"/>
      <c r="E7" s="16"/>
      <c r="F7" s="16"/>
      <c r="G7" s="16" t="s">
        <v>206</v>
      </c>
      <c r="H7" s="16"/>
      <c r="I7" s="16"/>
      <c r="J7" s="16"/>
      <c r="K7" s="16"/>
      <c r="L7" s="16"/>
      <c r="M7" s="16"/>
      <c r="N7" s="16"/>
      <c r="O7" s="16" t="s">
        <v>203</v>
      </c>
      <c r="P7" s="16"/>
      <c r="Q7" s="16"/>
      <c r="R7" s="16"/>
      <c r="S7" s="16"/>
      <c r="T7" s="16"/>
      <c r="U7" s="16" t="s">
        <v>264</v>
      </c>
      <c r="V7" s="16"/>
    </row>
    <row r="8" spans="1:22">
      <c r="A8" s="16" t="s">
        <v>0</v>
      </c>
      <c r="B8" s="16"/>
      <c r="C8" s="16"/>
      <c r="D8" s="16"/>
      <c r="E8" s="16" t="s">
        <v>204</v>
      </c>
      <c r="F8" s="16"/>
      <c r="G8" s="16" t="s">
        <v>49</v>
      </c>
      <c r="H8" s="16"/>
      <c r="I8" s="16" t="s">
        <v>206</v>
      </c>
      <c r="J8" s="16"/>
      <c r="K8" s="16" t="s">
        <v>34</v>
      </c>
      <c r="L8" s="16"/>
      <c r="M8" s="16" t="s">
        <v>206</v>
      </c>
      <c r="N8" s="16"/>
      <c r="O8" s="16" t="s">
        <v>206</v>
      </c>
      <c r="P8" s="16"/>
      <c r="Q8" s="16" t="s">
        <v>157</v>
      </c>
      <c r="R8" s="16"/>
      <c r="S8" s="16" t="s">
        <v>20</v>
      </c>
      <c r="T8" s="16"/>
      <c r="U8" s="16" t="s">
        <v>262</v>
      </c>
      <c r="V8" s="16"/>
    </row>
    <row r="9" spans="1:22">
      <c r="A9" s="23" t="s">
        <v>2</v>
      </c>
      <c r="B9" s="16"/>
      <c r="C9" s="111" t="s">
        <v>3</v>
      </c>
      <c r="D9" s="16"/>
      <c r="E9" s="23" t="s">
        <v>205</v>
      </c>
      <c r="F9" s="16"/>
      <c r="G9" s="23" t="s">
        <v>259</v>
      </c>
      <c r="H9" s="16"/>
      <c r="I9" s="23" t="s">
        <v>21</v>
      </c>
      <c r="J9" s="16"/>
      <c r="K9" s="23" t="s">
        <v>16</v>
      </c>
      <c r="L9" s="16"/>
      <c r="M9" s="23" t="s">
        <v>260</v>
      </c>
      <c r="N9" s="16"/>
      <c r="O9" s="23" t="s">
        <v>21</v>
      </c>
      <c r="P9" s="16"/>
      <c r="Q9" s="23" t="s">
        <v>261</v>
      </c>
      <c r="R9" s="16"/>
      <c r="S9" s="23" t="s">
        <v>23</v>
      </c>
      <c r="T9" s="16"/>
      <c r="U9" s="23" t="s">
        <v>22</v>
      </c>
      <c r="V9" s="16"/>
    </row>
    <row r="10" spans="1:22">
      <c r="E10" s="16" t="s">
        <v>6</v>
      </c>
      <c r="F10" s="16"/>
      <c r="G10" s="16" t="s">
        <v>7</v>
      </c>
      <c r="H10" s="16"/>
      <c r="I10" s="16" t="s">
        <v>283</v>
      </c>
      <c r="J10" s="16"/>
      <c r="K10" s="16" t="s">
        <v>38</v>
      </c>
      <c r="L10" s="16"/>
      <c r="M10" s="16" t="s">
        <v>284</v>
      </c>
      <c r="N10" s="16"/>
      <c r="O10" s="16" t="s">
        <v>51</v>
      </c>
      <c r="P10" s="16"/>
      <c r="Q10" s="16" t="s">
        <v>52</v>
      </c>
      <c r="R10" s="16"/>
      <c r="S10" s="16" t="s">
        <v>71</v>
      </c>
      <c r="T10" s="16"/>
      <c r="U10" s="16" t="s">
        <v>126</v>
      </c>
      <c r="V10" s="16"/>
    </row>
    <row r="11" spans="1:22">
      <c r="C11" s="126" t="s">
        <v>122</v>
      </c>
    </row>
    <row r="12" spans="1:22">
      <c r="A12" s="112">
        <v>1</v>
      </c>
      <c r="C12" s="4" t="s">
        <v>26</v>
      </c>
      <c r="E12" s="4">
        <v>1790485620.5170054</v>
      </c>
      <c r="F12" s="4">
        <v>-540431.12109703722</v>
      </c>
      <c r="G12" s="141">
        <v>0.82579999999999998</v>
      </c>
      <c r="I12" s="109">
        <f>E12*G12</f>
        <v>1478583025.4229431</v>
      </c>
      <c r="K12" s="4">
        <v>-446724395.85850346</v>
      </c>
      <c r="M12" s="109">
        <f>I12+K12</f>
        <v>1031858629.5644397</v>
      </c>
      <c r="Q12" s="134">
        <f>I12/$I$15</f>
        <v>0.429122031305814</v>
      </c>
      <c r="R12" s="134"/>
      <c r="S12" s="133">
        <v>4.1167863220251344E-2</v>
      </c>
      <c r="T12" s="134"/>
      <c r="U12" s="134">
        <f>Q12*S12</f>
        <v>1.7666037089594164E-2</v>
      </c>
    </row>
    <row r="13" spans="1:22">
      <c r="A13" s="112">
        <f>A12+1</f>
        <v>2</v>
      </c>
      <c r="C13" s="4" t="s">
        <v>25</v>
      </c>
      <c r="E13" s="4">
        <v>159467796.15777439</v>
      </c>
      <c r="F13" s="4">
        <v>-30146.840487458645</v>
      </c>
      <c r="G13" s="141">
        <v>0.82579999999999998</v>
      </c>
      <c r="I13" s="109">
        <f t="shared" ref="I13:I14" si="0">E13*G13</f>
        <v>131688506.06709009</v>
      </c>
      <c r="K13" s="4">
        <v>-39787057.813342631</v>
      </c>
      <c r="M13" s="109">
        <f>I13+K13</f>
        <v>91901448.253747463</v>
      </c>
      <c r="Q13" s="134">
        <f t="shared" ref="Q13:Q14" si="1">I13/$I$15</f>
        <v>3.8219320965742258E-2</v>
      </c>
      <c r="R13" s="134"/>
      <c r="S13" s="136">
        <v>7.1687229005509669E-3</v>
      </c>
      <c r="T13" s="134"/>
      <c r="U13" s="134">
        <f>Q13*S13</f>
        <v>2.7398372145062423E-4</v>
      </c>
    </row>
    <row r="14" spans="1:22">
      <c r="A14" s="112">
        <f t="shared" ref="A14:A15" si="2">A13+1</f>
        <v>3</v>
      </c>
      <c r="C14" s="4" t="s">
        <v>27</v>
      </c>
      <c r="E14" s="4">
        <v>2222485866.0825648</v>
      </c>
      <c r="F14" s="4">
        <v>-1154801.3384155042</v>
      </c>
      <c r="G14" s="141">
        <v>0.82579999999999998</v>
      </c>
      <c r="I14" s="109">
        <f t="shared" si="0"/>
        <v>1835328828.2109821</v>
      </c>
      <c r="K14" s="4">
        <v>-554508030.92353964</v>
      </c>
      <c r="M14" s="109">
        <f t="shared" ref="M14" si="3">I14+K14</f>
        <v>1280820797.2874424</v>
      </c>
      <c r="Q14" s="134">
        <f t="shared" si="1"/>
        <v>0.53265864772844373</v>
      </c>
      <c r="R14" s="134"/>
      <c r="S14" s="136">
        <v>0.1023</v>
      </c>
      <c r="T14" s="134"/>
      <c r="U14" s="134">
        <f>Q14*S14</f>
        <v>5.4490979662619794E-2</v>
      </c>
    </row>
    <row r="15" spans="1:22" ht="13.5" thickBot="1">
      <c r="A15" s="112">
        <f t="shared" si="2"/>
        <v>4</v>
      </c>
      <c r="C15" s="4" t="s">
        <v>28</v>
      </c>
      <c r="E15" s="18">
        <f>SUM(E12:E14)</f>
        <v>4172439282.7573447</v>
      </c>
      <c r="F15" s="16"/>
      <c r="G15" s="16"/>
      <c r="H15" s="16"/>
      <c r="I15" s="18">
        <f t="shared" ref="I15:Q15" si="4">SUM(I12:I14)</f>
        <v>3445600359.7010155</v>
      </c>
      <c r="J15" s="16"/>
      <c r="K15" s="18">
        <f>SUM(K12:K14)</f>
        <v>-1041019484.5953858</v>
      </c>
      <c r="L15" s="16"/>
      <c r="M15" s="18">
        <f>SUM(M12:M14)</f>
        <v>2404580875.1056299</v>
      </c>
      <c r="N15" s="16"/>
      <c r="O15" s="16"/>
      <c r="P15" s="16"/>
      <c r="Q15" s="135">
        <f t="shared" si="4"/>
        <v>1</v>
      </c>
      <c r="R15" s="16"/>
      <c r="S15" s="44"/>
      <c r="T15" s="16"/>
      <c r="U15" s="135">
        <f>SUM(U12:U14)</f>
        <v>7.2431000473664575E-2</v>
      </c>
      <c r="V15" s="16"/>
    </row>
    <row r="16" spans="1:22" ht="13.5" thickTop="1">
      <c r="A16" s="11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8">
      <c r="A17" s="11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8">
      <c r="A18" s="16"/>
      <c r="C18" s="126" t="s">
        <v>237</v>
      </c>
      <c r="G18" s="16"/>
      <c r="O18" s="23" t="s">
        <v>534</v>
      </c>
    </row>
    <row r="19" spans="1:28">
      <c r="A19" s="112">
        <f>A15+1</f>
        <v>5</v>
      </c>
      <c r="C19" s="4" t="s">
        <v>26</v>
      </c>
      <c r="E19" s="4">
        <v>1790485620.51701</v>
      </c>
      <c r="F19" s="4">
        <v>-540431.12109703722</v>
      </c>
      <c r="G19" s="141">
        <v>0.82579999999999998</v>
      </c>
      <c r="I19" s="109">
        <f>E19*G19</f>
        <v>1478583025.4229467</v>
      </c>
      <c r="K19" s="4">
        <v>-446724395.85850346</v>
      </c>
      <c r="M19" s="109">
        <f>I19+K19</f>
        <v>1031858629.5644432</v>
      </c>
      <c r="O19" s="4">
        <f>'Dp3'!$S$13</f>
        <v>1091972166.5785</v>
      </c>
      <c r="Q19" s="134">
        <f>O19/$O$22</f>
        <v>0.45910000000000001</v>
      </c>
      <c r="R19" s="134"/>
      <c r="S19" s="193">
        <v>4.1000000000000002E-2</v>
      </c>
      <c r="T19" s="134"/>
      <c r="U19" s="134">
        <f>Q19*S19</f>
        <v>1.8823100000000002E-2</v>
      </c>
      <c r="Z19" s="85"/>
      <c r="AA19" s="85"/>
      <c r="AB19" s="85"/>
    </row>
    <row r="20" spans="1:28">
      <c r="A20" s="112">
        <f t="shared" ref="A20:A22" si="5">A19+1</f>
        <v>6</v>
      </c>
      <c r="C20" s="4" t="s">
        <v>25</v>
      </c>
      <c r="E20" s="4">
        <v>159467796.15777439</v>
      </c>
      <c r="F20" s="4">
        <v>-30146.840487458645</v>
      </c>
      <c r="G20" s="141">
        <v>0.82579999999999998</v>
      </c>
      <c r="I20" s="109">
        <f t="shared" ref="I20:I21" si="6">E20*G20</f>
        <v>131688506.06709009</v>
      </c>
      <c r="K20" s="4">
        <v>-39787057.813342631</v>
      </c>
      <c r="M20" s="109">
        <f>I20+K20</f>
        <v>91901448.253747463</v>
      </c>
      <c r="O20" s="4">
        <f>'Dp3'!$S$14</f>
        <v>97280900.921499997</v>
      </c>
      <c r="Q20" s="134">
        <f>O20/$O$22</f>
        <v>4.0899999999999999E-2</v>
      </c>
      <c r="R20" s="134"/>
      <c r="S20" s="133">
        <f>'Dp1'!$I$18</f>
        <v>7.1999999999999998E-3</v>
      </c>
      <c r="T20" s="134"/>
      <c r="U20" s="134">
        <f>Q20*S20</f>
        <v>2.9447999999999996E-4</v>
      </c>
      <c r="Z20" s="85"/>
      <c r="AA20" s="85"/>
    </row>
    <row r="21" spans="1:28">
      <c r="A21" s="112">
        <f t="shared" si="5"/>
        <v>7</v>
      </c>
      <c r="C21" s="4" t="s">
        <v>27</v>
      </c>
      <c r="E21" s="4">
        <v>2222485866.0825648</v>
      </c>
      <c r="F21" s="4">
        <v>-1154801.3384155042</v>
      </c>
      <c r="G21" s="141">
        <v>0.82579999999999998</v>
      </c>
      <c r="I21" s="109">
        <f t="shared" si="6"/>
        <v>1835328828.2109821</v>
      </c>
      <c r="K21" s="4">
        <v>-554508030.92353964</v>
      </c>
      <c r="M21" s="109">
        <f t="shared" ref="M21" si="7">I21+K21</f>
        <v>1280820797.2874424</v>
      </c>
      <c r="O21" s="4">
        <f>'Dp3'!$S$15</f>
        <v>1189253067.5</v>
      </c>
      <c r="Q21" s="134">
        <f>O21/$O$22</f>
        <v>0.5</v>
      </c>
      <c r="R21" s="134"/>
      <c r="S21" s="136">
        <v>8.7499999999999994E-2</v>
      </c>
      <c r="T21" s="134"/>
      <c r="U21" s="134">
        <f>Q21*S21</f>
        <v>4.3749999999999997E-2</v>
      </c>
      <c r="Z21" s="85"/>
      <c r="AA21" s="85"/>
      <c r="AB21" s="85"/>
    </row>
    <row r="22" spans="1:28" ht="13.5" thickBot="1">
      <c r="A22" s="112">
        <f t="shared" si="5"/>
        <v>8</v>
      </c>
      <c r="C22" s="4" t="s">
        <v>28</v>
      </c>
      <c r="E22" s="18">
        <f>SUM(E19:E21)</f>
        <v>4172439282.757349</v>
      </c>
      <c r="F22" s="16"/>
      <c r="G22" s="16"/>
      <c r="H22" s="16"/>
      <c r="I22" s="18">
        <f>SUM(I19:I21)</f>
        <v>3445600359.7010188</v>
      </c>
      <c r="J22" s="16"/>
      <c r="K22" s="18">
        <f>SUM(K19:K21)</f>
        <v>-1041019484.5953858</v>
      </c>
      <c r="L22" s="16"/>
      <c r="M22" s="18">
        <f>SUM(M19:M21)</f>
        <v>2404580875.1056328</v>
      </c>
      <c r="N22" s="16"/>
      <c r="O22" s="18">
        <f>SUM(O19:O21)</f>
        <v>2378506135</v>
      </c>
      <c r="P22" s="16"/>
      <c r="Q22" s="135">
        <f t="shared" ref="Q22" si="8">SUM(Q19:Q21)</f>
        <v>1</v>
      </c>
      <c r="R22" s="16"/>
      <c r="S22" s="44"/>
      <c r="T22" s="16"/>
      <c r="U22" s="135">
        <f>SUM(U19:U21)</f>
        <v>6.2867580000000006E-2</v>
      </c>
      <c r="V22" s="107"/>
    </row>
    <row r="23" spans="1:28" ht="13.5" thickTop="1">
      <c r="A23" s="16"/>
    </row>
    <row r="24" spans="1:28">
      <c r="A24" s="16"/>
    </row>
    <row r="25" spans="1:28">
      <c r="A25" s="111" t="s">
        <v>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8">
      <c r="A26" s="4" t="s">
        <v>610</v>
      </c>
    </row>
    <row r="27" spans="1:28">
      <c r="A27" s="4" t="s">
        <v>611</v>
      </c>
    </row>
    <row r="29" spans="1:28">
      <c r="A29" s="4" t="s">
        <v>609</v>
      </c>
      <c r="I29" s="125"/>
    </row>
    <row r="32" spans="1:28">
      <c r="A32" s="4" t="s">
        <v>236</v>
      </c>
    </row>
    <row r="33" spans="1:21">
      <c r="A33" s="4" t="s">
        <v>235</v>
      </c>
    </row>
    <row r="34" spans="1:21"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7" spans="1:21">
      <c r="A37" s="4" t="s">
        <v>236</v>
      </c>
    </row>
    <row r="38" spans="1:21">
      <c r="C38" s="4" t="s">
        <v>26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>
      <c r="C39" s="4" t="s">
        <v>27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>
      <c r="C40" s="4" t="s">
        <v>28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72" spans="23:23">
      <c r="W72" s="228"/>
    </row>
    <row r="73" spans="23:23">
      <c r="W73" s="228"/>
    </row>
    <row r="74" spans="23:23">
      <c r="W74" s="228"/>
    </row>
    <row r="75" spans="23:23">
      <c r="W75" s="228"/>
    </row>
    <row r="76" spans="23:23">
      <c r="W76" s="228"/>
    </row>
    <row r="77" spans="23:23">
      <c r="W77" s="228"/>
    </row>
    <row r="78" spans="23:23">
      <c r="W78" s="228"/>
    </row>
    <row r="79" spans="23:23">
      <c r="W79" s="228"/>
    </row>
  </sheetData>
  <mergeCells count="1">
    <mergeCell ref="W72:W79"/>
  </mergeCells>
  <pageMargins left="0.7" right="0.7" top="0.75" bottom="0.75" header="0.3" footer="0.3"/>
  <pageSetup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SheetLayoutView="90" workbookViewId="0">
      <selection activeCell="C64" sqref="C64"/>
    </sheetView>
  </sheetViews>
  <sheetFormatPr defaultRowHeight="12.75"/>
  <cols>
    <col min="1" max="1" width="6.28515625" style="1" customWidth="1"/>
    <col min="2" max="2" width="1.5703125" style="1" customWidth="1"/>
    <col min="3" max="3" width="27" style="1" bestFit="1" customWidth="1"/>
    <col min="4" max="4" width="1.28515625" style="1" customWidth="1"/>
    <col min="5" max="5" width="16.42578125" style="1" bestFit="1" customWidth="1"/>
    <col min="6" max="6" width="1.42578125" style="1" customWidth="1"/>
    <col min="7" max="7" width="15" style="1" bestFit="1" customWidth="1"/>
    <col min="8" max="8" width="1.28515625" style="1" customWidth="1"/>
    <col min="9" max="9" width="11.85546875" style="1" bestFit="1" customWidth="1"/>
    <col min="10" max="10" width="1.140625" style="1" customWidth="1"/>
    <col min="11" max="11" width="13.85546875" style="1" customWidth="1"/>
    <col min="12" max="12" width="1.140625" style="1" customWidth="1"/>
    <col min="13" max="13" width="13.85546875" style="1" customWidth="1"/>
    <col min="14" max="14" width="1" style="1" customWidth="1"/>
    <col min="15" max="15" width="15.28515625" style="1" bestFit="1" customWidth="1"/>
    <col min="16" max="16" width="1" style="1" customWidth="1"/>
    <col min="17" max="17" width="15" style="1" customWidth="1"/>
    <col min="18" max="18" width="1" style="1" customWidth="1"/>
    <col min="19" max="19" width="16.85546875" style="1" bestFit="1" customWidth="1"/>
    <col min="20" max="20" width="2.28515625" style="1" customWidth="1"/>
    <col min="21" max="21" width="17.28515625" style="1" customWidth="1"/>
    <col min="22" max="16384" width="9.140625" style="1"/>
  </cols>
  <sheetData>
    <row r="1" spans="1:21">
      <c r="A1" s="1" t="str">
        <f>Contents!A1</f>
        <v>Louisville Gas and Electric Company</v>
      </c>
      <c r="H1" s="10"/>
      <c r="O1" s="10"/>
      <c r="U1" s="27" t="str">
        <f>Contents!A4</f>
        <v>Exhibit RCS-1</v>
      </c>
    </row>
    <row r="2" spans="1:21">
      <c r="A2" s="1" t="s">
        <v>17</v>
      </c>
      <c r="H2" s="10"/>
      <c r="O2" s="10"/>
      <c r="U2" s="27" t="s">
        <v>103</v>
      </c>
    </row>
    <row r="3" spans="1:21">
      <c r="H3" s="10"/>
      <c r="O3" s="10"/>
      <c r="U3" s="27" t="str">
        <f>Contents!A2</f>
        <v>Case No. 2016-00371</v>
      </c>
    </row>
    <row r="4" spans="1:21">
      <c r="A4" s="1" t="s">
        <v>289</v>
      </c>
      <c r="H4" s="10"/>
      <c r="O4" s="10"/>
      <c r="U4" s="27" t="s">
        <v>185</v>
      </c>
    </row>
    <row r="5" spans="1:21" ht="12" customHeight="1">
      <c r="E5" s="16"/>
      <c r="H5" s="10"/>
      <c r="O5" s="10"/>
    </row>
    <row r="6" spans="1:21">
      <c r="H6" s="10"/>
      <c r="O6" s="10"/>
      <c r="S6" s="16" t="s">
        <v>203</v>
      </c>
    </row>
    <row r="7" spans="1:21">
      <c r="E7" s="92" t="s">
        <v>588</v>
      </c>
      <c r="G7" s="92"/>
      <c r="I7" s="92"/>
      <c r="K7" s="92" t="s">
        <v>182</v>
      </c>
      <c r="L7" s="92"/>
      <c r="M7" s="92" t="s">
        <v>495</v>
      </c>
      <c r="O7" s="10"/>
      <c r="Q7" s="92" t="s">
        <v>534</v>
      </c>
      <c r="S7" s="16" t="s">
        <v>202</v>
      </c>
    </row>
    <row r="8" spans="1:21">
      <c r="E8" s="92" t="s">
        <v>206</v>
      </c>
      <c r="G8" s="92"/>
      <c r="I8" s="92" t="s">
        <v>413</v>
      </c>
      <c r="K8" s="92" t="s">
        <v>230</v>
      </c>
      <c r="L8" s="92"/>
      <c r="M8" s="92" t="s">
        <v>496</v>
      </c>
      <c r="O8" s="92"/>
      <c r="Q8" s="44" t="s">
        <v>208</v>
      </c>
      <c r="S8" s="44" t="s">
        <v>206</v>
      </c>
    </row>
    <row r="9" spans="1:21">
      <c r="A9" s="16" t="s">
        <v>0</v>
      </c>
      <c r="B9" s="16"/>
      <c r="C9" s="16"/>
      <c r="D9" s="16"/>
      <c r="E9" s="92" t="s">
        <v>183</v>
      </c>
      <c r="G9" s="12" t="s">
        <v>343</v>
      </c>
      <c r="H9" s="13"/>
      <c r="I9" s="12" t="s">
        <v>414</v>
      </c>
      <c r="K9" s="92" t="s">
        <v>21</v>
      </c>
      <c r="L9" s="92"/>
      <c r="M9" s="92" t="s">
        <v>497</v>
      </c>
      <c r="O9" s="92" t="s">
        <v>224</v>
      </c>
      <c r="Q9" s="92" t="s">
        <v>298</v>
      </c>
      <c r="S9" s="44" t="s">
        <v>208</v>
      </c>
    </row>
    <row r="10" spans="1:21">
      <c r="A10" s="23" t="s">
        <v>2</v>
      </c>
      <c r="B10" s="16"/>
      <c r="C10" s="111" t="s">
        <v>3</v>
      </c>
      <c r="D10" s="16"/>
      <c r="E10" s="212" t="s">
        <v>208</v>
      </c>
      <c r="G10" s="11" t="s">
        <v>227</v>
      </c>
      <c r="I10" s="11" t="s">
        <v>228</v>
      </c>
      <c r="K10" s="11" t="s">
        <v>231</v>
      </c>
      <c r="L10" s="12"/>
      <c r="M10" s="186" t="s">
        <v>438</v>
      </c>
      <c r="O10" s="11" t="s">
        <v>4</v>
      </c>
      <c r="Q10" s="11" t="s">
        <v>299</v>
      </c>
      <c r="S10" s="11" t="s">
        <v>154</v>
      </c>
    </row>
    <row r="11" spans="1:21">
      <c r="A11" s="4"/>
      <c r="B11" s="4"/>
      <c r="C11" s="4"/>
      <c r="D11" s="4"/>
      <c r="E11" s="16" t="s">
        <v>6</v>
      </c>
      <c r="G11" s="92" t="s">
        <v>7</v>
      </c>
      <c r="H11" s="92"/>
      <c r="I11" s="92" t="s">
        <v>18</v>
      </c>
      <c r="J11" s="92"/>
      <c r="K11" s="92" t="s">
        <v>38</v>
      </c>
      <c r="L11" s="92"/>
      <c r="M11" s="92" t="s">
        <v>50</v>
      </c>
      <c r="N11" s="92"/>
      <c r="O11" s="92" t="s">
        <v>51</v>
      </c>
      <c r="Q11" s="92" t="s">
        <v>593</v>
      </c>
      <c r="S11" s="12" t="s">
        <v>602</v>
      </c>
    </row>
    <row r="12" spans="1:21">
      <c r="A12" s="4"/>
      <c r="B12" s="4"/>
      <c r="C12" s="45" t="s">
        <v>612</v>
      </c>
      <c r="D12" s="4"/>
    </row>
    <row r="13" spans="1:21">
      <c r="A13" s="112">
        <v>1</v>
      </c>
      <c r="B13" s="4"/>
      <c r="C13" s="4" t="s">
        <v>26</v>
      </c>
      <c r="D13" s="4"/>
      <c r="E13" s="4">
        <f>'Dp2'!M12</f>
        <v>1031858629.5644397</v>
      </c>
      <c r="G13" s="109">
        <f>K27*E44</f>
        <v>-1680043.5303580926</v>
      </c>
      <c r="H13" s="4"/>
      <c r="I13" s="109">
        <f>K27*E48</f>
        <v>-2025798.1354975002</v>
      </c>
      <c r="J13" s="4"/>
      <c r="K13" s="4">
        <f>E52*K27</f>
        <v>-580694.47140000004</v>
      </c>
      <c r="L13" s="4"/>
      <c r="M13" s="4">
        <f>K27*E57</f>
        <v>-7684376.8944886997</v>
      </c>
      <c r="N13" s="4"/>
      <c r="O13" s="4">
        <f>SUM(G13:M13)</f>
        <v>-11970913.031744294</v>
      </c>
      <c r="Q13" s="42">
        <f>E13+O13</f>
        <v>1019887716.5326954</v>
      </c>
      <c r="S13" s="42">
        <f>S27</f>
        <v>1091972166.5785</v>
      </c>
    </row>
    <row r="14" spans="1:21">
      <c r="A14" s="112">
        <v>2</v>
      </c>
      <c r="B14" s="4"/>
      <c r="C14" s="4" t="s">
        <v>25</v>
      </c>
      <c r="D14" s="4"/>
      <c r="E14" s="4">
        <f>'Dp2'!M13</f>
        <v>91901448.253747463</v>
      </c>
      <c r="G14" s="4">
        <f>K28*E44</f>
        <v>-149670.61727651051</v>
      </c>
      <c r="H14" s="4"/>
      <c r="I14" s="4">
        <f>K28*E48</f>
        <v>-180472.9770025</v>
      </c>
      <c r="J14" s="4"/>
      <c r="K14" s="4">
        <f>E52*K28</f>
        <v>-51732.528599999998</v>
      </c>
      <c r="L14" s="4"/>
      <c r="M14" s="4">
        <f>K28*E57</f>
        <v>-684580.73401129991</v>
      </c>
      <c r="N14" s="4"/>
      <c r="O14" s="4">
        <f>SUM(G14:M14)</f>
        <v>-1066456.8568903105</v>
      </c>
      <c r="Q14" s="42">
        <f t="shared" ref="Q14:Q15" si="0">E14+O14</f>
        <v>90834991.396857157</v>
      </c>
      <c r="S14" s="42">
        <f>S28</f>
        <v>97280900.921499997</v>
      </c>
    </row>
    <row r="15" spans="1:21">
      <c r="A15" s="112">
        <v>3</v>
      </c>
      <c r="B15" s="4"/>
      <c r="C15" s="4" t="s">
        <v>27</v>
      </c>
      <c r="D15" s="4"/>
      <c r="E15" s="4">
        <f>'Dp2'!M14</f>
        <v>1280820797.2874424</v>
      </c>
      <c r="G15" s="45">
        <f>K30*E44</f>
        <v>-1829714.1476346031</v>
      </c>
      <c r="H15" s="4"/>
      <c r="I15" s="45">
        <f>K30*E48</f>
        <v>-2206271.1125000003</v>
      </c>
      <c r="J15" s="4"/>
      <c r="K15" s="45">
        <f>E52*K30</f>
        <v>-632427</v>
      </c>
      <c r="L15" s="19"/>
      <c r="M15" s="19">
        <f>K30*E57</f>
        <v>-8368957.6284999996</v>
      </c>
      <c r="N15" s="4"/>
      <c r="O15" s="4">
        <f>SUM(G15:M15)</f>
        <v>-13037369.888634603</v>
      </c>
      <c r="Q15" s="42">
        <f t="shared" si="0"/>
        <v>1267783427.3988078</v>
      </c>
      <c r="S15" s="42">
        <f>S30</f>
        <v>1189253067.5</v>
      </c>
    </row>
    <row r="16" spans="1:21" ht="13.5" thickBot="1">
      <c r="A16" s="112">
        <v>4</v>
      </c>
      <c r="B16" s="4"/>
      <c r="C16" s="4" t="s">
        <v>28</v>
      </c>
      <c r="D16" s="4"/>
      <c r="E16" s="43">
        <f>SUM(E13:E15)</f>
        <v>2404580875.1056299</v>
      </c>
      <c r="G16" s="18">
        <f>SUM(G13:G15)</f>
        <v>-3659428.2952692062</v>
      </c>
      <c r="H16" s="4"/>
      <c r="I16" s="18">
        <f>SUM(I13:I15)</f>
        <v>-4412542.2250000006</v>
      </c>
      <c r="J16" s="4"/>
      <c r="K16" s="18">
        <f>SUM(K13:K15)</f>
        <v>-1264854</v>
      </c>
      <c r="L16" s="19"/>
      <c r="M16" s="18">
        <f>SUM(M13:M15)</f>
        <v>-16737915.256999999</v>
      </c>
      <c r="N16" s="4"/>
      <c r="O16" s="18">
        <f>SUM(O13:O15)</f>
        <v>-26074739.777269207</v>
      </c>
      <c r="Q16" s="18">
        <f>ROUND(SUM(Q13:Q15),0)</f>
        <v>2378506135</v>
      </c>
      <c r="S16" s="18">
        <f>ROUND(SUM(S13:S15),0)</f>
        <v>2378506135</v>
      </c>
    </row>
    <row r="17" spans="1:21" ht="13.5" thickTop="1">
      <c r="A17" s="112"/>
      <c r="B17" s="4"/>
      <c r="C17" s="4"/>
      <c r="D17" s="4"/>
    </row>
    <row r="20" spans="1:21">
      <c r="A20" s="2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13" t="s">
        <v>10</v>
      </c>
      <c r="B21" s="13"/>
      <c r="C21" s="13" t="s">
        <v>589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2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92" t="s">
        <v>294</v>
      </c>
      <c r="P22" s="13"/>
      <c r="Q22" s="92" t="s">
        <v>534</v>
      </c>
      <c r="R22" s="13"/>
      <c r="S22" s="92" t="s">
        <v>294</v>
      </c>
      <c r="U22" s="44" t="s">
        <v>206</v>
      </c>
    </row>
    <row r="23" spans="1:21">
      <c r="A23" s="1" t="s">
        <v>590</v>
      </c>
      <c r="G23" s="223" t="s">
        <v>594</v>
      </c>
      <c r="H23" s="223"/>
      <c r="I23" s="223"/>
      <c r="O23" s="92" t="s">
        <v>299</v>
      </c>
      <c r="Q23" s="214" t="str">
        <f>Q8</f>
        <v>Capitalization</v>
      </c>
      <c r="S23" s="92" t="s">
        <v>299</v>
      </c>
      <c r="U23" s="44" t="s">
        <v>208</v>
      </c>
    </row>
    <row r="24" spans="1:21">
      <c r="E24" s="92" t="s">
        <v>591</v>
      </c>
      <c r="G24" s="92" t="s">
        <v>595</v>
      </c>
      <c r="I24" s="1" t="s">
        <v>596</v>
      </c>
      <c r="K24" s="223" t="s">
        <v>604</v>
      </c>
      <c r="L24" s="223"/>
      <c r="M24" s="223"/>
      <c r="N24"/>
      <c r="O24" s="12" t="s">
        <v>597</v>
      </c>
      <c r="Q24" s="92" t="str">
        <f>Q9</f>
        <v>Before</v>
      </c>
      <c r="S24" s="12" t="s">
        <v>597</v>
      </c>
      <c r="U24" s="92" t="s">
        <v>297</v>
      </c>
    </row>
    <row r="25" spans="1:21">
      <c r="E25" s="11" t="s">
        <v>292</v>
      </c>
      <c r="G25" s="140" t="s">
        <v>208</v>
      </c>
      <c r="H25" s="92"/>
      <c r="I25" s="140" t="s">
        <v>293</v>
      </c>
      <c r="K25" s="140" t="s">
        <v>293</v>
      </c>
      <c r="L25" s="12"/>
      <c r="M25" s="140" t="s">
        <v>208</v>
      </c>
      <c r="N25"/>
      <c r="O25" s="2" t="s">
        <v>598</v>
      </c>
      <c r="Q25" s="215" t="str">
        <f>Q10</f>
        <v>Reapportionment</v>
      </c>
      <c r="S25" s="215" t="s">
        <v>599</v>
      </c>
      <c r="U25" s="23" t="s">
        <v>34</v>
      </c>
    </row>
    <row r="26" spans="1:21">
      <c r="E26" s="12" t="s">
        <v>126</v>
      </c>
      <c r="F26" s="92"/>
      <c r="G26" s="12" t="s">
        <v>199</v>
      </c>
      <c r="H26" s="92"/>
      <c r="I26" s="12" t="s">
        <v>200</v>
      </c>
      <c r="J26" s="92"/>
      <c r="K26" s="12" t="s">
        <v>605</v>
      </c>
      <c r="L26" s="12"/>
      <c r="M26" s="12" t="s">
        <v>201</v>
      </c>
      <c r="N26" s="92"/>
      <c r="O26" s="12" t="s">
        <v>300</v>
      </c>
      <c r="P26" s="92"/>
      <c r="Q26" s="92" t="s">
        <v>600</v>
      </c>
      <c r="R26" s="92"/>
      <c r="S26" s="92" t="s">
        <v>601</v>
      </c>
      <c r="U26" s="16" t="s">
        <v>603</v>
      </c>
    </row>
    <row r="27" spans="1:21">
      <c r="A27" s="92">
        <f>A16+1</f>
        <v>5</v>
      </c>
      <c r="C27" s="4" t="s">
        <v>26</v>
      </c>
      <c r="E27" s="5">
        <v>0.45910000000000001</v>
      </c>
      <c r="G27" s="4">
        <f>'Dp2'!M12</f>
        <v>1031858629.5644397</v>
      </c>
      <c r="I27" s="26">
        <f>G27/$G$31</f>
        <v>0.42912203130581394</v>
      </c>
      <c r="K27" s="26">
        <f>E27</f>
        <v>0.45910000000000001</v>
      </c>
      <c r="L27" s="26"/>
      <c r="M27" s="42">
        <f>$G$31*K27</f>
        <v>1103943079.7609947</v>
      </c>
      <c r="O27" s="42">
        <f>M27-G27</f>
        <v>72084450.196555018</v>
      </c>
      <c r="Q27" s="42">
        <f>Q13</f>
        <v>1019887716.5326954</v>
      </c>
      <c r="S27" s="42">
        <f>$Q$16*K27</f>
        <v>1091972166.5785</v>
      </c>
      <c r="U27" s="4">
        <f>S27-Q27</f>
        <v>72084450.04580462</v>
      </c>
    </row>
    <row r="28" spans="1:21">
      <c r="A28" s="92">
        <f>A27+1</f>
        <v>6</v>
      </c>
      <c r="C28" s="4" t="s">
        <v>25</v>
      </c>
      <c r="E28" s="213">
        <v>4.0899999999999999E-2</v>
      </c>
      <c r="G28" s="4">
        <f>'Dp2'!M13</f>
        <v>91901448.253747463</v>
      </c>
      <c r="I28" s="26">
        <f>G28/$G$31</f>
        <v>3.8219320965742258E-2</v>
      </c>
      <c r="K28" s="26">
        <f>E28</f>
        <v>4.0899999999999999E-2</v>
      </c>
      <c r="L28" s="26"/>
      <c r="M28" s="42">
        <f>$G$31*K28</f>
        <v>98347357.791820258</v>
      </c>
      <c r="O28" s="42">
        <f>M28-G28</f>
        <v>6445909.5380727947</v>
      </c>
      <c r="Q28" s="42">
        <f>Q14</f>
        <v>90834991.396857157</v>
      </c>
      <c r="S28" s="42">
        <f>$Q$16*K28</f>
        <v>97280900.921499997</v>
      </c>
      <c r="U28" s="4">
        <f>S28-Q28</f>
        <v>6445909.52464284</v>
      </c>
    </row>
    <row r="29" spans="1:21">
      <c r="A29" s="92">
        <f t="shared" ref="A29:A31" si="1">A28+1</f>
        <v>7</v>
      </c>
      <c r="C29" s="4" t="s">
        <v>291</v>
      </c>
      <c r="E29" s="5">
        <f>SUM(E27:E28)</f>
        <v>0.5</v>
      </c>
      <c r="G29" s="4"/>
      <c r="U29" s="4"/>
    </row>
    <row r="30" spans="1:21">
      <c r="A30" s="92">
        <f t="shared" si="1"/>
        <v>8</v>
      </c>
      <c r="C30" s="4" t="s">
        <v>27</v>
      </c>
      <c r="E30" s="5">
        <v>0.5</v>
      </c>
      <c r="G30" s="4">
        <f>'Dp2'!M14</f>
        <v>1280820797.2874424</v>
      </c>
      <c r="I30" s="26">
        <f>G30/$G$31</f>
        <v>0.53265864772844362</v>
      </c>
      <c r="K30" s="5">
        <f>E30</f>
        <v>0.5</v>
      </c>
      <c r="L30" s="5"/>
      <c r="M30" s="42">
        <f>$G$31*K30</f>
        <v>1202290437.552815</v>
      </c>
      <c r="O30" s="42">
        <f>M30-G30</f>
        <v>-78530359.734627485</v>
      </c>
      <c r="Q30" s="42">
        <f>Q15</f>
        <v>1267783427.3988078</v>
      </c>
      <c r="S30" s="42">
        <f>$Q$16*K30</f>
        <v>1189253067.5</v>
      </c>
      <c r="U30" s="45">
        <f>S30-Q30</f>
        <v>-78530359.898807764</v>
      </c>
    </row>
    <row r="31" spans="1:21" ht="13.5" thickBot="1">
      <c r="A31" s="92">
        <f t="shared" si="1"/>
        <v>9</v>
      </c>
      <c r="C31" s="4" t="s">
        <v>28</v>
      </c>
      <c r="E31" s="32">
        <f>SUM(E29:E30)</f>
        <v>1</v>
      </c>
      <c r="G31" s="18">
        <f>SUM(G27:G30)</f>
        <v>2404580875.1056299</v>
      </c>
      <c r="I31" s="32">
        <f>SUM(I27:I30)</f>
        <v>0.99999999999999978</v>
      </c>
      <c r="K31" s="32">
        <f>SUM(K27:K30)</f>
        <v>1</v>
      </c>
      <c r="L31" s="33"/>
      <c r="M31" s="18">
        <f>SUM(M27:M30)</f>
        <v>2404580875.1056299</v>
      </c>
      <c r="O31" s="18">
        <f>ROUND(SUM(O27:O30),0)</f>
        <v>0</v>
      </c>
      <c r="Q31" s="43">
        <f>SUM(Q27:Q30)</f>
        <v>2378506135.3283606</v>
      </c>
      <c r="S31" s="43">
        <f>SUM(S27:S30)</f>
        <v>2378506135</v>
      </c>
      <c r="U31" s="18">
        <f>ROUND(SUM(U27:U30),0)</f>
        <v>0</v>
      </c>
    </row>
    <row r="32" spans="1:21" ht="13.5" thickTop="1">
      <c r="A32"/>
      <c r="B32"/>
      <c r="C32"/>
      <c r="D32"/>
      <c r="E32"/>
      <c r="F32"/>
      <c r="G32" s="143"/>
      <c r="H32"/>
      <c r="I32"/>
      <c r="J32"/>
      <c r="K32"/>
      <c r="L32"/>
      <c r="M32"/>
    </row>
    <row r="33" spans="1:21">
      <c r="A33" s="1" t="s">
        <v>592</v>
      </c>
      <c r="B33"/>
      <c r="C33"/>
      <c r="D33"/>
      <c r="E33"/>
      <c r="F33"/>
      <c r="G33" s="143"/>
      <c r="H33"/>
      <c r="I33"/>
      <c r="J33"/>
      <c r="K33"/>
      <c r="L33"/>
      <c r="M33"/>
      <c r="U33" s="16"/>
    </row>
    <row r="34" spans="1:21">
      <c r="A34"/>
      <c r="B34"/>
      <c r="C34"/>
      <c r="D34"/>
      <c r="E34"/>
      <c r="F34"/>
      <c r="G34" s="143"/>
      <c r="H34"/>
      <c r="I34"/>
      <c r="J34"/>
      <c r="K34"/>
      <c r="L34"/>
      <c r="M34"/>
    </row>
    <row r="35" spans="1:21">
      <c r="A35" t="s">
        <v>295</v>
      </c>
      <c r="B35"/>
      <c r="C35"/>
      <c r="D35"/>
      <c r="E35"/>
      <c r="F35"/>
      <c r="G35" s="143"/>
      <c r="H35"/>
      <c r="I35"/>
      <c r="J35"/>
    </row>
    <row r="36" spans="1:21">
      <c r="A36"/>
      <c r="B36"/>
      <c r="C36"/>
      <c r="D36"/>
      <c r="E36"/>
      <c r="F36"/>
      <c r="G36" s="143"/>
      <c r="H36"/>
      <c r="I36"/>
      <c r="J36"/>
      <c r="K36" t="s">
        <v>296</v>
      </c>
      <c r="L36"/>
      <c r="M36"/>
    </row>
    <row r="37" spans="1:21">
      <c r="A37"/>
      <c r="B37"/>
      <c r="C37"/>
      <c r="D37"/>
      <c r="E37"/>
      <c r="F37"/>
      <c r="G37" s="143"/>
      <c r="H37"/>
      <c r="I37"/>
      <c r="J37"/>
      <c r="K37" s="142">
        <f>I30-K30</f>
        <v>3.2658647728443624E-2</v>
      </c>
      <c r="L37" s="142"/>
      <c r="M37" s="142"/>
    </row>
    <row r="38" spans="1:21">
      <c r="A38"/>
      <c r="B38"/>
      <c r="C38" s="4" t="s">
        <v>26</v>
      </c>
      <c r="D38"/>
      <c r="E38"/>
      <c r="F38"/>
      <c r="G38" s="143">
        <f>G27</f>
        <v>1031858629.5644397</v>
      </c>
      <c r="H38"/>
      <c r="I38">
        <f>G38/$G$40</f>
        <v>0.91821968935559906</v>
      </c>
      <c r="J38"/>
      <c r="K38">
        <f>$K$37*I38</f>
        <v>2.9987813371985444E-2</v>
      </c>
      <c r="L38"/>
      <c r="M38"/>
      <c r="O38" s="98">
        <v>1.0699764605178688</v>
      </c>
    </row>
    <row r="39" spans="1:21">
      <c r="A39"/>
      <c r="B39"/>
      <c r="C39" s="4" t="s">
        <v>25</v>
      </c>
      <c r="D39"/>
      <c r="E39"/>
      <c r="F39"/>
      <c r="G39" s="143">
        <f>G28</f>
        <v>91901448.253747463</v>
      </c>
      <c r="H39"/>
      <c r="I39">
        <f>G39/$G$40</f>
        <v>8.1780310644400889E-2</v>
      </c>
      <c r="J39"/>
      <c r="K39">
        <f>$K$37*I39</f>
        <v>2.6708343564581772E-3</v>
      </c>
      <c r="L39"/>
      <c r="M39"/>
      <c r="O39" s="98">
        <v>1.0699764605178688</v>
      </c>
    </row>
    <row r="40" spans="1:21">
      <c r="A40"/>
      <c r="B40"/>
      <c r="C40" t="s">
        <v>291</v>
      </c>
      <c r="D40"/>
      <c r="E40"/>
      <c r="F40"/>
      <c r="G40" s="143">
        <f>SUM(G38:G39)</f>
        <v>1123760077.8181872</v>
      </c>
      <c r="H40"/>
      <c r="I40">
        <f>SUM(I38:I39)</f>
        <v>1</v>
      </c>
      <c r="J40"/>
      <c r="K40">
        <f>SUM(K38:K39)</f>
        <v>3.2658647728443624E-2</v>
      </c>
      <c r="L40"/>
      <c r="M40"/>
      <c r="O40" s="98">
        <v>0.93861460484325132</v>
      </c>
    </row>
    <row r="41" spans="1:21">
      <c r="A41"/>
      <c r="B41"/>
      <c r="C41"/>
      <c r="D41"/>
      <c r="E41"/>
      <c r="F41"/>
      <c r="G41" s="143"/>
      <c r="H41"/>
      <c r="I41"/>
      <c r="J41"/>
      <c r="K41"/>
      <c r="L41"/>
      <c r="M41"/>
    </row>
    <row r="43" spans="1:21">
      <c r="C43" s="1" t="s">
        <v>344</v>
      </c>
    </row>
    <row r="44" spans="1:21">
      <c r="C44" s="1" t="s">
        <v>345</v>
      </c>
      <c r="E44" s="4">
        <f>B.1!G37</f>
        <v>-3659428.2952692062</v>
      </c>
    </row>
    <row r="45" spans="1:21">
      <c r="C45" s="1" t="s">
        <v>346</v>
      </c>
      <c r="E45" s="42">
        <f>G16</f>
        <v>-3659428.2952692062</v>
      </c>
    </row>
    <row r="46" spans="1:21">
      <c r="E46" s="153">
        <f>E44-E45</f>
        <v>0</v>
      </c>
    </row>
    <row r="47" spans="1:21">
      <c r="C47" s="1" t="s">
        <v>402</v>
      </c>
      <c r="E47" s="38"/>
    </row>
    <row r="48" spans="1:21">
      <c r="C48" s="1" t="s">
        <v>411</v>
      </c>
      <c r="E48" s="38">
        <f>B.1!H37</f>
        <v>-4412542.2250000006</v>
      </c>
    </row>
    <row r="49" spans="3:5">
      <c r="C49" s="1" t="s">
        <v>412</v>
      </c>
      <c r="E49" s="61">
        <f>I16</f>
        <v>-4412542.2250000006</v>
      </c>
    </row>
    <row r="50" spans="3:5">
      <c r="E50" s="38">
        <f>E48-E49</f>
        <v>0</v>
      </c>
    </row>
    <row r="51" spans="3:5">
      <c r="C51" s="1" t="s">
        <v>354</v>
      </c>
    </row>
    <row r="52" spans="3:5">
      <c r="C52" s="1" t="s">
        <v>355</v>
      </c>
      <c r="E52" s="4">
        <f>B.1!I37</f>
        <v>-1264854</v>
      </c>
    </row>
    <row r="53" spans="3:5">
      <c r="C53" s="1" t="s">
        <v>356</v>
      </c>
      <c r="E53" s="4">
        <f>K16</f>
        <v>-1264854</v>
      </c>
    </row>
    <row r="54" spans="3:5">
      <c r="E54" s="153">
        <f>E52-E53</f>
        <v>0</v>
      </c>
    </row>
    <row r="56" spans="3:5">
      <c r="C56" s="1" t="s">
        <v>422</v>
      </c>
    </row>
    <row r="57" spans="3:5">
      <c r="C57" s="1" t="s">
        <v>493</v>
      </c>
      <c r="E57" s="4">
        <f>B.1!J37</f>
        <v>-16737915.256999999</v>
      </c>
    </row>
    <row r="58" spans="3:5">
      <c r="C58" s="1" t="s">
        <v>494</v>
      </c>
      <c r="E58" s="45">
        <f>M16</f>
        <v>-16737915.256999999</v>
      </c>
    </row>
    <row r="59" spans="3:5">
      <c r="E59" s="4">
        <f>E57-E58</f>
        <v>0</v>
      </c>
    </row>
  </sheetData>
  <mergeCells count="2">
    <mergeCell ref="G23:I23"/>
    <mergeCell ref="K24:M24"/>
  </mergeCells>
  <pageMargins left="0.7" right="0.7" top="0.75" bottom="0.75" header="0.3" footer="0.3"/>
  <pageSetup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34"/>
  <sheetViews>
    <sheetView workbookViewId="0">
      <selection activeCell="C64" sqref="C64"/>
    </sheetView>
  </sheetViews>
  <sheetFormatPr defaultRowHeight="12.75"/>
  <cols>
    <col min="1" max="1" width="5.42578125" style="1" customWidth="1"/>
    <col min="2" max="2" width="3.7109375" style="1" customWidth="1"/>
    <col min="3" max="3" width="45.42578125" style="1" customWidth="1"/>
    <col min="4" max="4" width="2.85546875" style="1" customWidth="1"/>
    <col min="5" max="5" width="15.85546875" style="1" customWidth="1"/>
    <col min="6" max="6" width="2.85546875" style="1" customWidth="1"/>
    <col min="7" max="7" width="16.140625" style="1" customWidth="1"/>
    <col min="8" max="8" width="3.7109375" style="1" customWidth="1"/>
    <col min="9" max="9" width="15.140625" style="1" customWidth="1"/>
    <col min="10" max="10" width="3" style="1" customWidth="1"/>
    <col min="11" max="11" width="13" style="1" customWidth="1"/>
    <col min="12" max="12" width="3.140625" style="1" customWidth="1"/>
    <col min="13" max="13" width="13.42578125" style="1" customWidth="1"/>
    <col min="14" max="14" width="2.85546875" style="1" customWidth="1"/>
    <col min="15" max="15" width="13.5703125" style="1" customWidth="1"/>
    <col min="16" max="16384" width="9.140625" style="1"/>
  </cols>
  <sheetData>
    <row r="1" spans="1:15">
      <c r="A1" s="1" t="s">
        <v>281</v>
      </c>
      <c r="O1" s="27" t="s">
        <v>176</v>
      </c>
    </row>
    <row r="2" spans="1:15">
      <c r="A2" s="1" t="s">
        <v>315</v>
      </c>
      <c r="O2" s="27" t="s">
        <v>210</v>
      </c>
    </row>
    <row r="3" spans="1:15">
      <c r="O3" s="27" t="s">
        <v>282</v>
      </c>
    </row>
    <row r="4" spans="1:15">
      <c r="A4" s="1" t="s">
        <v>289</v>
      </c>
      <c r="O4" s="27" t="s">
        <v>37</v>
      </c>
    </row>
    <row r="5" spans="1:15">
      <c r="A5" s="178"/>
      <c r="B5" s="178"/>
    </row>
    <row r="6" spans="1:15">
      <c r="I6" s="92" t="s">
        <v>316</v>
      </c>
    </row>
    <row r="7" spans="1:15" ht="25.5">
      <c r="A7" s="60" t="s">
        <v>40</v>
      </c>
      <c r="B7" s="179"/>
      <c r="C7" s="2" t="s">
        <v>317</v>
      </c>
      <c r="E7" s="175" t="s">
        <v>318</v>
      </c>
      <c r="G7" s="60" t="s">
        <v>319</v>
      </c>
      <c r="I7" s="60" t="s">
        <v>320</v>
      </c>
      <c r="K7" s="60" t="s">
        <v>321</v>
      </c>
      <c r="M7" s="60" t="s">
        <v>322</v>
      </c>
      <c r="O7" s="60" t="s">
        <v>315</v>
      </c>
    </row>
    <row r="8" spans="1:15">
      <c r="A8" s="92"/>
      <c r="E8" s="180" t="s">
        <v>6</v>
      </c>
      <c r="F8" s="180"/>
      <c r="G8" s="180" t="s">
        <v>7</v>
      </c>
      <c r="I8" s="92" t="s">
        <v>8</v>
      </c>
      <c r="K8" s="92" t="s">
        <v>38</v>
      </c>
      <c r="M8" s="92" t="s">
        <v>323</v>
      </c>
      <c r="O8" s="92" t="s">
        <v>324</v>
      </c>
    </row>
    <row r="9" spans="1:15">
      <c r="A9" s="92"/>
      <c r="C9" s="1" t="s">
        <v>325</v>
      </c>
      <c r="E9" s="181"/>
      <c r="F9" s="181"/>
      <c r="G9" s="181"/>
    </row>
    <row r="10" spans="1:15">
      <c r="A10" s="182">
        <v>1</v>
      </c>
      <c r="B10" s="183"/>
      <c r="C10" s="1" t="s">
        <v>313</v>
      </c>
      <c r="E10" s="4">
        <v>4207210708.5099988</v>
      </c>
      <c r="F10" s="4"/>
      <c r="G10" s="4">
        <v>4328499783.1495361</v>
      </c>
      <c r="I10" s="181">
        <f>G10-E10</f>
        <v>121289074.63953733</v>
      </c>
      <c r="K10" s="184">
        <v>0.98111000000000004</v>
      </c>
      <c r="M10" s="4">
        <f>I10*K10</f>
        <v>118997924.01959647</v>
      </c>
      <c r="O10" s="42">
        <f>M10-I10</f>
        <v>-2291150.6199408621</v>
      </c>
    </row>
    <row r="11" spans="1:15">
      <c r="A11" s="182">
        <v>2</v>
      </c>
      <c r="B11" s="183"/>
      <c r="C11" s="1" t="s">
        <v>326</v>
      </c>
      <c r="E11" s="4">
        <v>3126749.9</v>
      </c>
      <c r="F11" s="4"/>
      <c r="G11" s="4">
        <v>3126749.9</v>
      </c>
    </row>
    <row r="12" spans="1:15">
      <c r="A12" s="182">
        <v>3</v>
      </c>
      <c r="B12" s="183"/>
      <c r="C12" s="1" t="s">
        <v>327</v>
      </c>
      <c r="E12" s="45">
        <v>-1644456701.6564867</v>
      </c>
      <c r="F12" s="4"/>
      <c r="G12" s="45">
        <v>-1684052745.3081272</v>
      </c>
      <c r="I12" s="45"/>
      <c r="M12" s="45"/>
      <c r="O12" s="45"/>
    </row>
    <row r="13" spans="1:15">
      <c r="A13" s="182">
        <v>4</v>
      </c>
      <c r="B13" s="183"/>
      <c r="C13" s="1" t="s">
        <v>328</v>
      </c>
      <c r="E13" s="4">
        <f>SUM(E10:E12)</f>
        <v>2565880756.7535124</v>
      </c>
      <c r="F13" s="4"/>
      <c r="G13" s="4">
        <f>SUM(G10:G12)</f>
        <v>2647573787.7414083</v>
      </c>
      <c r="I13" s="4">
        <f>SUM(I10:I12)</f>
        <v>121289074.63953733</v>
      </c>
      <c r="M13" s="4">
        <f>SUM(M10:M12)</f>
        <v>118997924.01959647</v>
      </c>
      <c r="O13" s="4">
        <f>SUM(O10:O12)</f>
        <v>-2291150.6199408621</v>
      </c>
    </row>
    <row r="14" spans="1:15">
      <c r="A14" s="182">
        <v>5</v>
      </c>
      <c r="B14" s="183"/>
      <c r="C14" s="1" t="s">
        <v>329</v>
      </c>
      <c r="E14" s="45">
        <v>51107759.286000006</v>
      </c>
      <c r="F14" s="4"/>
      <c r="G14" s="45">
        <v>123541728.33461538</v>
      </c>
      <c r="I14" s="45">
        <f>G14-E14</f>
        <v>72433969.048615366</v>
      </c>
      <c r="K14" s="184">
        <v>0.98111000000000004</v>
      </c>
      <c r="M14" s="45">
        <f>I14*K14</f>
        <v>71065691.373287022</v>
      </c>
      <c r="O14" s="45">
        <f>M14-I14</f>
        <v>-1368277.6753283441</v>
      </c>
    </row>
    <row r="15" spans="1:15">
      <c r="A15" s="182">
        <v>6</v>
      </c>
      <c r="B15" s="183"/>
      <c r="C15" s="1" t="s">
        <v>330</v>
      </c>
      <c r="E15" s="4">
        <f>SUM(E13:E14)</f>
        <v>2616988516.0395122</v>
      </c>
      <c r="F15" s="4"/>
      <c r="G15" s="4">
        <f>SUM(G13:G14)</f>
        <v>2771115516.0760236</v>
      </c>
      <c r="I15" s="4">
        <f>SUM(I13:I14)</f>
        <v>193723043.6881527</v>
      </c>
      <c r="M15" s="4">
        <f>SUM(M13:M14)</f>
        <v>190063615.39288348</v>
      </c>
      <c r="O15" s="4">
        <f>SUM(O13:O14)</f>
        <v>-3659428.2952692062</v>
      </c>
    </row>
    <row r="16" spans="1:15">
      <c r="A16" s="182"/>
      <c r="B16" s="183"/>
      <c r="E16" s="4"/>
      <c r="F16" s="4"/>
      <c r="G16" s="4"/>
      <c r="I16" s="4"/>
      <c r="M16" s="4"/>
      <c r="O16" s="4"/>
    </row>
    <row r="17" spans="1:15">
      <c r="A17" s="182">
        <v>7</v>
      </c>
      <c r="B17" s="183"/>
      <c r="C17" s="1" t="s">
        <v>331</v>
      </c>
      <c r="E17" s="4">
        <v>72363639.905855834</v>
      </c>
      <c r="F17" s="4"/>
      <c r="G17" s="4">
        <v>75842724.014199704</v>
      </c>
      <c r="I17" s="4"/>
      <c r="M17" s="4"/>
      <c r="O17" s="4"/>
    </row>
    <row r="18" spans="1:15">
      <c r="A18" s="182">
        <v>8</v>
      </c>
      <c r="B18" s="183"/>
      <c r="C18" s="1" t="s">
        <v>332</v>
      </c>
      <c r="E18" s="4">
        <v>108112780.92880094</v>
      </c>
      <c r="F18" s="4"/>
      <c r="G18" s="4">
        <v>87157744.102050006</v>
      </c>
      <c r="I18" s="4"/>
      <c r="M18" s="4"/>
      <c r="O18" s="4"/>
    </row>
    <row r="19" spans="1:15">
      <c r="A19" s="182">
        <v>9</v>
      </c>
      <c r="B19" s="183"/>
      <c r="C19" s="1" t="s">
        <v>269</v>
      </c>
      <c r="E19" s="4">
        <v>-6931722.299990247</v>
      </c>
      <c r="F19" s="4"/>
      <c r="G19" s="4">
        <v>-6724403.8100000015</v>
      </c>
      <c r="I19" s="4"/>
      <c r="M19" s="4"/>
      <c r="O19" s="4"/>
    </row>
    <row r="20" spans="1:15">
      <c r="A20" s="182">
        <v>10</v>
      </c>
      <c r="B20" s="183"/>
      <c r="C20" s="1" t="s">
        <v>333</v>
      </c>
      <c r="E20" s="4">
        <v>-492485862.24030906</v>
      </c>
      <c r="F20" s="4"/>
      <c r="G20" s="4">
        <v>-546457652.46541476</v>
      </c>
      <c r="I20" s="4"/>
      <c r="M20" s="4"/>
      <c r="O20" s="4"/>
    </row>
    <row r="21" spans="1:15">
      <c r="A21" s="182">
        <v>11</v>
      </c>
      <c r="B21" s="183"/>
      <c r="C21" s="1" t="s">
        <v>334</v>
      </c>
      <c r="E21" s="4">
        <v>0</v>
      </c>
      <c r="F21" s="4"/>
      <c r="G21" s="4">
        <v>0</v>
      </c>
      <c r="I21" s="4"/>
      <c r="M21" s="4"/>
      <c r="O21" s="4"/>
    </row>
    <row r="22" spans="1:15">
      <c r="A22" s="182">
        <v>12</v>
      </c>
      <c r="B22" s="183"/>
      <c r="C22" s="1" t="s">
        <v>335</v>
      </c>
      <c r="E22" s="4">
        <v>0</v>
      </c>
      <c r="F22" s="4"/>
      <c r="G22" s="4">
        <v>0</v>
      </c>
      <c r="I22" s="4"/>
      <c r="M22" s="4"/>
      <c r="O22" s="4"/>
    </row>
    <row r="23" spans="1:15">
      <c r="A23" s="182"/>
      <c r="B23" s="183"/>
      <c r="E23" s="4"/>
      <c r="F23" s="4"/>
      <c r="G23" s="4"/>
      <c r="I23" s="4"/>
      <c r="M23" s="4"/>
      <c r="O23" s="4"/>
    </row>
    <row r="24" spans="1:15" ht="13.5" thickBot="1">
      <c r="A24" s="182">
        <v>13</v>
      </c>
      <c r="B24" s="183"/>
      <c r="C24" s="1" t="s">
        <v>336</v>
      </c>
      <c r="E24" s="18">
        <f>SUM(E15:E22)</f>
        <v>2298047352.3338695</v>
      </c>
      <c r="F24" s="4"/>
      <c r="G24" s="18">
        <f>SUM(G15:G22)</f>
        <v>2380933927.9168587</v>
      </c>
      <c r="I24" s="18">
        <f>SUM(I15:I22)</f>
        <v>193723043.6881527</v>
      </c>
      <c r="M24" s="18">
        <f>SUM(M15:M22)</f>
        <v>190063615.39288348</v>
      </c>
      <c r="O24" s="18">
        <f>SUM(O15:O22)</f>
        <v>-3659428.2952692062</v>
      </c>
    </row>
    <row r="25" spans="1:15" ht="13.5" thickTop="1">
      <c r="A25" s="183"/>
      <c r="B25" s="183"/>
      <c r="E25" s="181"/>
      <c r="F25" s="181"/>
      <c r="G25" s="181"/>
    </row>
    <row r="26" spans="1:15">
      <c r="A26" s="2" t="s">
        <v>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1" t="s">
        <v>337</v>
      </c>
    </row>
    <row r="28" spans="1:15">
      <c r="A28" s="1" t="s">
        <v>338</v>
      </c>
    </row>
    <row r="29" spans="1:15">
      <c r="A29" s="1" t="s">
        <v>339</v>
      </c>
      <c r="M29" s="4"/>
    </row>
    <row r="32" spans="1:15">
      <c r="A32" s="1" t="s">
        <v>340</v>
      </c>
    </row>
    <row r="33" spans="3:7">
      <c r="C33" s="1" t="s">
        <v>341</v>
      </c>
      <c r="E33" s="4">
        <v>2298047352.3338695</v>
      </c>
      <c r="F33" s="4"/>
      <c r="G33" s="4">
        <v>2380933927.9168587</v>
      </c>
    </row>
    <row r="34" spans="3:7">
      <c r="C34" s="1" t="s">
        <v>342</v>
      </c>
      <c r="E34" s="42">
        <f>E24-E33</f>
        <v>0</v>
      </c>
      <c r="G34" s="42">
        <f>G24-G33</f>
        <v>0</v>
      </c>
    </row>
  </sheetData>
  <pageMargins left="0.75" right="0.5" top="1" bottom="1" header="0.5" footer="0.5"/>
  <pageSetup scale="78" fitToHeight="3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>
      <selection activeCell="C35" sqref="C35"/>
    </sheetView>
  </sheetViews>
  <sheetFormatPr defaultRowHeight="12.75"/>
  <cols>
    <col min="1" max="1" width="5" style="1" customWidth="1"/>
    <col min="2" max="2" width="1" style="1" customWidth="1"/>
    <col min="3" max="3" width="76.85546875" style="1" customWidth="1"/>
    <col min="4" max="4" width="1.28515625" style="1" customWidth="1"/>
    <col min="5" max="5" width="13.28515625" style="1" customWidth="1"/>
    <col min="6" max="6" width="1.140625" style="1" customWidth="1"/>
    <col min="7" max="7" width="11.140625" style="1" bestFit="1" customWidth="1"/>
    <col min="8" max="8" width="1.28515625" style="1" customWidth="1"/>
    <col min="9" max="9" width="11.140625" style="1" customWidth="1"/>
    <col min="10" max="10" width="1.28515625" style="1" customWidth="1"/>
    <col min="11" max="11" width="12.28515625" style="1" customWidth="1"/>
    <col min="12" max="12" width="1" style="1" customWidth="1"/>
    <col min="13" max="13" width="11.140625" style="1" bestFit="1" customWidth="1"/>
    <col min="14" max="14" width="1.140625" style="1" customWidth="1"/>
    <col min="15" max="15" width="11.28515625" style="1" bestFit="1" customWidth="1"/>
    <col min="16" max="16384" width="9.140625" style="1"/>
  </cols>
  <sheetData>
    <row r="1" spans="1:16">
      <c r="A1" s="1" t="str">
        <f>Contents!A1</f>
        <v>Louisville Gas and Electric Company</v>
      </c>
      <c r="K1" s="27" t="str">
        <f>Contents!A4</f>
        <v>Exhibit RCS-1</v>
      </c>
    </row>
    <row r="2" spans="1:16">
      <c r="A2" s="1" t="s">
        <v>402</v>
      </c>
      <c r="K2" s="27" t="s">
        <v>211</v>
      </c>
    </row>
    <row r="3" spans="1:16">
      <c r="K3" s="27" t="str">
        <f>Contents!A2</f>
        <v>Case No. 2016-00371</v>
      </c>
    </row>
    <row r="4" spans="1:16">
      <c r="A4" s="1" t="s">
        <v>289</v>
      </c>
      <c r="K4" s="27" t="s">
        <v>37</v>
      </c>
    </row>
    <row r="6" spans="1:16">
      <c r="G6" s="92" t="s">
        <v>202</v>
      </c>
      <c r="H6" s="92"/>
      <c r="I6" s="92"/>
      <c r="J6" s="92"/>
      <c r="K6" s="92"/>
    </row>
    <row r="7" spans="1:16">
      <c r="A7" s="92" t="s">
        <v>0</v>
      </c>
      <c r="G7" s="92" t="s">
        <v>206</v>
      </c>
      <c r="H7" s="92"/>
      <c r="I7" s="92"/>
      <c r="J7" s="92"/>
      <c r="K7" s="92"/>
    </row>
    <row r="8" spans="1:16">
      <c r="A8" s="175" t="s">
        <v>2</v>
      </c>
      <c r="C8" s="2" t="s">
        <v>3</v>
      </c>
      <c r="D8" s="13"/>
      <c r="E8" s="13"/>
      <c r="G8" s="175" t="s">
        <v>16</v>
      </c>
      <c r="H8" s="12"/>
      <c r="I8" s="218" t="s">
        <v>15</v>
      </c>
      <c r="J8" s="92"/>
      <c r="K8" s="12"/>
    </row>
    <row r="9" spans="1:16">
      <c r="G9" s="92" t="s">
        <v>6</v>
      </c>
      <c r="H9" s="92"/>
    </row>
    <row r="10" spans="1:16">
      <c r="G10" s="13"/>
      <c r="H10" s="13"/>
    </row>
    <row r="11" spans="1:16" ht="15" customHeight="1" thickBot="1">
      <c r="A11" s="92">
        <v>1</v>
      </c>
      <c r="C11" s="1" t="s">
        <v>403</v>
      </c>
      <c r="G11" s="20">
        <f>-I23</f>
        <v>-4412542.2250000006</v>
      </c>
      <c r="H11" s="19"/>
      <c r="I11" s="92" t="s">
        <v>502</v>
      </c>
      <c r="K11" s="92"/>
    </row>
    <row r="12" spans="1:16" ht="13.5" thickTop="1"/>
    <row r="14" spans="1:16">
      <c r="A14" s="2" t="s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3"/>
      <c r="M14" s="13"/>
      <c r="N14" s="13"/>
      <c r="O14" s="13"/>
      <c r="P14" s="13"/>
    </row>
    <row r="15" spans="1:16">
      <c r="K15" s="92"/>
    </row>
    <row r="16" spans="1:16">
      <c r="E16" s="92" t="s">
        <v>405</v>
      </c>
      <c r="G16" s="92" t="s">
        <v>405</v>
      </c>
      <c r="H16" s="92"/>
      <c r="I16" s="92" t="s">
        <v>627</v>
      </c>
      <c r="J16" s="92"/>
      <c r="K16" s="92"/>
    </row>
    <row r="17" spans="1:13">
      <c r="C17" s="2" t="s">
        <v>3</v>
      </c>
      <c r="D17" s="13"/>
      <c r="E17" s="190" t="s">
        <v>379</v>
      </c>
      <c r="G17" s="218" t="s">
        <v>16</v>
      </c>
      <c r="H17" s="12"/>
      <c r="I17" s="215" t="s">
        <v>628</v>
      </c>
      <c r="K17" s="190" t="s">
        <v>15</v>
      </c>
      <c r="M17" s="12"/>
    </row>
    <row r="18" spans="1:13">
      <c r="C18" s="13"/>
      <c r="D18" s="13"/>
      <c r="E18" s="12"/>
      <c r="G18" s="12" t="s">
        <v>7</v>
      </c>
      <c r="H18" s="12"/>
      <c r="I18" s="12" t="s">
        <v>18</v>
      </c>
      <c r="K18" s="12"/>
      <c r="M18" s="12"/>
    </row>
    <row r="19" spans="1:13">
      <c r="A19" s="92">
        <v>2</v>
      </c>
      <c r="C19" s="1" t="s">
        <v>500</v>
      </c>
      <c r="E19" s="92">
        <v>365</v>
      </c>
      <c r="G19" s="4">
        <v>8638000</v>
      </c>
      <c r="H19" s="4"/>
      <c r="I19" s="4">
        <f>ROUND(G19/2,0)</f>
        <v>4319000</v>
      </c>
      <c r="K19" s="92" t="s">
        <v>43</v>
      </c>
      <c r="M19" s="92"/>
    </row>
    <row r="20" spans="1:13">
      <c r="A20" s="92">
        <v>3</v>
      </c>
      <c r="C20" s="1" t="s">
        <v>407</v>
      </c>
      <c r="E20" s="92">
        <v>397</v>
      </c>
      <c r="G20" s="45">
        <v>357000</v>
      </c>
      <c r="H20" s="19"/>
      <c r="I20" s="45">
        <f>ROUND(G20/2,0)</f>
        <v>178500</v>
      </c>
      <c r="K20" s="92" t="s">
        <v>43</v>
      </c>
      <c r="M20" s="92"/>
    </row>
    <row r="21" spans="1:13">
      <c r="A21" s="92">
        <v>4</v>
      </c>
      <c r="C21" s="1" t="s">
        <v>401</v>
      </c>
      <c r="G21" s="4">
        <f>G19+G20</f>
        <v>8995000</v>
      </c>
      <c r="H21" s="4"/>
      <c r="I21" s="4">
        <f>I19+I20</f>
        <v>4497500</v>
      </c>
      <c r="K21" s="92" t="s">
        <v>43</v>
      </c>
      <c r="M21" s="92"/>
    </row>
    <row r="22" spans="1:13">
      <c r="A22" s="92">
        <v>5</v>
      </c>
      <c r="C22" s="1" t="s">
        <v>501</v>
      </c>
      <c r="G22" s="107"/>
      <c r="H22" s="107"/>
      <c r="I22" s="107">
        <f>E32</f>
        <v>-84957.774999999441</v>
      </c>
      <c r="K22" s="92" t="s">
        <v>44</v>
      </c>
    </row>
    <row r="23" spans="1:13" ht="15.75" customHeight="1" thickBot="1">
      <c r="A23" s="92">
        <v>6</v>
      </c>
      <c r="C23" s="1" t="s">
        <v>409</v>
      </c>
      <c r="G23" s="19"/>
      <c r="H23" s="19"/>
      <c r="I23" s="18">
        <f>I21+I22</f>
        <v>4412542.2250000006</v>
      </c>
    </row>
    <row r="24" spans="1:13" ht="13.5" thickTop="1"/>
    <row r="25" spans="1:13">
      <c r="A25" s="1" t="s">
        <v>404</v>
      </c>
    </row>
    <row r="27" spans="1:13">
      <c r="A27" s="1" t="s">
        <v>503</v>
      </c>
      <c r="E27" s="92"/>
      <c r="F27" s="92"/>
      <c r="G27" s="92"/>
      <c r="H27" s="92"/>
      <c r="I27" s="92"/>
    </row>
    <row r="28" spans="1:13">
      <c r="E28" s="190" t="s">
        <v>16</v>
      </c>
      <c r="F28" s="92"/>
      <c r="G28" s="190" t="s">
        <v>15</v>
      </c>
      <c r="H28" s="12"/>
      <c r="I28" s="12"/>
    </row>
    <row r="29" spans="1:13">
      <c r="A29" s="92">
        <v>7</v>
      </c>
      <c r="C29" s="1" t="s">
        <v>504</v>
      </c>
      <c r="E29" s="42">
        <f>I21</f>
        <v>4497500</v>
      </c>
      <c r="G29" s="92" t="s">
        <v>613</v>
      </c>
      <c r="H29" s="92"/>
      <c r="I29" s="92"/>
    </row>
    <row r="30" spans="1:13">
      <c r="A30" s="92">
        <v>8</v>
      </c>
      <c r="C30" s="1" t="s">
        <v>505</v>
      </c>
      <c r="E30" s="196">
        <v>0.98111000000000004</v>
      </c>
      <c r="G30" s="92" t="s">
        <v>508</v>
      </c>
      <c r="H30" s="92"/>
      <c r="I30" s="92"/>
    </row>
    <row r="31" spans="1:13">
      <c r="A31" s="92">
        <v>9</v>
      </c>
      <c r="C31" s="1" t="s">
        <v>506</v>
      </c>
      <c r="E31" s="195">
        <f>E29*E30</f>
        <v>4412542.2250000006</v>
      </c>
      <c r="G31" s="92" t="s">
        <v>614</v>
      </c>
      <c r="H31" s="92"/>
      <c r="I31" s="92"/>
    </row>
    <row r="32" spans="1:13" ht="13.5" thickBot="1">
      <c r="A32" s="92">
        <v>10</v>
      </c>
      <c r="C32" s="1" t="s">
        <v>509</v>
      </c>
      <c r="E32" s="43">
        <f>E31-E29</f>
        <v>-84957.774999999441</v>
      </c>
      <c r="G32" s="92" t="s">
        <v>615</v>
      </c>
      <c r="H32" s="92"/>
      <c r="I32" s="92"/>
    </row>
    <row r="33" ht="13.5" thickTop="1"/>
  </sheetData>
  <pageMargins left="0.75" right="0.75" top="1" bottom="0.64" header="0.5" footer="0.5"/>
  <pageSetup scale="90" fitToHeight="3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28"/>
  <sheetViews>
    <sheetView workbookViewId="0">
      <selection activeCell="G40" sqref="G40"/>
    </sheetView>
  </sheetViews>
  <sheetFormatPr defaultRowHeight="12.75"/>
  <cols>
    <col min="1" max="1" width="4.5703125" style="1" customWidth="1"/>
    <col min="2" max="2" width="2.5703125" style="1" customWidth="1"/>
    <col min="3" max="3" width="42" style="1" customWidth="1"/>
    <col min="4" max="4" width="0.85546875" style="1" customWidth="1"/>
    <col min="5" max="5" width="14.85546875" style="1" bestFit="1" customWidth="1"/>
    <col min="6" max="6" width="1" style="1" customWidth="1"/>
    <col min="7" max="7" width="13.42578125" style="1" bestFit="1" customWidth="1"/>
    <col min="8" max="8" width="1.140625" style="1" customWidth="1"/>
    <col min="9" max="9" width="21.28515625" style="1" bestFit="1" customWidth="1"/>
    <col min="10" max="10" width="1.28515625" style="1" customWidth="1"/>
    <col min="11" max="16384" width="9.140625" style="1"/>
  </cols>
  <sheetData>
    <row r="1" spans="1:10">
      <c r="A1" s="1" t="s">
        <v>281</v>
      </c>
      <c r="F1" s="10"/>
      <c r="H1" s="10"/>
      <c r="I1" s="27" t="s">
        <v>176</v>
      </c>
    </row>
    <row r="2" spans="1:10">
      <c r="A2" s="82" t="s">
        <v>129</v>
      </c>
      <c r="F2" s="10"/>
      <c r="H2" s="10"/>
      <c r="I2" s="27" t="s">
        <v>169</v>
      </c>
    </row>
    <row r="3" spans="1:10">
      <c r="A3" s="39"/>
      <c r="F3" s="10"/>
      <c r="H3" s="10"/>
      <c r="I3" s="27" t="s">
        <v>282</v>
      </c>
    </row>
    <row r="4" spans="1:10">
      <c r="A4" s="1" t="s">
        <v>289</v>
      </c>
      <c r="F4" s="10"/>
      <c r="H4" s="10"/>
      <c r="I4" s="27" t="s">
        <v>72</v>
      </c>
    </row>
    <row r="5" spans="1:10">
      <c r="E5" s="92"/>
    </row>
    <row r="6" spans="1:10">
      <c r="E6" s="92"/>
    </row>
    <row r="7" spans="1:10">
      <c r="E7" s="92" t="s">
        <v>347</v>
      </c>
      <c r="G7" s="92"/>
      <c r="H7" s="92"/>
      <c r="I7" s="92" t="s">
        <v>156</v>
      </c>
    </row>
    <row r="8" spans="1:10">
      <c r="A8" s="92" t="s">
        <v>0</v>
      </c>
      <c r="E8" s="92" t="s">
        <v>348</v>
      </c>
      <c r="G8" s="92" t="s">
        <v>156</v>
      </c>
      <c r="H8" s="92"/>
      <c r="I8" s="92" t="s">
        <v>183</v>
      </c>
    </row>
    <row r="9" spans="1:10">
      <c r="A9" s="152" t="s">
        <v>2</v>
      </c>
      <c r="C9" s="2" t="s">
        <v>3</v>
      </c>
      <c r="E9" s="152" t="s">
        <v>16</v>
      </c>
      <c r="G9" s="152" t="s">
        <v>4</v>
      </c>
      <c r="H9" s="12"/>
      <c r="I9" s="152" t="s">
        <v>16</v>
      </c>
    </row>
    <row r="10" spans="1:10">
      <c r="E10" s="92" t="s">
        <v>6</v>
      </c>
      <c r="G10" s="92" t="s">
        <v>7</v>
      </c>
      <c r="H10" s="13"/>
      <c r="I10" s="92" t="s">
        <v>18</v>
      </c>
    </row>
    <row r="11" spans="1:10">
      <c r="H11" s="13"/>
    </row>
    <row r="12" spans="1:10">
      <c r="A12" s="92">
        <v>1</v>
      </c>
      <c r="C12" s="1" t="s">
        <v>349</v>
      </c>
      <c r="E12" s="4">
        <v>663733642.2030884</v>
      </c>
      <c r="F12" s="4"/>
      <c r="G12" s="194">
        <f>'B-3, P2'!I23</f>
        <v>-10118834.487947781</v>
      </c>
      <c r="H12" s="19"/>
      <c r="I12" s="4">
        <f>E12+G12</f>
        <v>653614807.71514058</v>
      </c>
      <c r="J12" s="4"/>
    </row>
    <row r="13" spans="1:10">
      <c r="A13" s="92"/>
      <c r="C13" s="1" t="s">
        <v>350</v>
      </c>
      <c r="E13" s="4"/>
      <c r="F13" s="4"/>
      <c r="G13" s="4"/>
      <c r="H13" s="19"/>
      <c r="I13" s="4">
        <f t="shared" ref="I13:I17" si="0">E13+G13</f>
        <v>0</v>
      </c>
      <c r="J13" s="4"/>
    </row>
    <row r="14" spans="1:10">
      <c r="A14" s="92">
        <f>A12+1</f>
        <v>2</v>
      </c>
      <c r="C14" s="1" t="s">
        <v>351</v>
      </c>
      <c r="E14" s="19">
        <f>-56991850.0894907</f>
        <v>-56991850.089490697</v>
      </c>
      <c r="F14" s="19"/>
      <c r="G14" s="19"/>
      <c r="H14" s="19"/>
      <c r="I14" s="4">
        <f t="shared" si="0"/>
        <v>-56991850.089490697</v>
      </c>
      <c r="J14" s="4"/>
    </row>
    <row r="15" spans="1:10">
      <c r="A15" s="92">
        <f>A14+1</f>
        <v>3</v>
      </c>
      <c r="C15" s="1" t="s">
        <v>352</v>
      </c>
      <c r="E15" s="4"/>
      <c r="F15" s="4"/>
      <c r="G15" s="4"/>
      <c r="H15" s="4"/>
      <c r="I15" s="4">
        <f t="shared" si="0"/>
        <v>0</v>
      </c>
      <c r="J15" s="4"/>
    </row>
    <row r="16" spans="1:10">
      <c r="A16" s="92">
        <f t="shared" ref="A16:A20" si="1">A15+1</f>
        <v>4</v>
      </c>
      <c r="E16" s="19"/>
      <c r="F16" s="19"/>
      <c r="G16" s="19"/>
      <c r="H16" s="19"/>
      <c r="I16" s="19">
        <f t="shared" si="0"/>
        <v>0</v>
      </c>
      <c r="J16" s="4"/>
    </row>
    <row r="17" spans="1:10">
      <c r="A17" s="92">
        <f t="shared" si="1"/>
        <v>5</v>
      </c>
      <c r="E17" s="45"/>
      <c r="F17" s="4"/>
      <c r="G17" s="45">
        <f>'[1]B-3, P2'!I26</f>
        <v>0</v>
      </c>
      <c r="H17" s="4"/>
      <c r="I17" s="45">
        <f t="shared" si="0"/>
        <v>0</v>
      </c>
      <c r="J17" s="4"/>
    </row>
    <row r="18" spans="1:10">
      <c r="A18" s="92">
        <f t="shared" si="1"/>
        <v>6</v>
      </c>
      <c r="C18" s="1" t="s">
        <v>193</v>
      </c>
      <c r="E18" s="42">
        <f>SUM(E12:E17)</f>
        <v>606741792.11359775</v>
      </c>
      <c r="G18" s="42">
        <f t="shared" ref="G18:I18" si="2">SUM(G12:G17)</f>
        <v>-10118834.487947781</v>
      </c>
      <c r="H18" s="42">
        <f t="shared" si="2"/>
        <v>0</v>
      </c>
      <c r="I18" s="42">
        <f t="shared" si="2"/>
        <v>596622957.62564993</v>
      </c>
    </row>
    <row r="19" spans="1:10">
      <c r="A19" s="92">
        <f t="shared" si="1"/>
        <v>7</v>
      </c>
      <c r="C19" s="1" t="s">
        <v>220</v>
      </c>
      <c r="E19" s="113">
        <v>0.125</v>
      </c>
      <c r="G19" s="113">
        <v>0.125</v>
      </c>
      <c r="I19" s="113">
        <v>0.125</v>
      </c>
    </row>
    <row r="20" spans="1:10" ht="13.5" thickBot="1">
      <c r="A20" s="92">
        <f t="shared" si="1"/>
        <v>8</v>
      </c>
      <c r="C20" s="1" t="s">
        <v>129</v>
      </c>
      <c r="E20" s="18">
        <f>ROUND(E18*E19,0)</f>
        <v>75842724</v>
      </c>
      <c r="G20" s="18">
        <f>ROUND(G18*G19,0)</f>
        <v>-1264854</v>
      </c>
      <c r="I20" s="18">
        <f>ROUND(I18*I19,0)</f>
        <v>74577870</v>
      </c>
    </row>
    <row r="21" spans="1:10" ht="13.5" thickTop="1"/>
    <row r="22" spans="1:10">
      <c r="I22" s="42"/>
    </row>
    <row r="25" spans="1:10">
      <c r="A25" s="2" t="s">
        <v>9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1" t="s">
        <v>353</v>
      </c>
      <c r="B26" s="49"/>
    </row>
    <row r="27" spans="1:10">
      <c r="A27" s="1" t="s">
        <v>243</v>
      </c>
      <c r="B27" s="49"/>
    </row>
    <row r="28" spans="1:10">
      <c r="B28" s="49"/>
    </row>
  </sheetData>
  <pageMargins left="0.75" right="0.75" top="1" bottom="0.63" header="0.5" footer="0.5"/>
  <pageSetup fitToHeight="3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C64" sqref="C64"/>
    </sheetView>
  </sheetViews>
  <sheetFormatPr defaultRowHeight="12.75"/>
  <cols>
    <col min="1" max="1" width="4" style="1" customWidth="1"/>
    <col min="2" max="2" width="1" style="1" customWidth="1"/>
    <col min="3" max="3" width="67.28515625" style="1" bestFit="1" customWidth="1"/>
    <col min="4" max="4" width="1.140625" style="1" customWidth="1"/>
    <col min="5" max="5" width="10.42578125" style="1" bestFit="1" customWidth="1"/>
    <col min="6" max="6" width="1.140625" style="1" customWidth="1"/>
    <col min="7" max="7" width="14" style="1" bestFit="1" customWidth="1"/>
    <col min="8" max="8" width="0.85546875" style="1" customWidth="1"/>
    <col min="9" max="9" width="14.140625" style="1" bestFit="1" customWidth="1"/>
    <col min="10" max="10" width="10.28515625" style="1" bestFit="1" customWidth="1"/>
    <col min="11" max="11" width="9.140625" style="1"/>
    <col min="12" max="12" width="14.140625" style="1" bestFit="1" customWidth="1"/>
    <col min="13" max="16384" width="9.140625" style="1"/>
  </cols>
  <sheetData>
    <row r="1" spans="1:10">
      <c r="A1" s="1" t="str">
        <f>Contents!A1</f>
        <v>Louisville Gas and Electric Company</v>
      </c>
      <c r="F1" s="10"/>
      <c r="I1" s="27" t="str">
        <f>Contents!A4</f>
        <v>Exhibit RCS-1</v>
      </c>
    </row>
    <row r="2" spans="1:10">
      <c r="A2" s="1" t="s">
        <v>216</v>
      </c>
      <c r="F2" s="10"/>
      <c r="I2" s="27" t="s">
        <v>169</v>
      </c>
    </row>
    <row r="3" spans="1:10">
      <c r="A3" s="39"/>
      <c r="F3" s="10"/>
      <c r="I3" s="27" t="str">
        <f>Contents!A2</f>
        <v>Case No. 2016-00371</v>
      </c>
    </row>
    <row r="4" spans="1:10">
      <c r="A4" s="1" t="s">
        <v>289</v>
      </c>
      <c r="E4" s="10"/>
      <c r="G4" s="10"/>
      <c r="I4" s="27" t="s">
        <v>53</v>
      </c>
    </row>
    <row r="5" spans="1:10">
      <c r="G5" s="10"/>
    </row>
    <row r="7" spans="1:10">
      <c r="G7" s="92"/>
      <c r="I7" s="92" t="s">
        <v>212</v>
      </c>
    </row>
    <row r="8" spans="1:10">
      <c r="A8" s="1" t="s">
        <v>0</v>
      </c>
      <c r="E8" s="92" t="s">
        <v>34</v>
      </c>
      <c r="G8" s="92" t="s">
        <v>213</v>
      </c>
      <c r="H8" s="92"/>
      <c r="I8" s="12" t="s">
        <v>213</v>
      </c>
      <c r="J8" s="12"/>
    </row>
    <row r="9" spans="1:10">
      <c r="A9" s="2" t="s">
        <v>2</v>
      </c>
      <c r="C9" s="2" t="s">
        <v>3</v>
      </c>
      <c r="E9" s="11" t="s">
        <v>2</v>
      </c>
      <c r="G9" s="11" t="s">
        <v>4</v>
      </c>
      <c r="I9" s="11" t="s">
        <v>233</v>
      </c>
      <c r="J9" s="12"/>
    </row>
    <row r="10" spans="1:10">
      <c r="G10" s="40" t="s">
        <v>6</v>
      </c>
      <c r="I10" s="92" t="s">
        <v>7</v>
      </c>
      <c r="J10" s="12"/>
    </row>
    <row r="11" spans="1:10">
      <c r="G11" s="40"/>
      <c r="I11" s="92"/>
      <c r="J11" s="12"/>
    </row>
    <row r="12" spans="1:10">
      <c r="A12" s="92">
        <v>1</v>
      </c>
      <c r="C12" s="1" t="str">
        <f>Contents!B26</f>
        <v>Interest Synchronization</v>
      </c>
      <c r="E12" s="92" t="str">
        <f>Contents!A26</f>
        <v>C-1</v>
      </c>
      <c r="G12" s="4">
        <f>C.1!H22</f>
        <v>-904639.5490269009</v>
      </c>
      <c r="I12" s="219">
        <v>0</v>
      </c>
      <c r="J12" s="12"/>
    </row>
    <row r="13" spans="1:10">
      <c r="A13" s="92">
        <f t="shared" ref="A13:A18" si="0">A12+1</f>
        <v>2</v>
      </c>
      <c r="C13" s="1" t="str">
        <f>Contents!B27</f>
        <v>Incentive Compensation Expense</v>
      </c>
      <c r="E13" s="92" t="str">
        <f>Contents!A27</f>
        <v>C-2</v>
      </c>
      <c r="G13" s="4">
        <f>C.1!I22</f>
        <v>-1251147.8738944491</v>
      </c>
      <c r="I13" s="4">
        <f>C.1!I15</f>
        <v>-2043522.8738944491</v>
      </c>
      <c r="J13" s="13"/>
    </row>
    <row r="14" spans="1:10">
      <c r="A14" s="92">
        <f t="shared" si="0"/>
        <v>3</v>
      </c>
      <c r="C14" s="1" t="str">
        <f>Contents!B28</f>
        <v>Advanced Metering Services</v>
      </c>
      <c r="E14" s="92" t="str">
        <f>Contents!A28</f>
        <v>C-3</v>
      </c>
      <c r="G14" s="4">
        <f>C.1!J22</f>
        <v>-2143167</v>
      </c>
      <c r="I14" s="4">
        <f>C.1!J15</f>
        <v>-3027275</v>
      </c>
      <c r="J14" s="13"/>
    </row>
    <row r="15" spans="1:10">
      <c r="A15" s="92">
        <f t="shared" si="0"/>
        <v>4</v>
      </c>
      <c r="C15" s="1" t="str">
        <f>Contents!B29</f>
        <v>Transmission Vegetation Management Expense</v>
      </c>
      <c r="E15" s="92" t="str">
        <f>Contents!A29</f>
        <v>C-4</v>
      </c>
      <c r="G15" s="4">
        <f>C.1!K22</f>
        <v>-416239</v>
      </c>
      <c r="I15" s="4">
        <f>C.1!K15</f>
        <v>-679851</v>
      </c>
      <c r="J15" s="13"/>
    </row>
    <row r="16" spans="1:10">
      <c r="A16" s="92">
        <f t="shared" si="0"/>
        <v>5</v>
      </c>
      <c r="C16" s="1" t="str">
        <f>Contents!B30</f>
        <v>Uncollectibles Expense</v>
      </c>
      <c r="E16" s="92" t="str">
        <f>Contents!A30</f>
        <v>C-5</v>
      </c>
      <c r="G16" s="4">
        <f>C.1!L22</f>
        <v>-374781.89772000001</v>
      </c>
      <c r="I16" s="4">
        <f>C.1!L15</f>
        <v>-612137.89772000001</v>
      </c>
      <c r="J16" s="13"/>
    </row>
    <row r="17" spans="1:12">
      <c r="A17" s="92">
        <f t="shared" si="0"/>
        <v>6</v>
      </c>
      <c r="C17" s="1" t="str">
        <f>Contents!B31</f>
        <v>Depreciation Expense - Impacts of Slippage</v>
      </c>
      <c r="E17" s="92" t="str">
        <f>Contents!A31</f>
        <v>C-6</v>
      </c>
      <c r="G17" s="4">
        <f>C.1!M22</f>
        <v>-44995</v>
      </c>
      <c r="I17" s="4">
        <v>0</v>
      </c>
      <c r="J17" s="13"/>
    </row>
    <row r="18" spans="1:12">
      <c r="A18" s="92">
        <f t="shared" si="0"/>
        <v>7</v>
      </c>
      <c r="C18" s="1" t="str">
        <f>Contents!B32</f>
        <v>Depreciation Expense Related to Distribution Automation</v>
      </c>
      <c r="E18" s="92" t="str">
        <f>Contents!A32</f>
        <v>C-7</v>
      </c>
      <c r="G18" s="4">
        <f>C.1!N22</f>
        <v>-85241</v>
      </c>
      <c r="I18" s="4">
        <v>0</v>
      </c>
      <c r="J18" s="13"/>
    </row>
    <row r="19" spans="1:12">
      <c r="A19" s="92">
        <v>8</v>
      </c>
      <c r="C19" s="1" t="str">
        <f>Contents!B33</f>
        <v>Payroll and Employee Benefits Expense - Remove Vacant Positions</v>
      </c>
      <c r="E19" s="92" t="str">
        <f>Contents!A33</f>
        <v>C-8</v>
      </c>
      <c r="G19" s="4">
        <f>C.1!O22</f>
        <v>-1452731.8514999999</v>
      </c>
      <c r="I19" s="4">
        <f>C.1!O15</f>
        <v>-2229820.8514999999</v>
      </c>
      <c r="J19" s="13"/>
    </row>
    <row r="20" spans="1:12">
      <c r="A20" s="92">
        <v>9</v>
      </c>
      <c r="C20" s="1" t="str">
        <f>Contents!B34</f>
        <v>PPL Services Corporation Affiliate Charges to LG&amp;E</v>
      </c>
      <c r="E20" s="92" t="str">
        <f>Contents!A34</f>
        <v>C-9</v>
      </c>
      <c r="G20" s="4">
        <f>C.1!P22</f>
        <v>-668589.59999999986</v>
      </c>
      <c r="I20" s="4">
        <f>C.1!P15</f>
        <v>-1092019.5999999999</v>
      </c>
      <c r="J20" s="13"/>
    </row>
    <row r="21" spans="1:12">
      <c r="A21" s="92">
        <v>10</v>
      </c>
      <c r="C21" s="1" t="str">
        <f>Contents!B35</f>
        <v>Reverse LG&amp;E Adjustment to Remove Gas Line Tracker Mechanism from Base Rates</v>
      </c>
      <c r="E21" s="92" t="str">
        <f>Contents!A35</f>
        <v>C-10</v>
      </c>
      <c r="G21" s="4">
        <f>C.1!Q22</f>
        <v>0</v>
      </c>
      <c r="I21" s="4">
        <f t="shared" ref="I21" si="1">G21</f>
        <v>0</v>
      </c>
      <c r="J21" s="13"/>
    </row>
    <row r="22" spans="1:12">
      <c r="A22" s="92">
        <v>11</v>
      </c>
      <c r="C22" s="1" t="str">
        <f>Contents!B36</f>
        <v>Rescheduling of Expiring Regulatory Asset Amortizations</v>
      </c>
      <c r="E22" s="92" t="str">
        <f>Contents!A36</f>
        <v>C-11</v>
      </c>
      <c r="G22" s="45">
        <f>C.1!R22</f>
        <v>-265843.26483333361</v>
      </c>
      <c r="I22" s="4">
        <f>C.1!R15</f>
        <v>-434207.26483333361</v>
      </c>
      <c r="J22" s="13"/>
    </row>
    <row r="23" spans="1:12">
      <c r="A23" s="92">
        <v>12</v>
      </c>
      <c r="C23" s="1" t="s">
        <v>214</v>
      </c>
      <c r="G23" s="42">
        <f>SUM(G12:G22)</f>
        <v>-7607376.0369746834</v>
      </c>
      <c r="I23" s="48">
        <f>SUM(I12:I22)</f>
        <v>-10118834.487947781</v>
      </c>
      <c r="J23" s="38"/>
    </row>
    <row r="24" spans="1:12">
      <c r="A24" s="92">
        <v>13</v>
      </c>
      <c r="C24" s="1" t="s">
        <v>617</v>
      </c>
      <c r="G24" s="42">
        <f>C.1!F22</f>
        <v>-7607376.0369746815</v>
      </c>
      <c r="J24" s="13"/>
    </row>
    <row r="25" spans="1:12" ht="13.5" thickBot="1">
      <c r="A25" s="92">
        <v>14</v>
      </c>
      <c r="C25" s="1" t="s">
        <v>215</v>
      </c>
      <c r="G25" s="43">
        <f>G23-G24</f>
        <v>0</v>
      </c>
      <c r="J25" s="13"/>
      <c r="L25" s="42"/>
    </row>
    <row r="26" spans="1:12" ht="13.5" thickTop="1">
      <c r="A26" s="92"/>
      <c r="G26" s="38"/>
      <c r="J26" s="13"/>
      <c r="L26" s="42"/>
    </row>
    <row r="27" spans="1:12">
      <c r="A27" s="92">
        <v>15</v>
      </c>
      <c r="C27" s="1" t="s">
        <v>635</v>
      </c>
      <c r="G27" s="38"/>
      <c r="I27" s="4">
        <f>'C'!$G$17</f>
        <v>-10118834.487947781</v>
      </c>
      <c r="J27" s="13"/>
      <c r="L27" s="42"/>
    </row>
    <row r="28" spans="1:12" ht="13.5" thickBot="1">
      <c r="A28" s="92">
        <v>16</v>
      </c>
      <c r="C28" s="1" t="s">
        <v>29</v>
      </c>
      <c r="G28" s="38"/>
      <c r="I28" s="43">
        <f>I23-I27</f>
        <v>0</v>
      </c>
      <c r="J28" s="13"/>
      <c r="L28" s="42"/>
    </row>
    <row r="29" spans="1:12" ht="13.5" thickTop="1">
      <c r="A29" s="92"/>
      <c r="G29" s="38"/>
      <c r="J29" s="13"/>
      <c r="L29" s="42"/>
    </row>
    <row r="30" spans="1:12">
      <c r="A30" s="1" t="s">
        <v>616</v>
      </c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>
      <selection activeCell="C64" sqref="C64"/>
    </sheetView>
  </sheetViews>
  <sheetFormatPr defaultRowHeight="12.75"/>
  <cols>
    <col min="1" max="1" width="5.28515625" style="1" customWidth="1"/>
    <col min="2" max="2" width="1.28515625" style="1" customWidth="1"/>
    <col min="3" max="3" width="48.5703125" style="1" customWidth="1"/>
    <col min="4" max="4" width="1" style="1" customWidth="1"/>
    <col min="5" max="5" width="12" style="1" bestFit="1" customWidth="1"/>
    <col min="6" max="6" width="1.42578125" style="1" customWidth="1"/>
    <col min="7" max="7" width="11" style="1" customWidth="1"/>
    <col min="8" max="8" width="1.42578125" style="1" customWidth="1"/>
    <col min="9" max="9" width="11.140625" style="1" bestFit="1" customWidth="1"/>
    <col min="10" max="16384" width="9.140625" style="1"/>
  </cols>
  <sheetData>
    <row r="1" spans="1:9">
      <c r="A1" s="1" t="str">
        <f>Contents!A1</f>
        <v>Louisville Gas and Electric Company</v>
      </c>
      <c r="G1" s="27"/>
      <c r="I1" s="27" t="str">
        <f>Contents!A4</f>
        <v>Exhibit RCS-1</v>
      </c>
    </row>
    <row r="2" spans="1:9">
      <c r="A2" s="82" t="s">
        <v>422</v>
      </c>
      <c r="G2" s="27"/>
      <c r="I2" s="27" t="s">
        <v>440</v>
      </c>
    </row>
    <row r="3" spans="1:9">
      <c r="A3" s="39"/>
      <c r="G3" s="27"/>
      <c r="I3" s="27" t="str">
        <f>Contents!A2</f>
        <v>Case No. 2016-00371</v>
      </c>
    </row>
    <row r="4" spans="1:9">
      <c r="A4" s="1" t="s">
        <v>289</v>
      </c>
      <c r="G4" s="27"/>
      <c r="I4" s="27" t="s">
        <v>37</v>
      </c>
    </row>
    <row r="7" spans="1:9">
      <c r="E7" s="92"/>
    </row>
    <row r="8" spans="1:9">
      <c r="A8" s="92" t="s">
        <v>0</v>
      </c>
      <c r="E8" s="92"/>
    </row>
    <row r="9" spans="1:9">
      <c r="A9" s="177" t="s">
        <v>2</v>
      </c>
      <c r="C9" s="2" t="s">
        <v>3</v>
      </c>
      <c r="E9" s="177" t="s">
        <v>16</v>
      </c>
      <c r="G9" s="177" t="s">
        <v>15</v>
      </c>
    </row>
    <row r="10" spans="1:9">
      <c r="A10" s="92"/>
      <c r="E10" s="92" t="s">
        <v>6</v>
      </c>
    </row>
    <row r="11" spans="1:9">
      <c r="A11" s="92"/>
    </row>
    <row r="12" spans="1:9">
      <c r="A12" s="92">
        <v>1</v>
      </c>
      <c r="C12" s="1" t="s">
        <v>441</v>
      </c>
      <c r="E12" s="42">
        <f>-E28</f>
        <v>-18021715.256999999</v>
      </c>
      <c r="G12" s="92" t="s">
        <v>43</v>
      </c>
    </row>
    <row r="13" spans="1:9">
      <c r="A13" s="92"/>
    </row>
    <row r="14" spans="1:9">
      <c r="A14" s="92">
        <v>2</v>
      </c>
      <c r="C14" s="1" t="s">
        <v>442</v>
      </c>
      <c r="E14" s="61">
        <f>E30</f>
        <v>1283800</v>
      </c>
      <c r="G14" s="92" t="s">
        <v>44</v>
      </c>
    </row>
    <row r="16" spans="1:9" ht="13.5" thickBot="1">
      <c r="A16" s="92">
        <v>3</v>
      </c>
      <c r="C16" s="1" t="s">
        <v>443</v>
      </c>
      <c r="E16" s="43">
        <f>E12+E14</f>
        <v>-16737915.256999999</v>
      </c>
    </row>
    <row r="17" spans="1:13" ht="13.5" thickTop="1"/>
    <row r="20" spans="1:13">
      <c r="A20" s="2" t="s">
        <v>9</v>
      </c>
      <c r="B20" s="2"/>
      <c r="C20" s="2"/>
      <c r="D20" s="2"/>
      <c r="E20" s="2"/>
      <c r="F20" s="2"/>
      <c r="G20" s="2"/>
      <c r="H20" s="2"/>
      <c r="I20" s="2"/>
    </row>
    <row r="21" spans="1:13">
      <c r="A21" s="1" t="s">
        <v>444</v>
      </c>
    </row>
    <row r="22" spans="1:13">
      <c r="I22" s="92"/>
      <c r="M22" s="92"/>
    </row>
    <row r="23" spans="1:13">
      <c r="E23" s="92" t="s">
        <v>348</v>
      </c>
      <c r="F23" s="92"/>
      <c r="G23" s="16" t="s">
        <v>389</v>
      </c>
      <c r="H23" s="92"/>
      <c r="I23" s="92"/>
      <c r="K23" s="92"/>
      <c r="L23" s="92"/>
      <c r="M23" s="92"/>
    </row>
    <row r="24" spans="1:13">
      <c r="C24" s="2" t="s">
        <v>3</v>
      </c>
      <c r="E24" s="177" t="s">
        <v>436</v>
      </c>
      <c r="F24" s="92"/>
      <c r="G24" s="23" t="s">
        <v>436</v>
      </c>
      <c r="H24" s="12"/>
      <c r="I24" s="177" t="s">
        <v>28</v>
      </c>
      <c r="K24" s="92"/>
      <c r="L24" s="92"/>
      <c r="M24" s="92"/>
    </row>
    <row r="25" spans="1:13">
      <c r="I25" s="12"/>
      <c r="J25" s="12"/>
      <c r="K25" s="12"/>
      <c r="L25" s="12"/>
      <c r="M25" s="12"/>
    </row>
    <row r="26" spans="1:13">
      <c r="A26" s="92">
        <v>4</v>
      </c>
      <c r="C26" s="1" t="s">
        <v>445</v>
      </c>
      <c r="E26" s="4">
        <f>ROUND(I26*0.7,0)</f>
        <v>18368700</v>
      </c>
      <c r="G26" s="16">
        <f>ROUND(I26*0.3,0)</f>
        <v>7872300</v>
      </c>
      <c r="I26" s="19">
        <v>26241000</v>
      </c>
      <c r="J26" s="13"/>
      <c r="K26" s="13"/>
      <c r="L26" s="13"/>
      <c r="M26" s="13"/>
    </row>
    <row r="27" spans="1:13">
      <c r="A27" s="92">
        <v>5</v>
      </c>
      <c r="C27" s="1" t="s">
        <v>408</v>
      </c>
      <c r="E27" s="45">
        <f>-E26*(1-0.98111)</f>
        <v>-346984.74299999932</v>
      </c>
      <c r="G27" s="45">
        <f>-G26*(1-0.98111)</f>
        <v>-148707.74699999971</v>
      </c>
      <c r="I27" s="45">
        <f>-I26*(1-0.98111)</f>
        <v>-495692.489999999</v>
      </c>
      <c r="J27" s="13"/>
      <c r="K27" s="38"/>
      <c r="L27" s="13"/>
      <c r="M27" s="13"/>
    </row>
    <row r="28" spans="1:13" ht="13.5" thickBot="1">
      <c r="A28" s="92">
        <v>6</v>
      </c>
      <c r="C28" s="1" t="s">
        <v>447</v>
      </c>
      <c r="E28" s="18">
        <f>E26+E27</f>
        <v>18021715.256999999</v>
      </c>
      <c r="G28" s="18">
        <f>G26+G27</f>
        <v>7723592.2530000005</v>
      </c>
      <c r="I28" s="18">
        <f>I26+I27</f>
        <v>25745307.510000002</v>
      </c>
      <c r="J28" s="13"/>
      <c r="K28" s="13"/>
      <c r="L28" s="13"/>
      <c r="M28" s="13"/>
    </row>
    <row r="29" spans="1:13" ht="13.5" thickTop="1">
      <c r="A29" s="92"/>
      <c r="G29" s="16"/>
      <c r="I29" s="4"/>
    </row>
    <row r="30" spans="1:13" ht="13.5" thickBot="1">
      <c r="A30" s="92">
        <v>7</v>
      </c>
      <c r="C30" s="1" t="s">
        <v>446</v>
      </c>
      <c r="E30" s="20">
        <f>ROUND(I30*0.7,0)</f>
        <v>1283800</v>
      </c>
      <c r="G30" s="189">
        <f>ROUND(I30*0.3,0)</f>
        <v>550200</v>
      </c>
      <c r="I30" s="20">
        <v>1834000</v>
      </c>
    </row>
    <row r="31" spans="1:13" ht="13.5" thickTop="1">
      <c r="A31" s="92"/>
    </row>
    <row r="32" spans="1:13">
      <c r="A32" s="92"/>
    </row>
    <row r="33" spans="1:5">
      <c r="A33" s="1" t="s">
        <v>437</v>
      </c>
    </row>
    <row r="35" spans="1:5">
      <c r="E35" s="42"/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>
      <selection activeCell="I45" sqref="I45"/>
    </sheetView>
  </sheetViews>
  <sheetFormatPr defaultRowHeight="12.75"/>
  <cols>
    <col min="1" max="1" width="9.140625" style="1"/>
    <col min="2" max="2" width="1.85546875" style="1" customWidth="1"/>
    <col min="3" max="3" width="49" style="1" customWidth="1"/>
    <col min="4" max="4" width="1.85546875" style="1" customWidth="1"/>
    <col min="5" max="5" width="14" style="1" bestFit="1" customWidth="1"/>
    <col min="6" max="6" width="1.7109375" style="1" customWidth="1"/>
    <col min="7" max="7" width="11.28515625" style="1" bestFit="1" customWidth="1"/>
    <col min="8" max="8" width="1.85546875" style="1" customWidth="1"/>
    <col min="9" max="9" width="14.5703125" style="1" bestFit="1" customWidth="1"/>
    <col min="10" max="16384" width="9.140625" style="1"/>
  </cols>
  <sheetData>
    <row r="1" spans="1:9">
      <c r="A1" s="1" t="str">
        <f>Contents!A1</f>
        <v>Louisville Gas and Electric Company</v>
      </c>
      <c r="I1" s="27" t="str">
        <f>Contents!A4</f>
        <v>Exhibit RCS-1</v>
      </c>
    </row>
    <row r="2" spans="1:9">
      <c r="A2" s="82" t="s">
        <v>532</v>
      </c>
      <c r="B2" s="82"/>
      <c r="I2" s="207" t="s">
        <v>582</v>
      </c>
    </row>
    <row r="3" spans="1:9">
      <c r="A3" s="39"/>
      <c r="B3" s="39"/>
      <c r="I3" s="27" t="str">
        <f>Contents!A2</f>
        <v>Case No. 2016-00371</v>
      </c>
    </row>
    <row r="4" spans="1:9">
      <c r="A4" s="1" t="s">
        <v>289</v>
      </c>
      <c r="I4" s="27" t="s">
        <v>37</v>
      </c>
    </row>
    <row r="6" spans="1:9">
      <c r="E6" s="92" t="s">
        <v>583</v>
      </c>
      <c r="F6" s="92"/>
      <c r="G6" s="92" t="s">
        <v>584</v>
      </c>
      <c r="I6" s="92" t="s">
        <v>156</v>
      </c>
    </row>
    <row r="7" spans="1:9">
      <c r="A7" s="190" t="s">
        <v>40</v>
      </c>
      <c r="C7" s="25" t="s">
        <v>3</v>
      </c>
      <c r="E7" s="190" t="s">
        <v>34</v>
      </c>
      <c r="G7" s="190" t="s">
        <v>34</v>
      </c>
      <c r="I7" s="190" t="s">
        <v>183</v>
      </c>
    </row>
    <row r="8" spans="1:9">
      <c r="E8" s="12" t="s">
        <v>6</v>
      </c>
      <c r="G8" s="92" t="s">
        <v>7</v>
      </c>
      <c r="I8" s="92" t="s">
        <v>585</v>
      </c>
    </row>
    <row r="10" spans="1:9">
      <c r="C10" s="1" t="s">
        <v>586</v>
      </c>
    </row>
  </sheetData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selection activeCell="C64" sqref="C64"/>
    </sheetView>
  </sheetViews>
  <sheetFormatPr defaultRowHeight="12.75"/>
  <cols>
    <col min="1" max="1" width="5" style="1" customWidth="1"/>
    <col min="2" max="2" width="1.140625" style="1" customWidth="1"/>
    <col min="3" max="3" width="63.7109375" style="1" bestFit="1" customWidth="1"/>
    <col min="4" max="4" width="1.28515625" style="1" customWidth="1"/>
    <col min="5" max="5" width="14.85546875" style="1" bestFit="1" customWidth="1"/>
    <col min="6" max="6" width="1.42578125" style="1" customWidth="1"/>
    <col min="7" max="7" width="14.7109375" style="1" bestFit="1" customWidth="1"/>
    <col min="8" max="8" width="1.28515625" style="1" customWidth="1"/>
    <col min="9" max="9" width="14.140625" style="1" customWidth="1"/>
    <col min="10" max="10" width="2.7109375" style="1" customWidth="1"/>
    <col min="11" max="11" width="9.140625" style="1"/>
    <col min="12" max="12" width="10.85546875" style="1" customWidth="1"/>
    <col min="13" max="16384" width="9.140625" style="1"/>
  </cols>
  <sheetData>
    <row r="1" spans="1:9">
      <c r="A1" s="1" t="s">
        <v>281</v>
      </c>
      <c r="I1" s="27" t="str">
        <f>Contents!$S$5</f>
        <v>Exhibit RCS-1</v>
      </c>
    </row>
    <row r="2" spans="1:9">
      <c r="A2" s="1" t="s">
        <v>70</v>
      </c>
      <c r="I2" s="27" t="s">
        <v>179</v>
      </c>
    </row>
    <row r="3" spans="1:9">
      <c r="A3" s="39"/>
      <c r="I3" s="27" t="str">
        <f>A!$K$3</f>
        <v>Case No. 2016-00371</v>
      </c>
    </row>
    <row r="4" spans="1:9">
      <c r="A4" s="1" t="s">
        <v>244</v>
      </c>
      <c r="I4" s="27" t="s">
        <v>37</v>
      </c>
    </row>
    <row r="5" spans="1:9">
      <c r="H5" s="92"/>
    </row>
    <row r="7" spans="1:9">
      <c r="A7" s="92" t="s">
        <v>219</v>
      </c>
      <c r="E7" s="92" t="s">
        <v>45</v>
      </c>
      <c r="G7" s="92" t="s">
        <v>156</v>
      </c>
      <c r="H7" s="92"/>
      <c r="I7" s="92" t="s">
        <v>156</v>
      </c>
    </row>
    <row r="8" spans="1:9">
      <c r="A8" s="11" t="s">
        <v>2</v>
      </c>
      <c r="C8" s="2" t="s">
        <v>3</v>
      </c>
      <c r="E8" s="11" t="s">
        <v>16</v>
      </c>
      <c r="G8" s="11" t="s">
        <v>16</v>
      </c>
      <c r="H8" s="92"/>
      <c r="I8" s="11" t="s">
        <v>34</v>
      </c>
    </row>
    <row r="9" spans="1:9" ht="12.75" customHeight="1">
      <c r="A9" s="92"/>
      <c r="E9" s="92" t="s">
        <v>6</v>
      </c>
      <c r="F9" s="92"/>
      <c r="G9" s="92" t="s">
        <v>7</v>
      </c>
      <c r="H9" s="92"/>
      <c r="I9" s="92" t="s">
        <v>18</v>
      </c>
    </row>
    <row r="10" spans="1:9" ht="12.75" customHeight="1">
      <c r="A10" s="92"/>
    </row>
    <row r="11" spans="1:9" ht="15.75" customHeight="1">
      <c r="A11" s="92">
        <v>1</v>
      </c>
      <c r="C11" s="1" t="s">
        <v>303</v>
      </c>
      <c r="E11" s="4">
        <f>'Dp3'!E16</f>
        <v>2404580875.1056299</v>
      </c>
      <c r="G11" s="110">
        <f>'Dp3'!S16</f>
        <v>2378506135</v>
      </c>
    </row>
    <row r="12" spans="1:9">
      <c r="A12" s="92">
        <f>A11+1</f>
        <v>2</v>
      </c>
      <c r="C12" s="1" t="s">
        <v>304</v>
      </c>
      <c r="E12" s="150">
        <f>'Dp1'!K11+'Dp1'!K12</f>
        <v>1.7940020811044788E-2</v>
      </c>
      <c r="G12" s="151">
        <f>'Dp1'!$K$24</f>
        <v>1.9117580000000002E-2</v>
      </c>
    </row>
    <row r="13" spans="1:9" ht="15.75" customHeight="1">
      <c r="A13" s="92">
        <f>A12+1</f>
        <v>3</v>
      </c>
      <c r="C13" s="1" t="s">
        <v>305</v>
      </c>
      <c r="E13" s="47">
        <f>E11*E12</f>
        <v>43138230.941235289</v>
      </c>
      <c r="G13" s="47">
        <f>ROUND(G11*G12,0)</f>
        <v>45471281</v>
      </c>
    </row>
    <row r="14" spans="1:9" ht="16.5" customHeight="1">
      <c r="A14" s="92"/>
    </row>
    <row r="15" spans="1:9">
      <c r="A15" s="92">
        <f>A13+1</f>
        <v>4</v>
      </c>
      <c r="C15" s="1" t="s">
        <v>306</v>
      </c>
      <c r="E15" s="67">
        <v>0.38774973800000001</v>
      </c>
      <c r="G15" s="67">
        <f>E15</f>
        <v>0.38774973800000001</v>
      </c>
    </row>
    <row r="16" spans="1:9" ht="13.5" thickBot="1">
      <c r="A16" s="92">
        <f>A15+1</f>
        <v>5</v>
      </c>
      <c r="C16" s="1" t="s">
        <v>637</v>
      </c>
      <c r="E16" s="18">
        <f>-E13*E15</f>
        <v>-16726837.745247478</v>
      </c>
      <c r="G16" s="18">
        <f>-G13*G15</f>
        <v>-17631477.294274379</v>
      </c>
      <c r="I16" s="43">
        <f>G16-E16</f>
        <v>-904639.5490269009</v>
      </c>
    </row>
    <row r="17" spans="1:12" ht="13.5" thickTop="1"/>
    <row r="19" spans="1:12">
      <c r="G19" s="42"/>
    </row>
    <row r="20" spans="1:12">
      <c r="A20" s="2" t="s">
        <v>9</v>
      </c>
      <c r="B20" s="2"/>
      <c r="C20" s="2"/>
      <c r="D20" s="2"/>
      <c r="E20" s="2"/>
      <c r="F20" s="2"/>
      <c r="G20" s="2"/>
      <c r="H20" s="2"/>
      <c r="I20" s="2"/>
      <c r="J20" s="13"/>
      <c r="K20" s="13"/>
      <c r="L20" s="13"/>
    </row>
    <row r="21" spans="1:12">
      <c r="A21" s="1" t="s">
        <v>285</v>
      </c>
    </row>
    <row r="22" spans="1:12">
      <c r="A22" s="1" t="s">
        <v>307</v>
      </c>
    </row>
    <row r="27" spans="1:12">
      <c r="I27" s="42"/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activeCell="C64" sqref="C64"/>
    </sheetView>
  </sheetViews>
  <sheetFormatPr defaultRowHeight="12.75"/>
  <cols>
    <col min="1" max="1" width="5" style="155" customWidth="1"/>
    <col min="2" max="2" width="1.140625" style="155" customWidth="1"/>
    <col min="3" max="3" width="74.28515625" style="155" bestFit="1" customWidth="1"/>
    <col min="4" max="4" width="1" style="155" customWidth="1"/>
    <col min="5" max="5" width="12" style="155" bestFit="1" customWidth="1"/>
    <col min="6" max="6" width="1.28515625" style="155" customWidth="1"/>
    <col min="7" max="7" width="10.140625" style="155" customWidth="1"/>
    <col min="8" max="8" width="1.7109375" style="155" customWidth="1"/>
    <col min="9" max="9" width="12.85546875" style="155" bestFit="1" customWidth="1"/>
    <col min="10" max="10" width="1.42578125" style="155" customWidth="1"/>
    <col min="11" max="11" width="7.28515625" style="155" bestFit="1" customWidth="1"/>
    <col min="12" max="12" width="12" style="155" bestFit="1" customWidth="1"/>
    <col min="13" max="14" width="10.7109375" style="155" bestFit="1" customWidth="1"/>
    <col min="15" max="16384" width="9.140625" style="155"/>
  </cols>
  <sheetData>
    <row r="1" spans="1:11">
      <c r="A1" s="155" t="s">
        <v>281</v>
      </c>
      <c r="G1" s="156" t="str">
        <f>Contents!A4</f>
        <v>Exhibit RCS-1</v>
      </c>
    </row>
    <row r="2" spans="1:11">
      <c r="A2" s="155" t="s">
        <v>223</v>
      </c>
      <c r="G2" s="156" t="s">
        <v>127</v>
      </c>
    </row>
    <row r="3" spans="1:11">
      <c r="G3" s="156" t="str">
        <f>Contents!A2</f>
        <v>Case No. 2016-00371</v>
      </c>
    </row>
    <row r="4" spans="1:11">
      <c r="A4" s="155" t="s">
        <v>289</v>
      </c>
      <c r="G4" s="156" t="s">
        <v>186</v>
      </c>
    </row>
    <row r="8" spans="1:11">
      <c r="A8" s="157" t="s">
        <v>0</v>
      </c>
    </row>
    <row r="9" spans="1:11">
      <c r="A9" s="158" t="s">
        <v>2</v>
      </c>
      <c r="C9" s="159" t="s">
        <v>3</v>
      </c>
      <c r="E9" s="158" t="s">
        <v>16</v>
      </c>
      <c r="G9" s="158" t="s">
        <v>15</v>
      </c>
      <c r="H9" s="160"/>
      <c r="I9" s="160"/>
      <c r="J9" s="160"/>
    </row>
    <row r="10" spans="1:11">
      <c r="A10" s="157"/>
      <c r="G10" s="157"/>
      <c r="H10" s="157"/>
      <c r="I10" s="157"/>
      <c r="J10" s="157"/>
    </row>
    <row r="11" spans="1:11" ht="13.5" thickBot="1">
      <c r="A11" s="157">
        <v>1</v>
      </c>
      <c r="C11" s="1" t="s">
        <v>222</v>
      </c>
      <c r="E11" s="161">
        <f>-E27</f>
        <v>-2043522.8738944491</v>
      </c>
      <c r="G11" s="157" t="s">
        <v>618</v>
      </c>
      <c r="H11" s="157"/>
      <c r="I11" s="157"/>
      <c r="J11" s="157"/>
    </row>
    <row r="12" spans="1:11" ht="13.5" thickTop="1">
      <c r="A12" s="157"/>
      <c r="G12" s="157"/>
      <c r="H12" s="157"/>
      <c r="I12" s="157"/>
      <c r="J12" s="157"/>
    </row>
    <row r="13" spans="1:11">
      <c r="A13" s="157"/>
      <c r="G13" s="157"/>
      <c r="H13" s="157"/>
      <c r="I13" s="157"/>
      <c r="J13" s="157"/>
    </row>
    <row r="15" spans="1:11">
      <c r="A15" s="159" t="s">
        <v>9</v>
      </c>
      <c r="B15" s="159"/>
      <c r="C15" s="159"/>
      <c r="D15" s="159"/>
      <c r="E15" s="159"/>
      <c r="F15" s="159"/>
      <c r="G15" s="159"/>
      <c r="H15" s="162"/>
      <c r="I15" s="162"/>
      <c r="J15" s="162"/>
      <c r="K15" s="162"/>
    </row>
    <row r="16" spans="1:11">
      <c r="A16" s="155" t="s">
        <v>391</v>
      </c>
    </row>
    <row r="18" spans="1:12">
      <c r="C18" s="159" t="s">
        <v>3</v>
      </c>
      <c r="E18" s="158" t="s">
        <v>16</v>
      </c>
      <c r="G18" s="158" t="s">
        <v>15</v>
      </c>
      <c r="L18" s="163"/>
    </row>
    <row r="19" spans="1:12">
      <c r="A19" s="157">
        <v>2</v>
      </c>
      <c r="C19" s="162" t="s">
        <v>357</v>
      </c>
      <c r="E19" s="164">
        <v>4839913</v>
      </c>
      <c r="G19" s="160" t="s">
        <v>358</v>
      </c>
      <c r="L19" s="163"/>
    </row>
    <row r="20" spans="1:12">
      <c r="A20" s="157">
        <v>3</v>
      </c>
      <c r="C20" s="162" t="s">
        <v>359</v>
      </c>
      <c r="E20" s="164">
        <v>5942713</v>
      </c>
      <c r="G20" s="160" t="s">
        <v>358</v>
      </c>
      <c r="L20" s="163"/>
    </row>
    <row r="21" spans="1:12">
      <c r="A21" s="157">
        <v>4</v>
      </c>
      <c r="C21" s="162" t="s">
        <v>360</v>
      </c>
      <c r="E21" s="165">
        <v>84126</v>
      </c>
      <c r="G21" s="160" t="s">
        <v>358</v>
      </c>
      <c r="L21" s="163"/>
    </row>
    <row r="22" spans="1:12">
      <c r="A22" s="157">
        <v>5</v>
      </c>
      <c r="C22" s="155" t="s">
        <v>361</v>
      </c>
      <c r="E22" s="166">
        <f>SUM(E19:E21)</f>
        <v>10866752</v>
      </c>
    </row>
    <row r="23" spans="1:12">
      <c r="A23" s="157">
        <v>6</v>
      </c>
      <c r="C23" s="155" t="s">
        <v>619</v>
      </c>
      <c r="E23" s="167">
        <v>0.25</v>
      </c>
      <c r="G23" s="157"/>
    </row>
    <row r="24" spans="1:12" ht="13.5" thickBot="1">
      <c r="A24" s="157">
        <v>7</v>
      </c>
      <c r="C24" s="155" t="s">
        <v>362</v>
      </c>
      <c r="E24" s="168">
        <f>E22*E23</f>
        <v>2716688</v>
      </c>
    </row>
    <row r="25" spans="1:12" ht="13.5" thickTop="1"/>
    <row r="26" spans="1:12">
      <c r="C26" s="169" t="s">
        <v>393</v>
      </c>
    </row>
    <row r="27" spans="1:12">
      <c r="A27" s="157">
        <v>8</v>
      </c>
      <c r="C27" s="155" t="s">
        <v>363</v>
      </c>
      <c r="E27" s="166">
        <f>E24*G32</f>
        <v>2043522.8738944491</v>
      </c>
      <c r="G27" s="157" t="s">
        <v>392</v>
      </c>
    </row>
    <row r="28" spans="1:12">
      <c r="A28" s="157">
        <v>9</v>
      </c>
      <c r="C28" s="155" t="s">
        <v>364</v>
      </c>
      <c r="E28" s="166">
        <f>E24*G33</f>
        <v>673164.62610564299</v>
      </c>
      <c r="G28" s="157" t="s">
        <v>392</v>
      </c>
    </row>
    <row r="29" spans="1:12" ht="13.5" thickBot="1">
      <c r="A29" s="157">
        <v>10</v>
      </c>
      <c r="C29" s="155" t="s">
        <v>365</v>
      </c>
      <c r="E29" s="168">
        <f>E27+E28</f>
        <v>2716687.5000000922</v>
      </c>
    </row>
    <row r="30" spans="1:12" ht="13.5" thickTop="1"/>
    <row r="31" spans="1:12">
      <c r="C31" s="169" t="s">
        <v>620</v>
      </c>
    </row>
    <row r="32" spans="1:12">
      <c r="A32" s="157">
        <v>11</v>
      </c>
      <c r="C32" s="155" t="s">
        <v>621</v>
      </c>
      <c r="E32" s="19">
        <f>'C-2 P2'!E86</f>
        <v>8174093</v>
      </c>
      <c r="G32" s="170">
        <f>E32/E34</f>
        <v>0.75221110186169671</v>
      </c>
    </row>
    <row r="33" spans="1:7">
      <c r="A33" s="157">
        <v>12</v>
      </c>
      <c r="C33" s="155" t="s">
        <v>622</v>
      </c>
      <c r="E33" s="19">
        <f>'C-2 P2'!G86</f>
        <v>2692659</v>
      </c>
      <c r="G33" s="170">
        <f>E33/E34</f>
        <v>0.24778871409070272</v>
      </c>
    </row>
    <row r="34" spans="1:7" ht="13.5" thickBot="1">
      <c r="A34" s="157">
        <v>13</v>
      </c>
      <c r="C34" s="155" t="s">
        <v>623</v>
      </c>
      <c r="E34" s="172">
        <f>E32+E33+2</f>
        <v>10866754</v>
      </c>
      <c r="G34" s="171">
        <f>G32+G33</f>
        <v>0.9999998159523994</v>
      </c>
    </row>
    <row r="35" spans="1:7" ht="13.5" thickTop="1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1"/>
  <sheetViews>
    <sheetView workbookViewId="0">
      <selection activeCell="C64" sqref="C64"/>
    </sheetView>
  </sheetViews>
  <sheetFormatPr defaultRowHeight="12.75"/>
  <cols>
    <col min="1" max="1" width="5.28515625" style="1" customWidth="1"/>
    <col min="2" max="2" width="1" style="1" customWidth="1"/>
    <col min="3" max="3" width="41.5703125" style="1" bestFit="1" customWidth="1"/>
    <col min="4" max="4" width="1" style="1" customWidth="1"/>
    <col min="5" max="5" width="9.140625" style="1"/>
    <col min="6" max="6" width="0.7109375" style="1" customWidth="1"/>
    <col min="7" max="7" width="16.140625" style="1" bestFit="1" customWidth="1"/>
    <col min="8" max="8" width="0.85546875" style="1" customWidth="1"/>
    <col min="9" max="9" width="16.140625" style="1" bestFit="1" customWidth="1"/>
    <col min="10" max="10" width="0.7109375" style="1" customWidth="1"/>
    <col min="11" max="11" width="15.5703125" style="1" bestFit="1" customWidth="1"/>
    <col min="12" max="15" width="2.140625" style="1" customWidth="1"/>
    <col min="16" max="16384" width="9.140625" style="1"/>
  </cols>
  <sheetData>
    <row r="1" spans="1:11">
      <c r="A1" s="1" t="str">
        <f>Contents!A1</f>
        <v>Louisville Gas and Electric Company</v>
      </c>
      <c r="K1" s="27" t="str">
        <f>Contents!$S$5</f>
        <v>Exhibit RCS-1</v>
      </c>
    </row>
    <row r="2" spans="1:11">
      <c r="A2" s="1" t="s">
        <v>54</v>
      </c>
      <c r="K2" s="27" t="s">
        <v>98</v>
      </c>
    </row>
    <row r="3" spans="1:11">
      <c r="A3" s="39"/>
      <c r="K3" s="27" t="str">
        <f>Contents!$A$2</f>
        <v>Case No. 2016-00371</v>
      </c>
    </row>
    <row r="4" spans="1:11">
      <c r="A4" s="1" t="s">
        <v>289</v>
      </c>
      <c r="K4" s="27" t="s">
        <v>72</v>
      </c>
    </row>
    <row r="6" spans="1:11">
      <c r="A6" s="92" t="s">
        <v>0</v>
      </c>
      <c r="G6" s="92" t="s">
        <v>5</v>
      </c>
      <c r="H6" s="92"/>
      <c r="I6" s="92"/>
      <c r="J6" s="92"/>
    </row>
    <row r="7" spans="1:11">
      <c r="A7" s="11" t="s">
        <v>2</v>
      </c>
      <c r="C7" s="2" t="s">
        <v>3</v>
      </c>
      <c r="D7" s="13"/>
      <c r="E7" s="218" t="s">
        <v>15</v>
      </c>
      <c r="G7" s="11" t="s">
        <v>45</v>
      </c>
      <c r="H7" s="92"/>
      <c r="I7" s="11" t="s">
        <v>154</v>
      </c>
      <c r="J7" s="92"/>
      <c r="K7" s="11" t="s">
        <v>29</v>
      </c>
    </row>
    <row r="8" spans="1:11">
      <c r="G8" s="92" t="s">
        <v>6</v>
      </c>
      <c r="H8" s="92"/>
      <c r="I8" s="92" t="s">
        <v>7</v>
      </c>
      <c r="J8" s="92"/>
      <c r="K8" s="92" t="s">
        <v>18</v>
      </c>
    </row>
    <row r="10" spans="1:11" ht="15.75" thickBot="1">
      <c r="A10" s="92">
        <v>1</v>
      </c>
      <c r="C10" s="1" t="s">
        <v>195</v>
      </c>
      <c r="E10" s="92" t="s">
        <v>116</v>
      </c>
      <c r="G10" s="4">
        <f>B!E40</f>
        <v>2404580875.1056299</v>
      </c>
      <c r="I10" s="4">
        <f>B!I40</f>
        <v>2378506135.3283606</v>
      </c>
      <c r="K10" s="127">
        <f>I10-G10</f>
        <v>-26074739.777269363</v>
      </c>
    </row>
    <row r="11" spans="1:11" ht="13.5" thickTop="1">
      <c r="A11" s="92">
        <f t="shared" ref="A11:A20" si="0">A10+1</f>
        <v>2</v>
      </c>
      <c r="C11" s="1" t="s">
        <v>11</v>
      </c>
      <c r="E11" s="92" t="s">
        <v>116</v>
      </c>
      <c r="G11" s="97">
        <f>'Dp1'!K14</f>
        <v>7.2431000473664575E-2</v>
      </c>
      <c r="I11" s="97">
        <f>'Dp1'!K20</f>
        <v>6.2867580000000006E-2</v>
      </c>
    </row>
    <row r="12" spans="1:11">
      <c r="A12" s="92">
        <f t="shared" si="0"/>
        <v>3</v>
      </c>
      <c r="C12" s="1" t="s">
        <v>12</v>
      </c>
      <c r="E12" s="92"/>
      <c r="G12" s="4">
        <f>G10*G11</f>
        <v>174166198.50374067</v>
      </c>
      <c r="I12" s="4">
        <f>I10*I11</f>
        <v>149530924.74324656</v>
      </c>
      <c r="K12" s="42">
        <f>I12-G12</f>
        <v>-24635273.760494113</v>
      </c>
    </row>
    <row r="13" spans="1:11">
      <c r="A13" s="92">
        <f t="shared" si="0"/>
        <v>4</v>
      </c>
      <c r="C13" s="1" t="s">
        <v>13</v>
      </c>
      <c r="E13" s="92" t="s">
        <v>117</v>
      </c>
      <c r="G13" s="45">
        <f>'C'!E26</f>
        <v>117112876.714517</v>
      </c>
      <c r="I13" s="45">
        <f>'C'!I26</f>
        <v>124720252.7514919</v>
      </c>
      <c r="K13" s="42">
        <f>I13-G13</f>
        <v>7607376.0369749069</v>
      </c>
    </row>
    <row r="14" spans="1:11" ht="13.5" thickBot="1">
      <c r="A14" s="92">
        <f t="shared" si="0"/>
        <v>5</v>
      </c>
      <c r="C14" s="1" t="s">
        <v>232</v>
      </c>
      <c r="E14" s="92"/>
      <c r="G14" s="4">
        <f>G12-G13</f>
        <v>57053321.789223671</v>
      </c>
      <c r="I14" s="4">
        <f>I12-I13</f>
        <v>24810671.991754651</v>
      </c>
      <c r="K14" s="43">
        <f>I14-G14</f>
        <v>-32242649.79746902</v>
      </c>
    </row>
    <row r="15" spans="1:11" ht="13.5" thickTop="1">
      <c r="A15" s="92">
        <f t="shared" si="0"/>
        <v>6</v>
      </c>
      <c r="C15" s="1" t="s">
        <v>14</v>
      </c>
      <c r="E15" s="92" t="s">
        <v>118</v>
      </c>
      <c r="G15" s="220">
        <f>'A-1'!$K$22</f>
        <v>1.6409347988751752</v>
      </c>
      <c r="H15" s="221"/>
      <c r="I15" s="220">
        <f>'A-1'!$O$22</f>
        <v>1.6404084974767768</v>
      </c>
    </row>
    <row r="16" spans="1:11">
      <c r="A16" s="92">
        <f t="shared" si="0"/>
        <v>7</v>
      </c>
      <c r="C16" s="1" t="s">
        <v>55</v>
      </c>
      <c r="G16" s="19">
        <f>G14*G15</f>
        <v>93620781.115360394</v>
      </c>
      <c r="I16" s="19">
        <f>I14*I15</f>
        <v>40699637.163383394</v>
      </c>
      <c r="K16" s="19">
        <f>I16-G16</f>
        <v>-52921143.951977</v>
      </c>
    </row>
    <row r="17" spans="1:15" ht="13.5" thickBot="1">
      <c r="A17" s="92">
        <f>A16+1</f>
        <v>8</v>
      </c>
      <c r="C17" s="1" t="s">
        <v>194</v>
      </c>
      <c r="G17" s="18">
        <f>SUM(G16:G16)</f>
        <v>93620781.115360394</v>
      </c>
      <c r="I17" s="18">
        <f>SUM(I16:I16)</f>
        <v>40699637.163383394</v>
      </c>
      <c r="K17" s="18">
        <f>SUM(K16:K16)</f>
        <v>-52921143.951977</v>
      </c>
    </row>
    <row r="18" spans="1:15" ht="13.5" thickTop="1">
      <c r="A18" s="92"/>
      <c r="G18" s="19"/>
      <c r="I18" s="19"/>
      <c r="K18" s="19"/>
    </row>
    <row r="19" spans="1:15">
      <c r="A19" s="92">
        <f>A17+1</f>
        <v>9</v>
      </c>
      <c r="C19" s="1" t="s">
        <v>173</v>
      </c>
      <c r="E19" s="92" t="s">
        <v>117</v>
      </c>
      <c r="G19" s="19">
        <f>'C'!E14</f>
        <v>1017201652.8825258</v>
      </c>
      <c r="I19" s="19">
        <f>'C'!I14</f>
        <v>1017201652.8825258</v>
      </c>
      <c r="K19" s="19">
        <f>I19-G19</f>
        <v>0</v>
      </c>
    </row>
    <row r="20" spans="1:15" ht="13.5" thickBot="1">
      <c r="A20" s="92">
        <f t="shared" si="0"/>
        <v>10</v>
      </c>
      <c r="C20" s="1" t="s">
        <v>174</v>
      </c>
      <c r="E20" s="92" t="s">
        <v>117</v>
      </c>
      <c r="G20" s="139">
        <f>G17+G19</f>
        <v>1110822433.9978862</v>
      </c>
      <c r="I20" s="18">
        <f>I17+I19</f>
        <v>1057901290.0459092</v>
      </c>
      <c r="K20" s="18">
        <f>I20-G20</f>
        <v>-52921143.951977015</v>
      </c>
    </row>
    <row r="21" spans="1:15" ht="13.5" thickTop="1">
      <c r="A21" s="92"/>
      <c r="G21" s="19"/>
      <c r="I21" s="19"/>
      <c r="K21" s="38"/>
    </row>
    <row r="22" spans="1:15" ht="13.5" thickBot="1">
      <c r="A22" s="92">
        <f>A20+1</f>
        <v>11</v>
      </c>
      <c r="C22" s="1" t="s">
        <v>175</v>
      </c>
      <c r="G22" s="62">
        <f>G17/G19</f>
        <v>9.2037582567880902E-2</v>
      </c>
      <c r="H22" s="5"/>
      <c r="I22" s="62">
        <f>I17/I19</f>
        <v>4.0011375372866899E-2</v>
      </c>
      <c r="K22" s="38"/>
    </row>
    <row r="23" spans="1:15" ht="13.5" thickTop="1"/>
    <row r="24" spans="1:15">
      <c r="A24" s="2" t="s">
        <v>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13"/>
      <c r="M24" s="13"/>
      <c r="N24" s="13"/>
      <c r="O24" s="13"/>
    </row>
    <row r="25" spans="1:15">
      <c r="A25" s="1" t="s">
        <v>10</v>
      </c>
      <c r="C25" s="49" t="s">
        <v>280</v>
      </c>
    </row>
    <row r="26" spans="1:15">
      <c r="A26" s="10" t="s">
        <v>170</v>
      </c>
    </row>
    <row r="27" spans="1:15">
      <c r="A27" s="12" t="s">
        <v>41</v>
      </c>
      <c r="B27" s="13"/>
      <c r="C27" s="13" t="s">
        <v>123</v>
      </c>
      <c r="D27" s="13"/>
      <c r="H27" s="13"/>
      <c r="I27" s="12"/>
      <c r="J27" s="13"/>
    </row>
    <row r="30" spans="1:15">
      <c r="I30" s="1" t="s">
        <v>178</v>
      </c>
    </row>
    <row r="33" spans="1:11">
      <c r="K33" s="16"/>
    </row>
    <row r="34" spans="1:11">
      <c r="A34" s="13"/>
      <c r="B34" s="13"/>
      <c r="C34" s="13"/>
      <c r="D34" s="13"/>
      <c r="H34" s="13"/>
      <c r="I34" s="13"/>
      <c r="J34" s="13"/>
      <c r="K34" s="12"/>
    </row>
    <row r="41" spans="1:11">
      <c r="I41" s="13"/>
      <c r="J41" s="13"/>
      <c r="K41" s="13"/>
    </row>
  </sheetData>
  <pageMargins left="0.75" right="0.75" top="1" bottom="0.75" header="0.5" footer="0.5"/>
  <pageSetup scale="105" fitToHeight="3" orientation="landscape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workbookViewId="0">
      <pane ySplit="7" topLeftCell="A8" activePane="bottomLeft" state="frozen"/>
      <selection activeCell="C64" sqref="C64"/>
      <selection pane="bottomLeft" activeCell="A86" sqref="A86"/>
    </sheetView>
  </sheetViews>
  <sheetFormatPr defaultRowHeight="12.75"/>
  <cols>
    <col min="1" max="1" width="5.42578125" style="1" customWidth="1"/>
    <col min="2" max="2" width="1.42578125" style="1" customWidth="1"/>
    <col min="3" max="3" width="14.42578125" style="92" customWidth="1"/>
    <col min="4" max="4" width="1.42578125" style="92" customWidth="1"/>
    <col min="5" max="5" width="11.5703125" style="1" customWidth="1"/>
    <col min="6" max="6" width="1" style="1" customWidth="1"/>
    <col min="7" max="7" width="11.140625" style="1" bestFit="1" customWidth="1"/>
    <col min="8" max="8" width="1.28515625" style="1" customWidth="1"/>
    <col min="9" max="9" width="12.7109375" style="1" customWidth="1"/>
    <col min="10" max="16384" width="9.140625" style="1"/>
  </cols>
  <sheetData>
    <row r="1" spans="1:9">
      <c r="A1" s="155" t="s">
        <v>377</v>
      </c>
      <c r="B1" s="155"/>
      <c r="C1" s="157"/>
      <c r="D1" s="157"/>
      <c r="E1" s="155"/>
      <c r="F1" s="155"/>
      <c r="G1" s="156"/>
      <c r="I1" s="27" t="str">
        <f>Contents!A4</f>
        <v>Exhibit RCS-1</v>
      </c>
    </row>
    <row r="2" spans="1:9">
      <c r="A2" s="155" t="s">
        <v>223</v>
      </c>
      <c r="B2" s="155"/>
      <c r="C2" s="157"/>
      <c r="D2" s="157"/>
      <c r="E2" s="155"/>
      <c r="F2" s="155"/>
      <c r="G2" s="156"/>
      <c r="I2" s="27" t="s">
        <v>127</v>
      </c>
    </row>
    <row r="3" spans="1:9">
      <c r="A3" s="155"/>
      <c r="B3" s="155"/>
      <c r="C3" s="157"/>
      <c r="D3" s="157"/>
      <c r="E3" s="155"/>
      <c r="F3" s="155"/>
      <c r="G3" s="156"/>
      <c r="I3" s="27" t="str">
        <f>Contents!A2</f>
        <v>Case No. 2016-00371</v>
      </c>
    </row>
    <row r="4" spans="1:9">
      <c r="A4" s="155" t="s">
        <v>289</v>
      </c>
      <c r="B4" s="155"/>
      <c r="C4" s="157"/>
      <c r="D4" s="157"/>
      <c r="E4" s="155"/>
      <c r="F4" s="155"/>
      <c r="G4" s="156"/>
      <c r="I4" s="27" t="s">
        <v>184</v>
      </c>
    </row>
    <row r="5" spans="1:9">
      <c r="A5" s="155"/>
      <c r="B5" s="155"/>
      <c r="C5" s="157"/>
      <c r="D5" s="157"/>
      <c r="E5" s="155"/>
      <c r="F5" s="155"/>
      <c r="G5" s="156"/>
    </row>
    <row r="6" spans="1:9">
      <c r="A6" s="92" t="s">
        <v>0</v>
      </c>
      <c r="C6" s="92" t="s">
        <v>378</v>
      </c>
      <c r="E6" s="12" t="s">
        <v>348</v>
      </c>
      <c r="G6" s="12" t="s">
        <v>389</v>
      </c>
    </row>
    <row r="7" spans="1:9">
      <c r="A7" s="174" t="s">
        <v>2</v>
      </c>
      <c r="C7" s="174" t="s">
        <v>379</v>
      </c>
      <c r="D7" s="12"/>
      <c r="E7" s="174" t="s">
        <v>388</v>
      </c>
      <c r="G7" s="174" t="s">
        <v>388</v>
      </c>
      <c r="I7" s="174" t="s">
        <v>28</v>
      </c>
    </row>
    <row r="8" spans="1:9">
      <c r="A8" s="12"/>
      <c r="C8" s="12"/>
      <c r="D8" s="12"/>
      <c r="E8" s="12" t="s">
        <v>6</v>
      </c>
      <c r="G8" s="12" t="s">
        <v>7</v>
      </c>
      <c r="I8" s="92" t="s">
        <v>18</v>
      </c>
    </row>
    <row r="9" spans="1:9">
      <c r="A9" s="92">
        <v>1</v>
      </c>
      <c r="C9" s="92" t="s">
        <v>380</v>
      </c>
      <c r="E9" s="4">
        <v>372329</v>
      </c>
      <c r="F9" s="4"/>
      <c r="G9" s="4"/>
      <c r="I9" s="42">
        <f>E9+G9</f>
        <v>372329</v>
      </c>
    </row>
    <row r="10" spans="1:9">
      <c r="A10" s="92">
        <f>A9+1</f>
        <v>2</v>
      </c>
      <c r="C10" s="92" t="s">
        <v>381</v>
      </c>
      <c r="E10" s="4">
        <v>221722</v>
      </c>
      <c r="F10" s="4"/>
      <c r="G10" s="4"/>
      <c r="I10" s="42">
        <f t="shared" ref="I10:I85" si="0">E10+G10</f>
        <v>221722</v>
      </c>
    </row>
    <row r="11" spans="1:9">
      <c r="A11" s="92">
        <f t="shared" ref="A11:A74" si="1">A10+1</f>
        <v>3</v>
      </c>
      <c r="C11" s="92" t="s">
        <v>382</v>
      </c>
      <c r="E11" s="4">
        <v>869237</v>
      </c>
      <c r="F11" s="4"/>
      <c r="G11" s="4"/>
      <c r="I11" s="42">
        <f t="shared" si="0"/>
        <v>869237</v>
      </c>
    </row>
    <row r="12" spans="1:9">
      <c r="A12" s="92">
        <f t="shared" si="1"/>
        <v>4</v>
      </c>
      <c r="C12" s="92" t="s">
        <v>383</v>
      </c>
      <c r="E12" s="4">
        <v>190018</v>
      </c>
      <c r="F12" s="4"/>
      <c r="G12" s="4"/>
      <c r="I12" s="42">
        <f t="shared" si="0"/>
        <v>190018</v>
      </c>
    </row>
    <row r="13" spans="1:9">
      <c r="A13" s="92">
        <f t="shared" si="1"/>
        <v>5</v>
      </c>
      <c r="C13" s="92" t="s">
        <v>384</v>
      </c>
      <c r="E13" s="4">
        <v>112730</v>
      </c>
      <c r="F13" s="4"/>
      <c r="G13" s="4"/>
      <c r="I13" s="42">
        <f t="shared" si="0"/>
        <v>112730</v>
      </c>
    </row>
    <row r="14" spans="1:9">
      <c r="A14" s="92">
        <f t="shared" si="1"/>
        <v>6</v>
      </c>
      <c r="C14" s="92" t="s">
        <v>385</v>
      </c>
      <c r="E14" s="4">
        <v>318817</v>
      </c>
      <c r="F14" s="4"/>
      <c r="G14" s="4"/>
      <c r="I14" s="42">
        <f t="shared" si="0"/>
        <v>318817</v>
      </c>
    </row>
    <row r="15" spans="1:9">
      <c r="A15" s="92">
        <f t="shared" si="1"/>
        <v>7</v>
      </c>
      <c r="C15" s="92" t="s">
        <v>386</v>
      </c>
      <c r="E15" s="4">
        <v>278127</v>
      </c>
      <c r="F15" s="4"/>
      <c r="G15" s="4"/>
      <c r="I15" s="42">
        <f t="shared" si="0"/>
        <v>278127</v>
      </c>
    </row>
    <row r="16" spans="1:9">
      <c r="A16" s="92">
        <f t="shared" si="1"/>
        <v>8</v>
      </c>
      <c r="C16" s="92" t="s">
        <v>387</v>
      </c>
      <c r="E16" s="4">
        <v>218165</v>
      </c>
      <c r="F16" s="4"/>
      <c r="G16" s="4"/>
      <c r="I16" s="42">
        <f t="shared" si="0"/>
        <v>218165</v>
      </c>
    </row>
    <row r="17" spans="1:9">
      <c r="A17" s="92">
        <f t="shared" si="1"/>
        <v>9</v>
      </c>
      <c r="C17" s="92">
        <v>535</v>
      </c>
      <c r="E17" s="4">
        <v>8553</v>
      </c>
      <c r="F17" s="4"/>
      <c r="G17" s="4"/>
      <c r="I17" s="42">
        <f t="shared" si="0"/>
        <v>8553</v>
      </c>
    </row>
    <row r="18" spans="1:9">
      <c r="A18" s="92">
        <f t="shared" si="1"/>
        <v>10</v>
      </c>
      <c r="C18" s="92">
        <v>538</v>
      </c>
      <c r="E18" s="4">
        <v>16074</v>
      </c>
      <c r="F18" s="4"/>
      <c r="G18" s="4"/>
      <c r="I18" s="42">
        <f t="shared" si="0"/>
        <v>16074</v>
      </c>
    </row>
    <row r="19" spans="1:9">
      <c r="A19" s="92">
        <f t="shared" si="1"/>
        <v>11</v>
      </c>
      <c r="C19" s="92">
        <v>539</v>
      </c>
      <c r="E19" s="4">
        <v>5391</v>
      </c>
      <c r="F19" s="4"/>
      <c r="G19" s="4"/>
      <c r="I19" s="42">
        <f t="shared" si="0"/>
        <v>5391</v>
      </c>
    </row>
    <row r="20" spans="1:9">
      <c r="A20" s="92">
        <f t="shared" si="1"/>
        <v>12</v>
      </c>
      <c r="C20" s="92">
        <v>542</v>
      </c>
      <c r="E20" s="4">
        <v>4182</v>
      </c>
      <c r="F20" s="4"/>
      <c r="G20" s="4"/>
      <c r="I20" s="42">
        <f t="shared" si="0"/>
        <v>4182</v>
      </c>
    </row>
    <row r="21" spans="1:9">
      <c r="A21" s="92">
        <f t="shared" si="1"/>
        <v>13</v>
      </c>
      <c r="C21" s="92">
        <v>543</v>
      </c>
      <c r="E21" s="4">
        <v>4182</v>
      </c>
      <c r="F21" s="4"/>
      <c r="G21" s="4"/>
      <c r="I21" s="42">
        <f t="shared" si="0"/>
        <v>4182</v>
      </c>
    </row>
    <row r="22" spans="1:9">
      <c r="A22" s="92">
        <f t="shared" si="1"/>
        <v>14</v>
      </c>
      <c r="C22" s="92">
        <v>544</v>
      </c>
      <c r="E22" s="4">
        <v>13476</v>
      </c>
      <c r="F22" s="4"/>
      <c r="G22" s="4"/>
      <c r="I22" s="42">
        <f t="shared" si="0"/>
        <v>13476</v>
      </c>
    </row>
    <row r="23" spans="1:9">
      <c r="A23" s="92">
        <f t="shared" si="1"/>
        <v>15</v>
      </c>
      <c r="C23" s="92">
        <v>546</v>
      </c>
      <c r="E23" s="4">
        <v>80772</v>
      </c>
      <c r="F23" s="4"/>
      <c r="G23" s="4"/>
      <c r="I23" s="42">
        <f t="shared" si="0"/>
        <v>80772</v>
      </c>
    </row>
    <row r="24" spans="1:9">
      <c r="A24" s="92">
        <f t="shared" si="1"/>
        <v>16</v>
      </c>
      <c r="C24" s="92">
        <v>548</v>
      </c>
      <c r="E24" s="4">
        <v>42441</v>
      </c>
      <c r="F24" s="4"/>
      <c r="G24" s="4"/>
      <c r="I24" s="42">
        <f t="shared" si="0"/>
        <v>42441</v>
      </c>
    </row>
    <row r="25" spans="1:9">
      <c r="A25" s="92">
        <f t="shared" si="1"/>
        <v>17</v>
      </c>
      <c r="C25" s="92">
        <v>549</v>
      </c>
      <c r="E25" s="4">
        <v>168763</v>
      </c>
      <c r="F25" s="4"/>
      <c r="G25" s="4"/>
      <c r="I25" s="42">
        <f t="shared" si="0"/>
        <v>168763</v>
      </c>
    </row>
    <row r="26" spans="1:9">
      <c r="A26" s="92">
        <f t="shared" si="1"/>
        <v>18</v>
      </c>
      <c r="C26" s="92">
        <v>551</v>
      </c>
      <c r="E26" s="4">
        <v>26653</v>
      </c>
      <c r="F26" s="4"/>
      <c r="G26" s="4"/>
      <c r="I26" s="42">
        <f t="shared" si="0"/>
        <v>26653</v>
      </c>
    </row>
    <row r="27" spans="1:9">
      <c r="A27" s="92">
        <f t="shared" si="1"/>
        <v>19</v>
      </c>
      <c r="C27" s="92">
        <v>553</v>
      </c>
      <c r="E27" s="4">
        <v>69333</v>
      </c>
      <c r="F27" s="4"/>
      <c r="G27" s="4"/>
      <c r="I27" s="42">
        <f t="shared" si="0"/>
        <v>69333</v>
      </c>
    </row>
    <row r="28" spans="1:9">
      <c r="A28" s="92">
        <f t="shared" si="1"/>
        <v>20</v>
      </c>
      <c r="C28" s="92">
        <v>554</v>
      </c>
      <c r="E28" s="4">
        <v>124399</v>
      </c>
      <c r="F28" s="4"/>
      <c r="G28" s="4"/>
      <c r="I28" s="42">
        <f t="shared" si="0"/>
        <v>124399</v>
      </c>
    </row>
    <row r="29" spans="1:9">
      <c r="A29" s="92">
        <f t="shared" si="1"/>
        <v>21</v>
      </c>
      <c r="C29" s="92">
        <v>556</v>
      </c>
      <c r="E29" s="4">
        <v>117653</v>
      </c>
      <c r="F29" s="4"/>
      <c r="G29" s="4"/>
      <c r="I29" s="42">
        <f t="shared" si="0"/>
        <v>117653</v>
      </c>
    </row>
    <row r="30" spans="1:9">
      <c r="A30" s="92">
        <f t="shared" si="1"/>
        <v>22</v>
      </c>
      <c r="C30" s="92">
        <v>560</v>
      </c>
      <c r="E30" s="4">
        <v>120806</v>
      </c>
      <c r="F30" s="4"/>
      <c r="G30" s="4"/>
      <c r="I30" s="42">
        <f t="shared" si="0"/>
        <v>120806</v>
      </c>
    </row>
    <row r="31" spans="1:9">
      <c r="A31" s="92">
        <f t="shared" si="1"/>
        <v>23</v>
      </c>
      <c r="C31" s="92">
        <v>561</v>
      </c>
      <c r="E31" s="4">
        <v>178865</v>
      </c>
      <c r="F31" s="4"/>
      <c r="G31" s="4"/>
      <c r="I31" s="42">
        <f t="shared" si="0"/>
        <v>178865</v>
      </c>
    </row>
    <row r="32" spans="1:9">
      <c r="A32" s="92">
        <f t="shared" si="1"/>
        <v>24</v>
      </c>
      <c r="C32" s="92">
        <v>562</v>
      </c>
      <c r="E32" s="4">
        <v>29796</v>
      </c>
      <c r="F32" s="4"/>
      <c r="G32" s="4"/>
      <c r="I32" s="42">
        <f t="shared" si="0"/>
        <v>29796</v>
      </c>
    </row>
    <row r="33" spans="1:9">
      <c r="A33" s="92">
        <f t="shared" si="1"/>
        <v>25</v>
      </c>
      <c r="C33" s="92">
        <v>566</v>
      </c>
      <c r="E33" s="4">
        <v>688</v>
      </c>
      <c r="F33" s="4"/>
      <c r="G33" s="4"/>
      <c r="I33" s="42">
        <f t="shared" si="0"/>
        <v>688</v>
      </c>
    </row>
    <row r="34" spans="1:9">
      <c r="A34" s="92">
        <f t="shared" si="1"/>
        <v>26</v>
      </c>
      <c r="C34" s="92">
        <v>570</v>
      </c>
      <c r="E34" s="4">
        <v>61555</v>
      </c>
      <c r="F34" s="4"/>
      <c r="G34" s="4"/>
      <c r="I34" s="42">
        <f t="shared" si="0"/>
        <v>61555</v>
      </c>
    </row>
    <row r="35" spans="1:9">
      <c r="A35" s="92">
        <f t="shared" si="1"/>
        <v>27</v>
      </c>
      <c r="C35" s="92">
        <v>571</v>
      </c>
      <c r="E35" s="4">
        <v>699</v>
      </c>
      <c r="F35" s="4"/>
      <c r="G35" s="4"/>
      <c r="I35" s="42">
        <f t="shared" si="0"/>
        <v>699</v>
      </c>
    </row>
    <row r="36" spans="1:9">
      <c r="A36" s="92">
        <f t="shared" si="1"/>
        <v>28</v>
      </c>
      <c r="C36" s="92">
        <v>580</v>
      </c>
      <c r="E36" s="4">
        <v>105906</v>
      </c>
      <c r="F36" s="4"/>
      <c r="G36" s="4"/>
      <c r="I36" s="42">
        <f t="shared" si="0"/>
        <v>105906</v>
      </c>
    </row>
    <row r="37" spans="1:9">
      <c r="A37" s="92">
        <f t="shared" si="1"/>
        <v>29</v>
      </c>
      <c r="C37" s="92">
        <v>581</v>
      </c>
      <c r="E37" s="4">
        <v>70647</v>
      </c>
      <c r="F37" s="4"/>
      <c r="G37" s="4"/>
      <c r="I37" s="42">
        <f t="shared" si="0"/>
        <v>70647</v>
      </c>
    </row>
    <row r="38" spans="1:9">
      <c r="A38" s="92">
        <f t="shared" si="1"/>
        <v>30</v>
      </c>
      <c r="C38" s="92">
        <v>582</v>
      </c>
      <c r="E38" s="4">
        <v>75924</v>
      </c>
      <c r="F38" s="4"/>
      <c r="G38" s="4"/>
      <c r="I38" s="42">
        <f t="shared" si="0"/>
        <v>75924</v>
      </c>
    </row>
    <row r="39" spans="1:9">
      <c r="A39" s="92">
        <f t="shared" si="1"/>
        <v>31</v>
      </c>
      <c r="C39" s="92">
        <v>583</v>
      </c>
      <c r="E39" s="4">
        <v>186097</v>
      </c>
      <c r="F39" s="4"/>
      <c r="G39" s="4"/>
      <c r="I39" s="42">
        <f t="shared" si="0"/>
        <v>186097</v>
      </c>
    </row>
    <row r="40" spans="1:9">
      <c r="A40" s="92">
        <f t="shared" si="1"/>
        <v>32</v>
      </c>
      <c r="C40" s="92">
        <v>584</v>
      </c>
      <c r="E40" s="4">
        <v>15032</v>
      </c>
      <c r="F40" s="4"/>
      <c r="G40" s="4"/>
      <c r="I40" s="42">
        <f t="shared" si="0"/>
        <v>15032</v>
      </c>
    </row>
    <row r="41" spans="1:9">
      <c r="A41" s="92">
        <f t="shared" si="1"/>
        <v>33</v>
      </c>
      <c r="C41" s="92">
        <v>586</v>
      </c>
      <c r="E41" s="4">
        <v>382927</v>
      </c>
      <c r="F41" s="4"/>
      <c r="G41" s="4"/>
      <c r="I41" s="42">
        <f t="shared" si="0"/>
        <v>382927</v>
      </c>
    </row>
    <row r="42" spans="1:9">
      <c r="A42" s="92">
        <f t="shared" si="1"/>
        <v>34</v>
      </c>
      <c r="C42" s="92">
        <v>588</v>
      </c>
      <c r="E42" s="4">
        <v>171253</v>
      </c>
      <c r="F42" s="4"/>
      <c r="G42" s="4"/>
      <c r="I42" s="42">
        <f t="shared" si="0"/>
        <v>171253</v>
      </c>
    </row>
    <row r="43" spans="1:9">
      <c r="A43" s="92">
        <f t="shared" si="1"/>
        <v>35</v>
      </c>
      <c r="C43" s="92">
        <v>592</v>
      </c>
      <c r="E43" s="4">
        <v>17753</v>
      </c>
      <c r="F43" s="4"/>
      <c r="G43" s="4"/>
      <c r="I43" s="42">
        <f t="shared" si="0"/>
        <v>17753</v>
      </c>
    </row>
    <row r="44" spans="1:9">
      <c r="A44" s="92">
        <f t="shared" si="1"/>
        <v>36</v>
      </c>
      <c r="C44" s="92">
        <v>593</v>
      </c>
      <c r="E44" s="4">
        <v>233298</v>
      </c>
      <c r="F44" s="4"/>
      <c r="G44" s="4"/>
      <c r="I44" s="42">
        <f t="shared" si="0"/>
        <v>233298</v>
      </c>
    </row>
    <row r="45" spans="1:9">
      <c r="A45" s="92">
        <f t="shared" si="1"/>
        <v>37</v>
      </c>
      <c r="C45" s="92">
        <v>594</v>
      </c>
      <c r="E45" s="4">
        <v>36005</v>
      </c>
      <c r="F45" s="4"/>
      <c r="G45" s="4"/>
      <c r="I45" s="42">
        <f t="shared" si="0"/>
        <v>36005</v>
      </c>
    </row>
    <row r="46" spans="1:9">
      <c r="A46" s="92">
        <f t="shared" si="1"/>
        <v>38</v>
      </c>
      <c r="C46" s="92">
        <v>595</v>
      </c>
      <c r="E46" s="4">
        <v>6933</v>
      </c>
      <c r="F46" s="4"/>
      <c r="G46" s="4"/>
      <c r="I46" s="42">
        <f t="shared" si="0"/>
        <v>6933</v>
      </c>
    </row>
    <row r="47" spans="1:9">
      <c r="A47" s="92">
        <f t="shared" si="1"/>
        <v>39</v>
      </c>
      <c r="C47" s="92">
        <v>596</v>
      </c>
      <c r="E47" s="4">
        <v>607</v>
      </c>
      <c r="F47" s="4"/>
      <c r="G47" s="4"/>
      <c r="I47" s="42">
        <f t="shared" si="0"/>
        <v>607</v>
      </c>
    </row>
    <row r="48" spans="1:9">
      <c r="A48" s="92">
        <f t="shared" si="1"/>
        <v>40</v>
      </c>
      <c r="C48" s="92">
        <v>807</v>
      </c>
      <c r="E48" s="4"/>
      <c r="F48" s="4"/>
      <c r="G48" s="4">
        <v>54837</v>
      </c>
      <c r="I48" s="42">
        <f t="shared" si="0"/>
        <v>54837</v>
      </c>
    </row>
    <row r="49" spans="1:9">
      <c r="A49" s="92">
        <f t="shared" si="1"/>
        <v>41</v>
      </c>
      <c r="C49" s="92">
        <v>814</v>
      </c>
      <c r="E49" s="4"/>
      <c r="F49" s="4"/>
      <c r="G49" s="4">
        <v>30281</v>
      </c>
      <c r="I49" s="42">
        <f t="shared" si="0"/>
        <v>30281</v>
      </c>
    </row>
    <row r="50" spans="1:9">
      <c r="A50" s="92">
        <f t="shared" si="1"/>
        <v>42</v>
      </c>
      <c r="C50" s="92">
        <v>816</v>
      </c>
      <c r="E50" s="4"/>
      <c r="F50" s="4"/>
      <c r="G50" s="4">
        <v>2319</v>
      </c>
      <c r="I50" s="42">
        <f t="shared" si="0"/>
        <v>2319</v>
      </c>
    </row>
    <row r="51" spans="1:9">
      <c r="A51" s="92">
        <f t="shared" si="1"/>
        <v>43</v>
      </c>
      <c r="C51" s="92">
        <v>817</v>
      </c>
      <c r="E51" s="4"/>
      <c r="F51" s="4"/>
      <c r="G51" s="4">
        <v>60211</v>
      </c>
      <c r="I51" s="42">
        <f t="shared" si="0"/>
        <v>60211</v>
      </c>
    </row>
    <row r="52" spans="1:9">
      <c r="A52" s="92">
        <f t="shared" si="1"/>
        <v>44</v>
      </c>
      <c r="C52" s="92">
        <v>818</v>
      </c>
      <c r="E52" s="4"/>
      <c r="F52" s="4"/>
      <c r="G52" s="4">
        <v>129181</v>
      </c>
      <c r="I52" s="42">
        <f t="shared" si="0"/>
        <v>129181</v>
      </c>
    </row>
    <row r="53" spans="1:9">
      <c r="A53" s="92">
        <f t="shared" si="1"/>
        <v>45</v>
      </c>
      <c r="C53" s="92">
        <v>821</v>
      </c>
      <c r="E53" s="4"/>
      <c r="F53" s="4"/>
      <c r="G53" s="4">
        <v>43332</v>
      </c>
      <c r="I53" s="42">
        <f t="shared" si="0"/>
        <v>43332</v>
      </c>
    </row>
    <row r="54" spans="1:9">
      <c r="A54" s="92">
        <f t="shared" si="1"/>
        <v>46</v>
      </c>
      <c r="C54" s="92">
        <v>830</v>
      </c>
      <c r="E54" s="4"/>
      <c r="F54" s="4"/>
      <c r="G54" s="4">
        <v>16594</v>
      </c>
      <c r="I54" s="42">
        <f t="shared" si="0"/>
        <v>16594</v>
      </c>
    </row>
    <row r="55" spans="1:9">
      <c r="A55" s="92">
        <f t="shared" si="1"/>
        <v>47</v>
      </c>
      <c r="C55" s="92">
        <v>832</v>
      </c>
      <c r="E55" s="4"/>
      <c r="F55" s="4"/>
      <c r="G55" s="4">
        <v>3390</v>
      </c>
      <c r="I55" s="42">
        <f t="shared" si="0"/>
        <v>3390</v>
      </c>
    </row>
    <row r="56" spans="1:9">
      <c r="A56" s="92">
        <f t="shared" si="1"/>
        <v>48</v>
      </c>
      <c r="C56" s="92">
        <v>833</v>
      </c>
      <c r="E56" s="4"/>
      <c r="F56" s="4"/>
      <c r="G56" s="4">
        <v>6959</v>
      </c>
      <c r="I56" s="42">
        <f t="shared" si="0"/>
        <v>6959</v>
      </c>
    </row>
    <row r="57" spans="1:9">
      <c r="A57" s="92">
        <f t="shared" si="1"/>
        <v>49</v>
      </c>
      <c r="C57" s="92">
        <v>834</v>
      </c>
      <c r="E57" s="4"/>
      <c r="F57" s="4"/>
      <c r="G57" s="4">
        <v>8741</v>
      </c>
      <c r="I57" s="42">
        <f t="shared" si="0"/>
        <v>8741</v>
      </c>
    </row>
    <row r="58" spans="1:9">
      <c r="A58" s="92">
        <f t="shared" si="1"/>
        <v>50</v>
      </c>
      <c r="C58" s="92">
        <v>835</v>
      </c>
      <c r="E58" s="4"/>
      <c r="F58" s="4"/>
      <c r="G58" s="4">
        <v>1695</v>
      </c>
      <c r="I58" s="42">
        <f t="shared" si="0"/>
        <v>1695</v>
      </c>
    </row>
    <row r="59" spans="1:9">
      <c r="A59" s="92">
        <f t="shared" si="1"/>
        <v>51</v>
      </c>
      <c r="C59" s="92">
        <v>836</v>
      </c>
      <c r="E59" s="4"/>
      <c r="F59" s="4"/>
      <c r="G59" s="4">
        <v>17747</v>
      </c>
      <c r="I59" s="42">
        <f t="shared" si="0"/>
        <v>17747</v>
      </c>
    </row>
    <row r="60" spans="1:9">
      <c r="A60" s="92">
        <f t="shared" si="1"/>
        <v>52</v>
      </c>
      <c r="C60" s="92">
        <v>837</v>
      </c>
      <c r="E60" s="4"/>
      <c r="F60" s="4"/>
      <c r="G60" s="4">
        <v>17841</v>
      </c>
      <c r="I60" s="42">
        <f t="shared" si="0"/>
        <v>17841</v>
      </c>
    </row>
    <row r="61" spans="1:9">
      <c r="A61" s="92">
        <f t="shared" si="1"/>
        <v>53</v>
      </c>
      <c r="C61" s="92">
        <v>850</v>
      </c>
      <c r="E61" s="4"/>
      <c r="F61" s="4"/>
      <c r="G61" s="4">
        <v>54172</v>
      </c>
      <c r="I61" s="42">
        <f t="shared" si="0"/>
        <v>54172</v>
      </c>
    </row>
    <row r="62" spans="1:9">
      <c r="A62" s="92">
        <f t="shared" si="1"/>
        <v>54</v>
      </c>
      <c r="C62" s="92">
        <v>851</v>
      </c>
      <c r="E62" s="4"/>
      <c r="F62" s="4"/>
      <c r="G62" s="4">
        <v>31495</v>
      </c>
      <c r="I62" s="42">
        <f t="shared" si="0"/>
        <v>31495</v>
      </c>
    </row>
    <row r="63" spans="1:9">
      <c r="A63" s="92">
        <f t="shared" si="1"/>
        <v>55</v>
      </c>
      <c r="C63" s="92">
        <v>856</v>
      </c>
      <c r="E63" s="4"/>
      <c r="F63" s="4"/>
      <c r="G63" s="4">
        <v>39600</v>
      </c>
      <c r="I63" s="42">
        <f t="shared" si="0"/>
        <v>39600</v>
      </c>
    </row>
    <row r="64" spans="1:9">
      <c r="A64" s="92">
        <f t="shared" si="1"/>
        <v>56</v>
      </c>
      <c r="C64" s="92">
        <v>863</v>
      </c>
      <c r="E64" s="4"/>
      <c r="F64" s="4"/>
      <c r="G64" s="4">
        <v>80203</v>
      </c>
      <c r="I64" s="42">
        <f t="shared" si="0"/>
        <v>80203</v>
      </c>
    </row>
    <row r="65" spans="1:9">
      <c r="A65" s="92">
        <f t="shared" si="1"/>
        <v>57</v>
      </c>
      <c r="C65" s="92">
        <v>871</v>
      </c>
      <c r="E65" s="4"/>
      <c r="F65" s="4"/>
      <c r="G65" s="4">
        <v>60492</v>
      </c>
      <c r="I65" s="42">
        <f t="shared" si="0"/>
        <v>60492</v>
      </c>
    </row>
    <row r="66" spans="1:9">
      <c r="A66" s="92">
        <f t="shared" si="1"/>
        <v>58</v>
      </c>
      <c r="C66" s="92">
        <v>874</v>
      </c>
      <c r="E66" s="4"/>
      <c r="F66" s="4"/>
      <c r="G66" s="4">
        <v>84223</v>
      </c>
      <c r="I66" s="42">
        <f t="shared" si="0"/>
        <v>84223</v>
      </c>
    </row>
    <row r="67" spans="1:9">
      <c r="A67" s="92">
        <f t="shared" si="1"/>
        <v>59</v>
      </c>
      <c r="C67" s="92">
        <v>875</v>
      </c>
      <c r="E67" s="4"/>
      <c r="F67" s="4"/>
      <c r="G67" s="4">
        <v>62000</v>
      </c>
      <c r="I67" s="42">
        <f t="shared" si="0"/>
        <v>62000</v>
      </c>
    </row>
    <row r="68" spans="1:9">
      <c r="A68" s="92">
        <f t="shared" si="1"/>
        <v>60</v>
      </c>
      <c r="C68" s="92">
        <v>876</v>
      </c>
      <c r="E68" s="4"/>
      <c r="F68" s="4"/>
      <c r="G68" s="4">
        <v>30247</v>
      </c>
      <c r="I68" s="42">
        <f t="shared" si="0"/>
        <v>30247</v>
      </c>
    </row>
    <row r="69" spans="1:9">
      <c r="A69" s="92">
        <f t="shared" si="1"/>
        <v>61</v>
      </c>
      <c r="C69" s="92">
        <v>877</v>
      </c>
      <c r="E69" s="4"/>
      <c r="F69" s="4"/>
      <c r="G69" s="4">
        <v>4728</v>
      </c>
      <c r="I69" s="42">
        <f t="shared" si="0"/>
        <v>4728</v>
      </c>
    </row>
    <row r="70" spans="1:9">
      <c r="A70" s="92">
        <f t="shared" si="1"/>
        <v>62</v>
      </c>
      <c r="C70" s="92">
        <v>878</v>
      </c>
      <c r="E70" s="4"/>
      <c r="F70" s="4"/>
      <c r="G70" s="4">
        <v>58540</v>
      </c>
      <c r="I70" s="42">
        <f t="shared" si="0"/>
        <v>58540</v>
      </c>
    </row>
    <row r="71" spans="1:9">
      <c r="A71" s="92">
        <f t="shared" si="1"/>
        <v>63</v>
      </c>
      <c r="C71" s="92">
        <v>879</v>
      </c>
      <c r="E71" s="4"/>
      <c r="F71" s="4"/>
      <c r="G71" s="4">
        <v>5977</v>
      </c>
      <c r="I71" s="42">
        <f t="shared" si="0"/>
        <v>5977</v>
      </c>
    </row>
    <row r="72" spans="1:9">
      <c r="A72" s="92">
        <f t="shared" si="1"/>
        <v>64</v>
      </c>
      <c r="C72" s="92">
        <v>880</v>
      </c>
      <c r="E72" s="4"/>
      <c r="F72" s="4"/>
      <c r="G72" s="4">
        <v>144936</v>
      </c>
      <c r="I72" s="42">
        <f t="shared" si="0"/>
        <v>144936</v>
      </c>
    </row>
    <row r="73" spans="1:9">
      <c r="A73" s="92">
        <f t="shared" si="1"/>
        <v>65</v>
      </c>
      <c r="C73" s="92">
        <v>887</v>
      </c>
      <c r="E73" s="4"/>
      <c r="F73" s="4"/>
      <c r="G73" s="4">
        <v>348996</v>
      </c>
      <c r="I73" s="42">
        <f t="shared" si="0"/>
        <v>348996</v>
      </c>
    </row>
    <row r="74" spans="1:9">
      <c r="A74" s="92">
        <f t="shared" si="1"/>
        <v>66</v>
      </c>
      <c r="C74" s="92">
        <v>889</v>
      </c>
      <c r="E74" s="4"/>
      <c r="F74" s="4"/>
      <c r="G74" s="4">
        <v>5532</v>
      </c>
      <c r="I74" s="42">
        <f t="shared" si="0"/>
        <v>5532</v>
      </c>
    </row>
    <row r="75" spans="1:9">
      <c r="A75" s="92">
        <f t="shared" ref="A75:A86" si="2">A74+1</f>
        <v>67</v>
      </c>
      <c r="C75" s="92">
        <v>890</v>
      </c>
      <c r="E75" s="4"/>
      <c r="F75" s="4"/>
      <c r="G75" s="4">
        <v>14988</v>
      </c>
      <c r="I75" s="42">
        <f t="shared" si="0"/>
        <v>14988</v>
      </c>
    </row>
    <row r="76" spans="1:9">
      <c r="A76" s="92">
        <f t="shared" si="2"/>
        <v>68</v>
      </c>
      <c r="C76" s="92">
        <v>891</v>
      </c>
      <c r="E76" s="4"/>
      <c r="F76" s="4"/>
      <c r="G76" s="4">
        <v>15611</v>
      </c>
      <c r="I76" s="42">
        <f t="shared" si="0"/>
        <v>15611</v>
      </c>
    </row>
    <row r="77" spans="1:9">
      <c r="A77" s="92">
        <f t="shared" si="2"/>
        <v>69</v>
      </c>
      <c r="C77" s="92">
        <v>892</v>
      </c>
      <c r="E77" s="4"/>
      <c r="F77" s="4"/>
      <c r="G77" s="4">
        <v>50815</v>
      </c>
      <c r="I77" s="42">
        <f t="shared" si="0"/>
        <v>50815</v>
      </c>
    </row>
    <row r="78" spans="1:9">
      <c r="A78" s="92">
        <f t="shared" si="2"/>
        <v>70</v>
      </c>
      <c r="C78" s="92">
        <v>894</v>
      </c>
      <c r="E78" s="4"/>
      <c r="F78" s="4"/>
      <c r="G78" s="4">
        <v>11508</v>
      </c>
      <c r="I78" s="42">
        <f t="shared" si="0"/>
        <v>11508</v>
      </c>
    </row>
    <row r="79" spans="1:9">
      <c r="A79" s="92">
        <f t="shared" si="2"/>
        <v>71</v>
      </c>
      <c r="C79" s="92">
        <v>901</v>
      </c>
      <c r="E79" s="4">
        <v>110461</v>
      </c>
      <c r="F79" s="4"/>
      <c r="G79" s="4">
        <v>86790</v>
      </c>
      <c r="I79" s="42">
        <f t="shared" si="0"/>
        <v>197251</v>
      </c>
    </row>
    <row r="80" spans="1:9">
      <c r="A80" s="92">
        <f t="shared" si="2"/>
        <v>72</v>
      </c>
      <c r="C80" s="92">
        <v>902</v>
      </c>
      <c r="E80" s="4">
        <v>34545</v>
      </c>
      <c r="F80" s="4"/>
      <c r="G80" s="4">
        <v>27142</v>
      </c>
      <c r="I80" s="42">
        <f t="shared" si="0"/>
        <v>61687</v>
      </c>
    </row>
    <row r="81" spans="1:9">
      <c r="A81" s="92">
        <f t="shared" si="2"/>
        <v>73</v>
      </c>
      <c r="C81" s="92">
        <v>903</v>
      </c>
      <c r="E81" s="4">
        <v>393280</v>
      </c>
      <c r="F81" s="4"/>
      <c r="G81" s="4">
        <v>309006</v>
      </c>
      <c r="I81" s="42">
        <f t="shared" si="0"/>
        <v>702286</v>
      </c>
    </row>
    <row r="82" spans="1:9">
      <c r="A82" s="92">
        <f t="shared" si="2"/>
        <v>74</v>
      </c>
      <c r="C82" s="92">
        <v>907</v>
      </c>
      <c r="E82" s="4">
        <v>23177</v>
      </c>
      <c r="F82" s="4"/>
      <c r="G82" s="4">
        <v>18211</v>
      </c>
      <c r="I82" s="42">
        <f t="shared" si="0"/>
        <v>41388</v>
      </c>
    </row>
    <row r="83" spans="1:9">
      <c r="A83" s="92">
        <f t="shared" si="2"/>
        <v>75</v>
      </c>
      <c r="C83" s="92">
        <v>908</v>
      </c>
      <c r="E83" s="4">
        <v>16949</v>
      </c>
      <c r="F83" s="4"/>
      <c r="G83" s="4">
        <v>4781</v>
      </c>
      <c r="I83" s="42">
        <f t="shared" si="0"/>
        <v>21730</v>
      </c>
    </row>
    <row r="84" spans="1:9">
      <c r="A84" s="92">
        <f t="shared" si="2"/>
        <v>76</v>
      </c>
      <c r="C84" s="92">
        <v>920</v>
      </c>
      <c r="E84" s="4">
        <v>2600191</v>
      </c>
      <c r="F84" s="4"/>
      <c r="G84" s="4">
        <v>733387</v>
      </c>
      <c r="I84" s="42">
        <f t="shared" si="0"/>
        <v>3333578</v>
      </c>
    </row>
    <row r="85" spans="1:9">
      <c r="A85" s="92">
        <f t="shared" si="2"/>
        <v>77</v>
      </c>
      <c r="C85" s="92">
        <v>935</v>
      </c>
      <c r="E85" s="4">
        <v>37682</v>
      </c>
      <c r="F85" s="4"/>
      <c r="G85" s="4">
        <v>16149</v>
      </c>
      <c r="I85" s="42">
        <f t="shared" si="0"/>
        <v>53831</v>
      </c>
    </row>
    <row r="86" spans="1:9" ht="13.5" thickBot="1">
      <c r="A86" s="92">
        <f t="shared" si="2"/>
        <v>78</v>
      </c>
      <c r="C86" s="92" t="s">
        <v>28</v>
      </c>
      <c r="E86" s="18">
        <f>SUM(E9:E85)</f>
        <v>8174093</v>
      </c>
      <c r="F86" s="4"/>
      <c r="G86" s="18">
        <f>SUM(G9:G85)+2</f>
        <v>2692659</v>
      </c>
      <c r="I86" s="18">
        <f>SUM(I9:I85)+2</f>
        <v>10866752</v>
      </c>
    </row>
    <row r="87" spans="1:9" ht="13.5" thickTop="1"/>
    <row r="88" spans="1:9">
      <c r="A88" s="2" t="s">
        <v>9</v>
      </c>
      <c r="B88" s="2"/>
      <c r="C88" s="174"/>
      <c r="D88" s="174"/>
      <c r="E88" s="2"/>
      <c r="F88" s="2"/>
      <c r="G88" s="2"/>
      <c r="H88" s="2"/>
      <c r="I88" s="2"/>
    </row>
    <row r="89" spans="1:9">
      <c r="A89" s="1" t="s">
        <v>390</v>
      </c>
    </row>
  </sheetData>
  <pageMargins left="1.87" right="0.7" top="0.38" bottom="0.31" header="0.3" footer="0.3"/>
  <pageSetup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C64" sqref="C64"/>
    </sheetView>
  </sheetViews>
  <sheetFormatPr defaultRowHeight="12.75"/>
  <cols>
    <col min="1" max="1" width="4.7109375" style="155" customWidth="1"/>
    <col min="2" max="2" width="1.42578125" style="155" customWidth="1"/>
    <col min="3" max="3" width="30.140625" style="155" bestFit="1" customWidth="1"/>
    <col min="4" max="4" width="1.28515625" style="155" customWidth="1"/>
    <col min="5" max="5" width="12.28515625" style="155" customWidth="1"/>
    <col min="6" max="6" width="9.140625" style="155"/>
    <col min="7" max="7" width="3.140625" style="155" customWidth="1"/>
    <col min="8" max="8" width="11.85546875" style="155" customWidth="1"/>
    <col min="9" max="9" width="9.140625" style="155"/>
    <col min="10" max="10" width="3.5703125" style="155" customWidth="1"/>
    <col min="11" max="11" width="10.7109375" style="155" bestFit="1" customWidth="1"/>
    <col min="12" max="16384" width="9.140625" style="155"/>
  </cols>
  <sheetData>
    <row r="1" spans="1:12">
      <c r="A1" s="155" t="s">
        <v>281</v>
      </c>
      <c r="L1" s="156" t="str">
        <f>Contents!A4</f>
        <v>Exhibit RCS-1</v>
      </c>
    </row>
    <row r="2" spans="1:12">
      <c r="A2" s="155" t="s">
        <v>223</v>
      </c>
      <c r="L2" s="156" t="s">
        <v>127</v>
      </c>
    </row>
    <row r="3" spans="1:12">
      <c r="L3" s="156" t="str">
        <f>Contents!A2</f>
        <v>Case No. 2016-00371</v>
      </c>
    </row>
    <row r="4" spans="1:12">
      <c r="A4" s="155" t="s">
        <v>289</v>
      </c>
      <c r="L4" s="156" t="s">
        <v>185</v>
      </c>
    </row>
    <row r="8" spans="1:12">
      <c r="C8" s="162"/>
    </row>
    <row r="9" spans="1:12">
      <c r="K9" s="157" t="s">
        <v>347</v>
      </c>
      <c r="L9" s="157" t="s">
        <v>347</v>
      </c>
    </row>
    <row r="10" spans="1:12">
      <c r="A10" s="157" t="s">
        <v>0</v>
      </c>
      <c r="E10" s="157">
        <v>2015</v>
      </c>
      <c r="F10" s="157">
        <v>2015</v>
      </c>
      <c r="G10" s="157"/>
      <c r="H10" s="157">
        <v>2016</v>
      </c>
      <c r="I10" s="157">
        <v>2016</v>
      </c>
      <c r="K10" s="157" t="s">
        <v>366</v>
      </c>
      <c r="L10" s="157" t="s">
        <v>366</v>
      </c>
    </row>
    <row r="11" spans="1:12">
      <c r="A11" s="158" t="s">
        <v>2</v>
      </c>
      <c r="C11" s="159" t="s">
        <v>367</v>
      </c>
      <c r="E11" s="158" t="s">
        <v>16</v>
      </c>
      <c r="F11" s="158" t="s">
        <v>24</v>
      </c>
      <c r="H11" s="158" t="s">
        <v>16</v>
      </c>
      <c r="I11" s="158" t="s">
        <v>24</v>
      </c>
      <c r="K11" s="158" t="s">
        <v>16</v>
      </c>
      <c r="L11" s="158" t="s">
        <v>24</v>
      </c>
    </row>
    <row r="12" spans="1:12">
      <c r="A12" s="160"/>
      <c r="C12" s="162"/>
      <c r="E12" s="160" t="s">
        <v>6</v>
      </c>
      <c r="F12" s="160" t="s">
        <v>7</v>
      </c>
      <c r="H12" s="160" t="s">
        <v>18</v>
      </c>
      <c r="I12" s="160" t="s">
        <v>38</v>
      </c>
      <c r="K12" s="160" t="s">
        <v>50</v>
      </c>
      <c r="L12" s="160" t="s">
        <v>51</v>
      </c>
    </row>
    <row r="13" spans="1:12">
      <c r="A13" s="157">
        <v>1</v>
      </c>
      <c r="C13" s="155" t="s">
        <v>368</v>
      </c>
      <c r="E13" s="166">
        <v>6169284.9500000002</v>
      </c>
      <c r="F13" s="170">
        <f>E13/E19</f>
        <v>0.52935779110784265</v>
      </c>
      <c r="H13" s="166">
        <v>3155809</v>
      </c>
      <c r="I13" s="170">
        <f>H13/H19</f>
        <v>0.30069811731195056</v>
      </c>
      <c r="K13" s="166">
        <v>2475210</v>
      </c>
      <c r="L13" s="170">
        <f>K13/K19</f>
        <v>0.25321641967628489</v>
      </c>
    </row>
    <row r="14" spans="1:12">
      <c r="A14" s="157">
        <v>2</v>
      </c>
      <c r="C14" s="155" t="s">
        <v>369</v>
      </c>
      <c r="E14" s="166">
        <v>0</v>
      </c>
      <c r="F14" s="170">
        <f>E14/E19</f>
        <v>0</v>
      </c>
      <c r="H14" s="166">
        <v>0</v>
      </c>
      <c r="I14" s="170">
        <f>H14/H19</f>
        <v>0</v>
      </c>
      <c r="K14" s="166">
        <v>196134</v>
      </c>
      <c r="L14" s="170">
        <f>K14/K19</f>
        <v>2.0064701280613953E-2</v>
      </c>
    </row>
    <row r="15" spans="1:12">
      <c r="A15" s="157">
        <v>3</v>
      </c>
      <c r="C15" s="155" t="s">
        <v>370</v>
      </c>
      <c r="E15" s="166">
        <v>0</v>
      </c>
      <c r="F15" s="170">
        <f>E15/E19</f>
        <v>0</v>
      </c>
      <c r="H15" s="166">
        <v>0</v>
      </c>
      <c r="I15" s="170">
        <f>H15/H19</f>
        <v>0</v>
      </c>
      <c r="K15" s="166">
        <v>196134</v>
      </c>
      <c r="L15" s="170">
        <f>K15/K19</f>
        <v>2.0064701280613953E-2</v>
      </c>
    </row>
    <row r="16" spans="1:12">
      <c r="A16" s="157">
        <v>4</v>
      </c>
      <c r="C16" s="155" t="s">
        <v>371</v>
      </c>
      <c r="E16" s="166">
        <v>1683396</v>
      </c>
      <c r="F16" s="170">
        <f>E16/E19</f>
        <v>0.1444444202759313</v>
      </c>
      <c r="H16" s="166">
        <v>1720441</v>
      </c>
      <c r="I16" s="170">
        <f>H16/H19</f>
        <v>0.16393050708908224</v>
      </c>
      <c r="K16" s="166">
        <v>1619281</v>
      </c>
      <c r="L16" s="170">
        <f>K16/K19</f>
        <v>0.16565404037226511</v>
      </c>
    </row>
    <row r="17" spans="1:12">
      <c r="A17" s="157">
        <v>5</v>
      </c>
      <c r="C17" s="155" t="s">
        <v>372</v>
      </c>
      <c r="E17" s="166">
        <v>0</v>
      </c>
      <c r="F17" s="170">
        <f>E17/E19</f>
        <v>0</v>
      </c>
      <c r="H17" s="166">
        <v>1617665</v>
      </c>
      <c r="I17" s="170">
        <f>H17/H19</f>
        <v>0.15413759829616955</v>
      </c>
      <c r="K17" s="166">
        <v>1522548</v>
      </c>
      <c r="L17" s="170">
        <f>K17/K19</f>
        <v>0.1557581592451906</v>
      </c>
    </row>
    <row r="18" spans="1:12">
      <c r="A18" s="157">
        <v>6</v>
      </c>
      <c r="C18" s="155" t="s">
        <v>373</v>
      </c>
      <c r="E18" s="166">
        <v>3801601</v>
      </c>
      <c r="F18" s="170">
        <f>E18/E19</f>
        <v>0.32619778861622617</v>
      </c>
      <c r="H18" s="166">
        <v>4001026</v>
      </c>
      <c r="I18" s="170">
        <f>H18/H19</f>
        <v>0.38123377730279762</v>
      </c>
      <c r="K18" s="166">
        <v>3765770</v>
      </c>
      <c r="L18" s="170">
        <f>K18/K19</f>
        <v>0.38524197814503147</v>
      </c>
    </row>
    <row r="19" spans="1:12" ht="13.5" thickBot="1">
      <c r="A19" s="157">
        <v>7</v>
      </c>
      <c r="C19" s="155" t="s">
        <v>374</v>
      </c>
      <c r="E19" s="168">
        <f>SUM(E13:E18)</f>
        <v>11654281.949999999</v>
      </c>
      <c r="F19" s="171">
        <f>SUM(F13:F18)</f>
        <v>1</v>
      </c>
      <c r="H19" s="168">
        <f>SUM(H13:H18)</f>
        <v>10494941</v>
      </c>
      <c r="I19" s="171">
        <f>SUM(I13:I18)</f>
        <v>1</v>
      </c>
      <c r="K19" s="168">
        <f>SUM(K13:K18)</f>
        <v>9775077</v>
      </c>
      <c r="L19" s="171">
        <f>SUM(L13:L18)</f>
        <v>0.99999999999999989</v>
      </c>
    </row>
    <row r="20" spans="1:12" ht="13.5" thickTop="1"/>
    <row r="22" spans="1:12">
      <c r="A22" s="159" t="s">
        <v>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</row>
    <row r="23" spans="1:12">
      <c r="A23" s="155" t="s">
        <v>375</v>
      </c>
    </row>
    <row r="24" spans="1:12">
      <c r="A24" s="155" t="s">
        <v>519</v>
      </c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>
      <selection activeCell="C64" sqref="C64"/>
    </sheetView>
  </sheetViews>
  <sheetFormatPr defaultRowHeight="12.75"/>
  <cols>
    <col min="1" max="1" width="4.42578125" style="1" customWidth="1"/>
    <col min="2" max="2" width="1.140625" style="1" customWidth="1"/>
    <col min="3" max="3" width="49.28515625" style="1" customWidth="1"/>
    <col min="4" max="4" width="1.28515625" style="1" customWidth="1"/>
    <col min="5" max="5" width="11.140625" style="1" bestFit="1" customWidth="1"/>
    <col min="6" max="6" width="1.140625" style="1" customWidth="1"/>
    <col min="7" max="7" width="10.85546875" style="1" customWidth="1"/>
    <col min="8" max="8" width="1.28515625" style="1" customWidth="1"/>
    <col min="9" max="9" width="12" style="1" bestFit="1" customWidth="1"/>
    <col min="10" max="10" width="1.28515625" style="1" customWidth="1"/>
    <col min="11" max="11" width="11.140625" style="1" bestFit="1" customWidth="1"/>
    <col min="12" max="12" width="1.42578125" style="1" customWidth="1"/>
    <col min="13" max="16384" width="9.140625" style="1"/>
  </cols>
  <sheetData>
    <row r="1" spans="1:13">
      <c r="A1" s="155" t="str">
        <f>[2]Contents!A1</f>
        <v>Kentucky Utilities Company</v>
      </c>
      <c r="K1" s="27" t="str">
        <f>Contents!A4</f>
        <v>Exhibit RCS-1</v>
      </c>
    </row>
    <row r="2" spans="1:13">
      <c r="A2" s="155" t="s">
        <v>423</v>
      </c>
      <c r="K2" s="27" t="s">
        <v>57</v>
      </c>
    </row>
    <row r="3" spans="1:13">
      <c r="A3" s="155"/>
      <c r="K3" s="27" t="str">
        <f>Contents!A2</f>
        <v>Case No. 2016-00371</v>
      </c>
    </row>
    <row r="4" spans="1:13">
      <c r="A4" s="155" t="s">
        <v>289</v>
      </c>
      <c r="G4" s="92"/>
      <c r="K4" s="27" t="s">
        <v>37</v>
      </c>
    </row>
    <row r="5" spans="1:13">
      <c r="E5" s="92"/>
      <c r="G5" s="92"/>
      <c r="K5" s="92"/>
    </row>
    <row r="6" spans="1:13">
      <c r="E6" s="92"/>
      <c r="G6" s="92"/>
      <c r="I6" s="92"/>
      <c r="J6" s="92"/>
      <c r="K6" s="92"/>
    </row>
    <row r="7" spans="1:13">
      <c r="A7" s="92" t="s">
        <v>0</v>
      </c>
      <c r="E7" s="92" t="s">
        <v>424</v>
      </c>
      <c r="G7" s="92"/>
      <c r="I7" s="92"/>
      <c r="J7" s="92"/>
      <c r="K7" s="92"/>
    </row>
    <row r="8" spans="1:13">
      <c r="A8" s="177" t="s">
        <v>2</v>
      </c>
      <c r="C8" s="2" t="s">
        <v>3</v>
      </c>
      <c r="D8" s="13"/>
      <c r="E8" s="177" t="s">
        <v>16</v>
      </c>
      <c r="G8" s="177" t="s">
        <v>15</v>
      </c>
      <c r="H8" s="12"/>
      <c r="I8" s="12"/>
      <c r="J8" s="12"/>
      <c r="K8" s="12"/>
      <c r="L8" s="12"/>
      <c r="M8" s="12"/>
    </row>
    <row r="9" spans="1:13">
      <c r="A9" s="92"/>
      <c r="E9" s="92" t="s">
        <v>6</v>
      </c>
      <c r="G9" s="92"/>
      <c r="H9" s="92"/>
      <c r="I9" s="92"/>
      <c r="J9" s="92"/>
      <c r="K9" s="92"/>
      <c r="L9" s="92"/>
      <c r="M9" s="92"/>
    </row>
    <row r="10" spans="1:13">
      <c r="A10" s="92"/>
      <c r="E10" s="92"/>
    </row>
    <row r="11" spans="1:13" ht="13.5" thickBot="1">
      <c r="A11" s="92">
        <v>1</v>
      </c>
      <c r="C11" s="1" t="s">
        <v>425</v>
      </c>
      <c r="E11" s="187">
        <f>-G30</f>
        <v>-3027275</v>
      </c>
      <c r="G11" s="92" t="s">
        <v>43</v>
      </c>
    </row>
    <row r="12" spans="1:13" ht="13.5" thickTop="1">
      <c r="A12" s="92"/>
      <c r="E12" s="92"/>
    </row>
    <row r="13" spans="1:13" ht="13.5" thickBot="1">
      <c r="A13" s="92">
        <v>2</v>
      </c>
      <c r="C13" s="1" t="s">
        <v>434</v>
      </c>
      <c r="E13" s="187">
        <f>-G37</f>
        <v>-473199.99999999994</v>
      </c>
      <c r="G13" s="92" t="s">
        <v>44</v>
      </c>
    </row>
    <row r="14" spans="1:13" ht="13.5" thickTop="1">
      <c r="A14" s="92"/>
      <c r="E14" s="92"/>
    </row>
    <row r="15" spans="1:13">
      <c r="A15" s="92"/>
      <c r="E15" s="92"/>
    </row>
    <row r="17" spans="1:13">
      <c r="A17" s="2" t="s">
        <v>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3"/>
      <c r="M17" s="13"/>
    </row>
    <row r="18" spans="1:13">
      <c r="A18" s="1" t="s">
        <v>430</v>
      </c>
    </row>
    <row r="20" spans="1:13">
      <c r="E20" s="12" t="s">
        <v>378</v>
      </c>
      <c r="G20" s="92" t="s">
        <v>348</v>
      </c>
      <c r="I20" s="92" t="s">
        <v>389</v>
      </c>
      <c r="J20" s="92"/>
    </row>
    <row r="21" spans="1:13">
      <c r="C21" s="2" t="s">
        <v>3</v>
      </c>
      <c r="E21" s="177" t="s">
        <v>379</v>
      </c>
      <c r="G21" s="177" t="s">
        <v>388</v>
      </c>
      <c r="H21" s="12"/>
      <c r="I21" s="177" t="s">
        <v>388</v>
      </c>
      <c r="J21" s="12"/>
      <c r="K21" s="177" t="s">
        <v>28</v>
      </c>
    </row>
    <row r="22" spans="1:13">
      <c r="A22" s="92"/>
      <c r="E22" s="92" t="s">
        <v>7</v>
      </c>
      <c r="F22" s="92"/>
      <c r="G22" s="92" t="s">
        <v>18</v>
      </c>
      <c r="H22" s="92"/>
      <c r="I22" s="92" t="s">
        <v>38</v>
      </c>
      <c r="J22" s="92"/>
      <c r="K22" s="92" t="s">
        <v>50</v>
      </c>
    </row>
    <row r="23" spans="1:13">
      <c r="A23" s="92"/>
      <c r="E23" s="92"/>
      <c r="F23" s="92"/>
      <c r="G23" s="92"/>
      <c r="H23" s="92"/>
      <c r="I23" s="92"/>
      <c r="J23" s="92"/>
    </row>
    <row r="24" spans="1:13">
      <c r="A24" s="92">
        <v>3</v>
      </c>
      <c r="C24" s="1" t="s">
        <v>426</v>
      </c>
      <c r="E24" s="92">
        <v>586</v>
      </c>
      <c r="G24" s="4">
        <v>1167421</v>
      </c>
      <c r="I24" s="16"/>
      <c r="K24" s="42">
        <f>G24+I24</f>
        <v>1167421</v>
      </c>
    </row>
    <row r="25" spans="1:13">
      <c r="A25" s="92">
        <v>4</v>
      </c>
      <c r="C25" s="1" t="s">
        <v>399</v>
      </c>
      <c r="E25" s="92">
        <v>597</v>
      </c>
      <c r="G25" s="4">
        <v>1427900</v>
      </c>
      <c r="I25" s="16"/>
      <c r="K25" s="42">
        <f t="shared" ref="K25:K29" si="0">G25+I25</f>
        <v>1427900</v>
      </c>
    </row>
    <row r="26" spans="1:13">
      <c r="A26" s="92">
        <v>5</v>
      </c>
      <c r="C26" s="1" t="s">
        <v>431</v>
      </c>
      <c r="E26" s="92">
        <v>878</v>
      </c>
      <c r="G26" s="4">
        <v>0</v>
      </c>
      <c r="I26" s="16">
        <v>6454</v>
      </c>
      <c r="K26" s="42">
        <f t="shared" si="0"/>
        <v>6454</v>
      </c>
    </row>
    <row r="27" spans="1:13">
      <c r="A27" s="92">
        <v>6</v>
      </c>
      <c r="C27" s="1" t="s">
        <v>432</v>
      </c>
      <c r="E27" s="92">
        <v>893</v>
      </c>
      <c r="G27" s="4">
        <v>0</v>
      </c>
      <c r="I27" s="16">
        <v>15199</v>
      </c>
      <c r="K27" s="42">
        <f t="shared" si="0"/>
        <v>15199</v>
      </c>
    </row>
    <row r="28" spans="1:13">
      <c r="A28" s="92">
        <v>7</v>
      </c>
      <c r="C28" s="1" t="s">
        <v>427</v>
      </c>
      <c r="E28" s="92">
        <v>903</v>
      </c>
      <c r="G28" s="4">
        <v>358833</v>
      </c>
      <c r="I28" s="16">
        <v>281940.05999999994</v>
      </c>
      <c r="K28" s="42">
        <f t="shared" si="0"/>
        <v>640773.05999999994</v>
      </c>
    </row>
    <row r="29" spans="1:13">
      <c r="A29" s="92">
        <v>8</v>
      </c>
      <c r="C29" s="1" t="s">
        <v>428</v>
      </c>
      <c r="E29" s="92">
        <v>910</v>
      </c>
      <c r="G29" s="4">
        <v>73121</v>
      </c>
      <c r="I29" s="16">
        <v>20623.960000000006</v>
      </c>
      <c r="K29" s="42">
        <f t="shared" si="0"/>
        <v>93744.960000000006</v>
      </c>
    </row>
    <row r="30" spans="1:13" ht="13.5" thickBot="1">
      <c r="A30" s="92">
        <v>9</v>
      </c>
      <c r="C30" s="1" t="s">
        <v>429</v>
      </c>
      <c r="G30" s="43">
        <f>SUM(G24:G29)</f>
        <v>3027275</v>
      </c>
      <c r="I30" s="43">
        <f>SUM(I24:I29)</f>
        <v>324217.01999999996</v>
      </c>
      <c r="K30" s="43">
        <f>SUM(K24:K29)</f>
        <v>3351492.02</v>
      </c>
    </row>
    <row r="31" spans="1:13" ht="13.5" thickTop="1"/>
    <row r="32" spans="1:13">
      <c r="A32" s="1" t="s">
        <v>435</v>
      </c>
      <c r="I32" s="4"/>
    </row>
    <row r="33" spans="1:11">
      <c r="I33" s="4"/>
    </row>
    <row r="34" spans="1:11">
      <c r="G34" s="92" t="s">
        <v>348</v>
      </c>
      <c r="H34" s="92"/>
      <c r="I34" s="16" t="s">
        <v>389</v>
      </c>
      <c r="J34" s="92"/>
      <c r="K34" s="92"/>
    </row>
    <row r="35" spans="1:11">
      <c r="G35" s="177" t="s">
        <v>436</v>
      </c>
      <c r="H35" s="92"/>
      <c r="I35" s="23" t="s">
        <v>436</v>
      </c>
      <c r="J35" s="92"/>
      <c r="K35" s="177" t="s">
        <v>28</v>
      </c>
    </row>
    <row r="36" spans="1:11">
      <c r="G36" s="12"/>
      <c r="H36" s="92"/>
      <c r="I36" s="44"/>
      <c r="J36" s="92"/>
      <c r="K36" s="12"/>
    </row>
    <row r="37" spans="1:11" ht="13.5" thickBot="1">
      <c r="A37" s="92">
        <v>10</v>
      </c>
      <c r="C37" s="1" t="s">
        <v>433</v>
      </c>
      <c r="E37" s="92">
        <v>403</v>
      </c>
      <c r="G37" s="20">
        <f>K37*0.7</f>
        <v>473199.99999999994</v>
      </c>
      <c r="I37" s="20">
        <f>K37*0.3</f>
        <v>202800</v>
      </c>
      <c r="J37" s="4"/>
      <c r="K37" s="20">
        <v>676000</v>
      </c>
    </row>
    <row r="38" spans="1:11" ht="13.5" thickTop="1">
      <c r="G38" s="42"/>
      <c r="I38" s="4"/>
    </row>
    <row r="39" spans="1:11">
      <c r="G39" s="42"/>
      <c r="I39" s="4"/>
    </row>
    <row r="40" spans="1:11">
      <c r="A40" s="1" t="s">
        <v>437</v>
      </c>
      <c r="G40" s="42"/>
      <c r="I40" s="4"/>
    </row>
    <row r="41" spans="1:11">
      <c r="G41" s="42"/>
      <c r="I41" s="4"/>
    </row>
    <row r="42" spans="1:11">
      <c r="I42" s="42"/>
    </row>
  </sheetData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G19"/>
  <sheetViews>
    <sheetView workbookViewId="0">
      <selection activeCell="C64" sqref="C64"/>
    </sheetView>
  </sheetViews>
  <sheetFormatPr defaultRowHeight="12.75"/>
  <cols>
    <col min="1" max="1" width="4.42578125" style="1" customWidth="1"/>
    <col min="2" max="2" width="1.140625" style="1" customWidth="1"/>
    <col min="3" max="3" width="68" style="1" bestFit="1" customWidth="1"/>
    <col min="4" max="4" width="1.140625" style="1" customWidth="1"/>
    <col min="5" max="5" width="10.7109375" style="1" customWidth="1"/>
    <col min="6" max="6" width="1.140625" style="1" customWidth="1"/>
    <col min="7" max="16384" width="9.140625" style="1"/>
  </cols>
  <sheetData>
    <row r="1" spans="1:7">
      <c r="A1" s="155" t="s">
        <v>281</v>
      </c>
      <c r="B1" s="155"/>
      <c r="C1" s="155"/>
      <c r="G1" s="27" t="str">
        <f>Contents!A4</f>
        <v>Exhibit RCS-1</v>
      </c>
    </row>
    <row r="2" spans="1:7">
      <c r="A2" s="155" t="s">
        <v>395</v>
      </c>
      <c r="B2" s="155"/>
      <c r="C2" s="155"/>
      <c r="G2" s="27" t="s">
        <v>69</v>
      </c>
    </row>
    <row r="3" spans="1:7">
      <c r="A3" s="155"/>
      <c r="B3" s="155"/>
      <c r="C3" s="155"/>
      <c r="G3" s="27" t="str">
        <f>Contents!A2</f>
        <v>Case No. 2016-00371</v>
      </c>
    </row>
    <row r="4" spans="1:7">
      <c r="A4" s="155" t="s">
        <v>289</v>
      </c>
      <c r="B4" s="155"/>
      <c r="C4" s="155"/>
      <c r="G4" s="27" t="s">
        <v>37</v>
      </c>
    </row>
    <row r="7" spans="1:7">
      <c r="E7" s="92" t="s">
        <v>202</v>
      </c>
      <c r="F7" s="92"/>
      <c r="G7" s="92"/>
    </row>
    <row r="8" spans="1:7">
      <c r="A8" s="92" t="s">
        <v>0</v>
      </c>
      <c r="E8" s="92" t="s">
        <v>206</v>
      </c>
      <c r="F8" s="92"/>
      <c r="G8" s="92"/>
    </row>
    <row r="9" spans="1:7">
      <c r="A9" s="174" t="s">
        <v>2</v>
      </c>
      <c r="C9" s="2" t="s">
        <v>3</v>
      </c>
      <c r="E9" s="174" t="s">
        <v>16</v>
      </c>
      <c r="F9" s="92"/>
      <c r="G9" s="174" t="s">
        <v>15</v>
      </c>
    </row>
    <row r="10" spans="1:7">
      <c r="A10" s="92"/>
      <c r="E10" s="92" t="s">
        <v>6</v>
      </c>
    </row>
    <row r="11" spans="1:7">
      <c r="A11" s="92"/>
    </row>
    <row r="12" spans="1:7">
      <c r="A12" s="92">
        <v>1</v>
      </c>
      <c r="C12" s="1" t="s">
        <v>398</v>
      </c>
      <c r="E12" s="19">
        <v>2735974</v>
      </c>
      <c r="G12" s="92" t="s">
        <v>43</v>
      </c>
    </row>
    <row r="13" spans="1:7">
      <c r="A13" s="92">
        <v>2</v>
      </c>
      <c r="C13" s="1" t="s">
        <v>421</v>
      </c>
      <c r="E13" s="4">
        <v>2056123</v>
      </c>
      <c r="G13" s="92" t="s">
        <v>43</v>
      </c>
    </row>
    <row r="14" spans="1:7" ht="14.25" customHeight="1" thickBot="1">
      <c r="A14" s="92">
        <v>3</v>
      </c>
      <c r="C14" s="1" t="s">
        <v>396</v>
      </c>
      <c r="E14" s="18">
        <f>E13-E12</f>
        <v>-679851</v>
      </c>
      <c r="G14" s="92" t="s">
        <v>239</v>
      </c>
    </row>
    <row r="15" spans="1:7" ht="13.5" thickTop="1"/>
    <row r="18" spans="1:7">
      <c r="A18" s="2" t="s">
        <v>9</v>
      </c>
      <c r="B18" s="2"/>
      <c r="C18" s="2"/>
      <c r="D18" s="2"/>
      <c r="E18" s="2"/>
      <c r="F18" s="2"/>
      <c r="G18" s="2"/>
    </row>
    <row r="19" spans="1:7">
      <c r="A19" s="1" t="s">
        <v>397</v>
      </c>
    </row>
  </sheetData>
  <pageMargins left="1.04" right="0.75" top="1" bottom="0.61" header="0.5" footer="0.5"/>
  <pageSetup scale="105" orientation="landscape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>
      <selection activeCell="C64" sqref="C64"/>
    </sheetView>
  </sheetViews>
  <sheetFormatPr defaultRowHeight="12.75"/>
  <cols>
    <col min="1" max="1" width="9.140625" style="1"/>
    <col min="2" max="2" width="2.28515625" style="1" customWidth="1"/>
    <col min="3" max="3" width="38.5703125" style="1" customWidth="1"/>
    <col min="4" max="4" width="2.28515625" style="1" customWidth="1"/>
    <col min="5" max="5" width="13.5703125" style="1" customWidth="1"/>
    <col min="6" max="6" width="2.28515625" style="1" customWidth="1"/>
    <col min="7" max="7" width="12.42578125" style="1" customWidth="1"/>
    <col min="8" max="8" width="3.28515625" style="1" customWidth="1"/>
    <col min="9" max="9" width="14.7109375" style="1" customWidth="1"/>
    <col min="10" max="10" width="6.28515625" style="1" customWidth="1"/>
    <col min="11" max="16384" width="9.140625" style="1"/>
  </cols>
  <sheetData>
    <row r="1" spans="1:9">
      <c r="A1" s="1" t="s">
        <v>281</v>
      </c>
      <c r="I1" s="27" t="s">
        <v>176</v>
      </c>
    </row>
    <row r="2" spans="1:9">
      <c r="A2" s="1" t="s">
        <v>528</v>
      </c>
      <c r="I2" s="27" t="s">
        <v>209</v>
      </c>
    </row>
    <row r="3" spans="1:9">
      <c r="I3" s="27" t="s">
        <v>282</v>
      </c>
    </row>
    <row r="4" spans="1:9">
      <c r="A4" s="1" t="s">
        <v>289</v>
      </c>
      <c r="I4" s="27" t="s">
        <v>37</v>
      </c>
    </row>
    <row r="6" spans="1:9">
      <c r="A6" s="190" t="s">
        <v>40</v>
      </c>
      <c r="C6" s="2" t="s">
        <v>3</v>
      </c>
      <c r="E6" s="2" t="s">
        <v>47</v>
      </c>
      <c r="G6" s="190" t="s">
        <v>154</v>
      </c>
      <c r="I6" s="190" t="s">
        <v>534</v>
      </c>
    </row>
    <row r="7" spans="1:9">
      <c r="A7" s="92"/>
      <c r="E7" s="92" t="s">
        <v>6</v>
      </c>
      <c r="F7" s="92"/>
      <c r="G7" s="92" t="s">
        <v>7</v>
      </c>
      <c r="H7" s="92"/>
      <c r="I7" s="92" t="s">
        <v>535</v>
      </c>
    </row>
    <row r="8" spans="1:9">
      <c r="A8" s="92"/>
    </row>
    <row r="9" spans="1:9" ht="13.5" thickBot="1">
      <c r="A9" s="92">
        <v>1</v>
      </c>
      <c r="C9" s="1" t="s">
        <v>528</v>
      </c>
      <c r="E9" s="201">
        <f>G39</f>
        <v>2477177</v>
      </c>
      <c r="G9" s="201">
        <f>E47</f>
        <v>1865039.10228</v>
      </c>
      <c r="I9" s="201">
        <f>G9-E9</f>
        <v>-612137.89772000001</v>
      </c>
    </row>
    <row r="10" spans="1:9" ht="13.5" thickTop="1"/>
    <row r="12" spans="1:9">
      <c r="A12" s="2" t="s">
        <v>536</v>
      </c>
      <c r="B12" s="2"/>
      <c r="C12" s="2"/>
      <c r="D12" s="2"/>
      <c r="E12" s="2"/>
      <c r="F12" s="2"/>
      <c r="G12" s="2"/>
      <c r="H12" s="2"/>
      <c r="I12" s="2"/>
    </row>
    <row r="13" spans="1:9">
      <c r="A13" s="1" t="s">
        <v>537</v>
      </c>
    </row>
    <row r="15" spans="1:9">
      <c r="E15" s="92" t="s">
        <v>624</v>
      </c>
      <c r="G15" s="92" t="s">
        <v>624</v>
      </c>
    </row>
    <row r="16" spans="1:9">
      <c r="A16" s="190" t="s">
        <v>40</v>
      </c>
      <c r="B16" s="92"/>
      <c r="C16" s="190" t="s">
        <v>538</v>
      </c>
      <c r="D16" s="92"/>
      <c r="E16" s="60" t="s">
        <v>47</v>
      </c>
      <c r="F16" s="198"/>
      <c r="G16" s="190" t="s">
        <v>154</v>
      </c>
    </row>
    <row r="17" spans="1:8">
      <c r="A17" s="12"/>
      <c r="B17" s="92"/>
      <c r="C17" s="12"/>
      <c r="D17" s="92"/>
      <c r="E17" s="202" t="s">
        <v>43</v>
      </c>
      <c r="F17" s="198"/>
      <c r="G17" s="12" t="s">
        <v>44</v>
      </c>
    </row>
    <row r="18" spans="1:8">
      <c r="A18" s="12"/>
      <c r="B18" s="92"/>
      <c r="C18" s="12"/>
      <c r="D18" s="92"/>
      <c r="E18" s="202"/>
      <c r="F18" s="198"/>
      <c r="G18" s="12"/>
    </row>
    <row r="19" spans="1:8">
      <c r="A19" s="92">
        <f>A9+1</f>
        <v>2</v>
      </c>
      <c r="C19" s="92">
        <v>2011</v>
      </c>
      <c r="E19" s="5">
        <v>3.7000000000000002E-3</v>
      </c>
      <c r="F19" s="5"/>
      <c r="G19" s="5"/>
    </row>
    <row r="20" spans="1:8">
      <c r="A20" s="92">
        <f>A19+1</f>
        <v>3</v>
      </c>
      <c r="C20" s="92">
        <v>2012</v>
      </c>
      <c r="E20" s="5">
        <v>1.5E-3</v>
      </c>
      <c r="F20" s="5"/>
      <c r="G20" s="5">
        <f>E20</f>
        <v>1.5E-3</v>
      </c>
    </row>
    <row r="21" spans="1:8">
      <c r="A21" s="92">
        <f t="shared" ref="A21:A24" si="0">A20+1</f>
        <v>4</v>
      </c>
      <c r="C21" s="92">
        <v>2013</v>
      </c>
      <c r="E21" s="5">
        <v>1.2999999999999999E-3</v>
      </c>
      <c r="F21" s="5"/>
      <c r="G21" s="5">
        <f t="shared" ref="G21:G22" si="1">E21</f>
        <v>1.2999999999999999E-3</v>
      </c>
    </row>
    <row r="22" spans="1:8">
      <c r="A22" s="92">
        <f t="shared" si="0"/>
        <v>5</v>
      </c>
      <c r="C22" s="92">
        <v>2014</v>
      </c>
      <c r="E22" s="5">
        <v>3.0999999999999999E-3</v>
      </c>
      <c r="F22" s="5"/>
      <c r="G22" s="5">
        <f t="shared" si="1"/>
        <v>3.0999999999999999E-3</v>
      </c>
    </row>
    <row r="23" spans="1:8">
      <c r="A23" s="92">
        <f t="shared" si="0"/>
        <v>6</v>
      </c>
      <c r="C23" s="92">
        <v>2015</v>
      </c>
      <c r="E23" s="5">
        <v>1.6999999999999999E-3</v>
      </c>
      <c r="F23" s="5"/>
      <c r="G23" s="5">
        <v>2.2000000000000001E-3</v>
      </c>
      <c r="H23" s="1" t="s">
        <v>153</v>
      </c>
    </row>
    <row r="24" spans="1:8">
      <c r="A24" s="92">
        <f t="shared" si="0"/>
        <v>7</v>
      </c>
      <c r="C24" s="92">
        <v>2016</v>
      </c>
      <c r="E24" s="5"/>
      <c r="F24" s="5"/>
      <c r="G24" s="5">
        <v>1.6000000000000001E-3</v>
      </c>
    </row>
    <row r="25" spans="1:8">
      <c r="A25" s="92"/>
      <c r="E25" s="5"/>
      <c r="F25" s="5"/>
      <c r="G25" s="5"/>
    </row>
    <row r="26" spans="1:8">
      <c r="A26" s="92"/>
      <c r="C26" s="1" t="s">
        <v>539</v>
      </c>
      <c r="E26" s="5"/>
      <c r="F26" s="5"/>
      <c r="G26" s="5"/>
    </row>
    <row r="27" spans="1:8" ht="13.5" thickBot="1">
      <c r="A27" s="92">
        <f>A24+1</f>
        <v>8</v>
      </c>
      <c r="C27" s="1" t="s">
        <v>540</v>
      </c>
      <c r="E27" s="203">
        <f>ROUND(AVERAGE(E19:E23),5)</f>
        <v>2.2599999999999999E-3</v>
      </c>
      <c r="G27" s="203">
        <f>ROUND(AVERAGE(G20:G24),5)</f>
        <v>1.9400000000000001E-3</v>
      </c>
    </row>
    <row r="28" spans="1:8" ht="13.5" thickTop="1"/>
    <row r="29" spans="1:8">
      <c r="A29" s="1" t="s">
        <v>541</v>
      </c>
    </row>
    <row r="30" spans="1:8">
      <c r="A30" s="1" t="s">
        <v>542</v>
      </c>
    </row>
    <row r="32" spans="1:8">
      <c r="A32" s="1" t="s">
        <v>625</v>
      </c>
    </row>
    <row r="33" spans="1:7">
      <c r="A33" s="1" t="s">
        <v>543</v>
      </c>
    </row>
    <row r="35" spans="1:7">
      <c r="C35" s="1" t="s">
        <v>544</v>
      </c>
    </row>
    <row r="37" spans="1:7">
      <c r="C37" s="1" t="s">
        <v>545</v>
      </c>
    </row>
    <row r="38" spans="1:7" ht="25.5">
      <c r="E38" s="60" t="s">
        <v>546</v>
      </c>
      <c r="G38" s="60" t="s">
        <v>547</v>
      </c>
    </row>
    <row r="39" spans="1:7">
      <c r="A39" s="92">
        <f>A27+1</f>
        <v>9</v>
      </c>
      <c r="C39" s="1" t="s">
        <v>548</v>
      </c>
      <c r="E39" s="4">
        <v>2477177</v>
      </c>
      <c r="F39" s="4"/>
      <c r="G39" s="4">
        <v>2477177</v>
      </c>
    </row>
    <row r="40" spans="1:7">
      <c r="A40" s="92">
        <f>A39+1</f>
        <v>10</v>
      </c>
      <c r="C40" s="1" t="s">
        <v>549</v>
      </c>
      <c r="E40" s="4">
        <v>1099485788</v>
      </c>
      <c r="F40" s="4"/>
      <c r="G40" s="4">
        <v>961360362</v>
      </c>
    </row>
    <row r="41" spans="1:7">
      <c r="A41" s="92"/>
      <c r="C41" s="1" t="s">
        <v>539</v>
      </c>
    </row>
    <row r="42" spans="1:7" ht="13.5" thickBot="1">
      <c r="A42" s="92">
        <f>A40+1</f>
        <v>11</v>
      </c>
      <c r="C42" s="1" t="s">
        <v>550</v>
      </c>
      <c r="E42" s="149">
        <f>E39/E40</f>
        <v>2.2530323056799712E-3</v>
      </c>
      <c r="F42" s="148"/>
      <c r="G42" s="149">
        <f>G39/G40</f>
        <v>2.5767413531035512E-3</v>
      </c>
    </row>
    <row r="43" spans="1:7" ht="13.5" thickTop="1"/>
    <row r="44" spans="1:7">
      <c r="C44" s="1" t="s">
        <v>551</v>
      </c>
    </row>
    <row r="45" spans="1:7">
      <c r="A45" s="92">
        <f>A42+1</f>
        <v>12</v>
      </c>
      <c r="C45" s="1" t="s">
        <v>638</v>
      </c>
      <c r="E45" s="4">
        <f>G40</f>
        <v>961360362</v>
      </c>
      <c r="F45" s="1" t="s">
        <v>552</v>
      </c>
    </row>
    <row r="46" spans="1:7">
      <c r="A46" s="92">
        <f>A45+1</f>
        <v>13</v>
      </c>
      <c r="C46" s="1" t="s">
        <v>553</v>
      </c>
      <c r="E46" s="79">
        <f>G27</f>
        <v>1.9400000000000001E-3</v>
      </c>
    </row>
    <row r="47" spans="1:7" ht="13.5" thickBot="1">
      <c r="A47" s="92">
        <f>A46+1</f>
        <v>14</v>
      </c>
      <c r="C47" s="1" t="s">
        <v>528</v>
      </c>
      <c r="E47" s="18">
        <f>E45*E46</f>
        <v>1865039.10228</v>
      </c>
    </row>
    <row r="48" spans="1:7" ht="13.5" thickTop="1"/>
    <row r="49" spans="1:1">
      <c r="A49" s="1" t="s">
        <v>554</v>
      </c>
    </row>
  </sheetData>
  <pageMargins left="0.7" right="0.7" top="0.75" bottom="0.75" header="0.3" footer="0.3"/>
  <pageSetup scale="9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J28"/>
  <sheetViews>
    <sheetView workbookViewId="0">
      <selection activeCell="C64" sqref="C64"/>
    </sheetView>
  </sheetViews>
  <sheetFormatPr defaultRowHeight="12.75"/>
  <cols>
    <col min="1" max="1" width="5" style="1" customWidth="1"/>
    <col min="2" max="2" width="1.42578125" style="1" customWidth="1"/>
    <col min="3" max="3" width="84.140625" style="1" bestFit="1" customWidth="1"/>
    <col min="4" max="4" width="1.140625" style="1" customWidth="1"/>
    <col min="5" max="5" width="13.85546875" style="1" bestFit="1" customWidth="1"/>
    <col min="6" max="6" width="1.140625" style="1" customWidth="1"/>
    <col min="7" max="7" width="14" style="1" customWidth="1"/>
    <col min="8" max="8" width="1.140625" style="1" customWidth="1"/>
    <col min="9" max="9" width="9.28515625" style="1" bestFit="1" customWidth="1"/>
    <col min="10" max="16384" width="9.140625" style="1"/>
  </cols>
  <sheetData>
    <row r="1" spans="1:10">
      <c r="A1" s="1" t="str">
        <f>Contents!A1</f>
        <v>Louisville Gas and Electric Company</v>
      </c>
      <c r="G1" s="27" t="str">
        <f>Contents!A4</f>
        <v>Exhibit RCS-1</v>
      </c>
    </row>
    <row r="2" spans="1:10">
      <c r="A2" s="1" t="s">
        <v>513</v>
      </c>
      <c r="G2" s="27" t="s">
        <v>217</v>
      </c>
    </row>
    <row r="3" spans="1:10">
      <c r="G3" s="27" t="str">
        <f>Contents!A2</f>
        <v>Case No. 2016-00371</v>
      </c>
    </row>
    <row r="4" spans="1:10">
      <c r="A4" s="1" t="s">
        <v>289</v>
      </c>
      <c r="G4" s="27" t="s">
        <v>37</v>
      </c>
    </row>
    <row r="6" spans="1:10">
      <c r="A6" s="92" t="s">
        <v>0</v>
      </c>
      <c r="E6" s="92"/>
      <c r="F6" s="92"/>
      <c r="G6" s="92"/>
    </row>
    <row r="7" spans="1:10">
      <c r="A7" s="190" t="s">
        <v>2</v>
      </c>
      <c r="C7" s="2" t="s">
        <v>3</v>
      </c>
      <c r="E7" s="190" t="s">
        <v>16</v>
      </c>
      <c r="F7" s="92"/>
      <c r="G7" s="190" t="s">
        <v>15</v>
      </c>
    </row>
    <row r="8" spans="1:10">
      <c r="A8" s="92"/>
      <c r="E8" s="92" t="s">
        <v>6</v>
      </c>
    </row>
    <row r="9" spans="1:10">
      <c r="A9" s="92"/>
      <c r="E9" s="92"/>
    </row>
    <row r="10" spans="1:10" ht="13.5" thickBot="1">
      <c r="A10" s="92">
        <v>1</v>
      </c>
      <c r="C10" s="1" t="s">
        <v>518</v>
      </c>
      <c r="E10" s="20">
        <f>E25</f>
        <v>-73492</v>
      </c>
      <c r="G10" s="92" t="s">
        <v>43</v>
      </c>
    </row>
    <row r="11" spans="1:10" ht="13.5" thickTop="1">
      <c r="A11" s="92"/>
      <c r="E11" s="4"/>
      <c r="G11" s="92"/>
    </row>
    <row r="14" spans="1:10">
      <c r="A14" s="2" t="s">
        <v>9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1" t="s">
        <v>514</v>
      </c>
    </row>
    <row r="17" spans="1:7">
      <c r="C17" s="2" t="s">
        <v>3</v>
      </c>
      <c r="E17" s="190" t="s">
        <v>16</v>
      </c>
      <c r="F17" s="92"/>
      <c r="G17" s="190" t="s">
        <v>15</v>
      </c>
    </row>
    <row r="18" spans="1:7">
      <c r="C18" s="13"/>
      <c r="E18" s="12"/>
      <c r="F18" s="92"/>
      <c r="G18" s="12"/>
    </row>
    <row r="19" spans="1:7">
      <c r="A19" s="92">
        <v>2</v>
      </c>
      <c r="C19" s="1" t="s">
        <v>515</v>
      </c>
      <c r="E19" s="19">
        <v>138842526.54592913</v>
      </c>
      <c r="G19" s="92" t="s">
        <v>521</v>
      </c>
    </row>
    <row r="20" spans="1:7">
      <c r="A20" s="92">
        <v>3</v>
      </c>
      <c r="C20" s="1" t="s">
        <v>516</v>
      </c>
      <c r="E20" s="4">
        <v>4328499783.1495361</v>
      </c>
      <c r="G20" s="92" t="s">
        <v>520</v>
      </c>
    </row>
    <row r="21" spans="1:7" ht="13.5" thickBot="1">
      <c r="A21" s="92">
        <v>4</v>
      </c>
      <c r="C21" s="1" t="s">
        <v>526</v>
      </c>
      <c r="E21" s="176">
        <f>E19/E20</f>
        <v>3.2076362135082165E-2</v>
      </c>
      <c r="G21" s="92" t="s">
        <v>522</v>
      </c>
    </row>
    <row r="22" spans="1:7" ht="13.5" thickTop="1">
      <c r="A22" s="92"/>
    </row>
    <row r="23" spans="1:7">
      <c r="A23" s="92">
        <v>5</v>
      </c>
      <c r="C23" s="1" t="s">
        <v>525</v>
      </c>
      <c r="E23" s="19">
        <f>'B-1'!O10</f>
        <v>-2291150.6199408621</v>
      </c>
      <c r="G23" s="92" t="s">
        <v>508</v>
      </c>
    </row>
    <row r="24" spans="1:7">
      <c r="A24" s="92">
        <v>6</v>
      </c>
      <c r="C24" s="1" t="s">
        <v>517</v>
      </c>
      <c r="E24" s="5">
        <f>E21</f>
        <v>3.2076362135082165E-2</v>
      </c>
      <c r="G24" s="92" t="s">
        <v>507</v>
      </c>
    </row>
    <row r="25" spans="1:7" ht="13.5" thickBot="1">
      <c r="A25" s="92">
        <v>7</v>
      </c>
      <c r="C25" s="1" t="s">
        <v>523</v>
      </c>
      <c r="E25" s="18">
        <f>ROUND(E23*E24,0)</f>
        <v>-73492</v>
      </c>
      <c r="G25" s="92" t="s">
        <v>524</v>
      </c>
    </row>
    <row r="26" spans="1:7" ht="13.5" thickTop="1"/>
    <row r="27" spans="1:7">
      <c r="E27" s="4"/>
    </row>
    <row r="28" spans="1:7">
      <c r="E28" s="42"/>
    </row>
  </sheetData>
  <pageMargins left="0.75" right="0.75" top="1" bottom="0.64" header="0.5" footer="0.5"/>
  <pageSetup scale="87" fitToHeight="3" orientation="landscape" horizontalDpi="1200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31"/>
  <sheetViews>
    <sheetView workbookViewId="0">
      <selection activeCell="C64" sqref="C64"/>
    </sheetView>
  </sheetViews>
  <sheetFormatPr defaultRowHeight="12.75"/>
  <cols>
    <col min="1" max="1" width="4.42578125" style="1" customWidth="1"/>
    <col min="2" max="2" width="1.140625" style="1" customWidth="1"/>
    <col min="3" max="3" width="79.7109375" style="1" bestFit="1" customWidth="1"/>
    <col min="4" max="4" width="1" style="1" customWidth="1"/>
    <col min="5" max="5" width="11.5703125" style="1" bestFit="1" customWidth="1"/>
    <col min="6" max="6" width="1.140625" style="1" customWidth="1"/>
    <col min="7" max="7" width="11.140625" style="1" customWidth="1"/>
    <col min="8" max="8" width="0.85546875" style="1" customWidth="1"/>
    <col min="9" max="9" width="11.28515625" style="1" bestFit="1" customWidth="1"/>
    <col min="10" max="10" width="1.140625" style="1" customWidth="1"/>
    <col min="11" max="11" width="11.28515625" style="1" customWidth="1"/>
    <col min="12" max="16384" width="9.140625" style="1"/>
  </cols>
  <sheetData>
    <row r="1" spans="1:11">
      <c r="A1" s="1" t="str">
        <f>Contents!A1</f>
        <v>Louisville Gas and Electric Company</v>
      </c>
      <c r="G1" s="27"/>
      <c r="K1" s="27" t="str">
        <f>Contents!A4</f>
        <v>Exhibit RCS-1</v>
      </c>
    </row>
    <row r="2" spans="1:11">
      <c r="A2" s="1" t="s">
        <v>415</v>
      </c>
      <c r="G2" s="27"/>
      <c r="K2" s="27" t="s">
        <v>218</v>
      </c>
    </row>
    <row r="3" spans="1:11">
      <c r="G3" s="27"/>
      <c r="K3" s="27" t="str">
        <f>Contents!A2</f>
        <v>Case No. 2016-00371</v>
      </c>
    </row>
    <row r="4" spans="1:11">
      <c r="A4" s="1" t="s">
        <v>289</v>
      </c>
      <c r="G4" s="27"/>
      <c r="K4" s="27" t="s">
        <v>37</v>
      </c>
    </row>
    <row r="6" spans="1:11">
      <c r="E6" s="92"/>
      <c r="F6" s="92"/>
      <c r="G6" s="92"/>
    </row>
    <row r="7" spans="1:11">
      <c r="A7" s="92" t="s">
        <v>0</v>
      </c>
      <c r="E7" s="92"/>
      <c r="F7" s="92"/>
      <c r="G7" s="92"/>
    </row>
    <row r="8" spans="1:11">
      <c r="A8" s="175" t="s">
        <v>2</v>
      </c>
      <c r="C8" s="2" t="s">
        <v>3</v>
      </c>
      <c r="E8" s="175" t="s">
        <v>16</v>
      </c>
      <c r="F8" s="92"/>
      <c r="G8" s="175" t="s">
        <v>15</v>
      </c>
    </row>
    <row r="9" spans="1:11">
      <c r="A9" s="92"/>
      <c r="C9" s="14"/>
      <c r="E9" s="92" t="s">
        <v>6</v>
      </c>
    </row>
    <row r="10" spans="1:11">
      <c r="A10" s="92"/>
      <c r="C10" s="54"/>
      <c r="E10" s="92"/>
    </row>
    <row r="11" spans="1:11">
      <c r="A11" s="92">
        <v>1</v>
      </c>
      <c r="C11" s="1" t="s">
        <v>511</v>
      </c>
      <c r="E11" s="19">
        <f>-K25</f>
        <v>-141905.18826698139</v>
      </c>
      <c r="G11" s="92" t="s">
        <v>43</v>
      </c>
    </row>
    <row r="12" spans="1:11">
      <c r="A12" s="92">
        <v>2</v>
      </c>
      <c r="C12" s="1" t="s">
        <v>510</v>
      </c>
      <c r="E12" s="199">
        <f>'B-1'!K10</f>
        <v>0.98111000000000004</v>
      </c>
      <c r="G12" s="92" t="s">
        <v>44</v>
      </c>
    </row>
    <row r="13" spans="1:11" ht="13.5" thickBot="1">
      <c r="A13" s="92">
        <v>3</v>
      </c>
      <c r="C13" s="1" t="s">
        <v>512</v>
      </c>
      <c r="E13" s="197">
        <f>ROUND(E11*E12,0)</f>
        <v>-139225</v>
      </c>
      <c r="G13" s="92"/>
    </row>
    <row r="14" spans="1:11" ht="13.5" thickTop="1"/>
    <row r="16" spans="1:11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1" t="s">
        <v>416</v>
      </c>
    </row>
    <row r="18" spans="1:11">
      <c r="G18" s="92"/>
      <c r="I18" s="92" t="s">
        <v>400</v>
      </c>
      <c r="K18" s="92"/>
    </row>
    <row r="19" spans="1:11">
      <c r="G19" s="92" t="s">
        <v>156</v>
      </c>
      <c r="I19" s="92" t="s">
        <v>1</v>
      </c>
      <c r="K19" s="12"/>
    </row>
    <row r="20" spans="1:11">
      <c r="E20" s="92" t="s">
        <v>405</v>
      </c>
      <c r="G20" s="92" t="s">
        <v>34</v>
      </c>
      <c r="I20" s="92" t="s">
        <v>417</v>
      </c>
      <c r="K20" s="12" t="s">
        <v>417</v>
      </c>
    </row>
    <row r="21" spans="1:11">
      <c r="C21" s="2" t="s">
        <v>3</v>
      </c>
      <c r="E21" s="175" t="s">
        <v>379</v>
      </c>
      <c r="G21" s="175" t="s">
        <v>419</v>
      </c>
      <c r="I21" s="175" t="s">
        <v>418</v>
      </c>
      <c r="K21" s="175" t="s">
        <v>213</v>
      </c>
    </row>
    <row r="22" spans="1:11">
      <c r="E22" s="12"/>
      <c r="G22" s="12" t="s">
        <v>7</v>
      </c>
    </row>
    <row r="23" spans="1:11">
      <c r="A23" s="92">
        <v>4</v>
      </c>
      <c r="C23" s="10" t="s">
        <v>406</v>
      </c>
      <c r="E23" s="92">
        <v>365</v>
      </c>
      <c r="G23" s="4">
        <f>'B-2'!I19</f>
        <v>4319000</v>
      </c>
      <c r="I23" s="17">
        <v>3.252952958253795E-2</v>
      </c>
      <c r="K23" s="4">
        <f>G23*I23</f>
        <v>140495.0382669814</v>
      </c>
    </row>
    <row r="24" spans="1:11">
      <c r="A24" s="92">
        <v>5</v>
      </c>
      <c r="C24" s="10" t="s">
        <v>407</v>
      </c>
      <c r="E24" s="92">
        <v>397</v>
      </c>
      <c r="G24" s="4">
        <f>'B-2'!I20</f>
        <v>178500</v>
      </c>
      <c r="I24" s="17">
        <v>7.9000000000000008E-3</v>
      </c>
      <c r="K24" s="4">
        <f>G24*I24</f>
        <v>1410.15</v>
      </c>
    </row>
    <row r="25" spans="1:11" ht="13.5" thickBot="1">
      <c r="A25" s="92">
        <v>6</v>
      </c>
      <c r="C25" s="1" t="s">
        <v>626</v>
      </c>
      <c r="G25" s="18">
        <f>G23+G24</f>
        <v>4497500</v>
      </c>
      <c r="K25" s="18">
        <f>K23+K24</f>
        <v>141905.18826698139</v>
      </c>
    </row>
    <row r="26" spans="1:11" ht="13.5" thickTop="1">
      <c r="A26" s="92"/>
      <c r="G26" s="19"/>
      <c r="K26" s="19"/>
    </row>
    <row r="27" spans="1:11">
      <c r="A27" s="1" t="s">
        <v>527</v>
      </c>
    </row>
    <row r="29" spans="1:11">
      <c r="A29" s="1" t="s">
        <v>420</v>
      </c>
    </row>
    <row r="30" spans="1:11">
      <c r="K30" s="185"/>
    </row>
    <row r="31" spans="1:11">
      <c r="K31" s="185"/>
    </row>
  </sheetData>
  <pageMargins left="0.75" right="0.75" top="0.65" bottom="0.45" header="0.5" footer="0.3"/>
  <pageSetup scale="90" orientation="landscape" horizontalDpi="1200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Q25"/>
  <sheetViews>
    <sheetView workbookViewId="0">
      <selection activeCell="C64" sqref="C64"/>
    </sheetView>
  </sheetViews>
  <sheetFormatPr defaultRowHeight="12.75"/>
  <cols>
    <col min="1" max="1" width="5" style="1" customWidth="1"/>
    <col min="2" max="2" width="1.42578125" style="1" customWidth="1"/>
    <col min="3" max="3" width="57.5703125" style="1" customWidth="1"/>
    <col min="4" max="4" width="1.140625" style="1" customWidth="1"/>
    <col min="5" max="5" width="12.28515625" style="1" customWidth="1"/>
    <col min="6" max="6" width="1.28515625" style="1" customWidth="1"/>
    <col min="7" max="7" width="12.28515625" style="1" customWidth="1"/>
    <col min="8" max="8" width="1.28515625" style="1" customWidth="1"/>
    <col min="9" max="9" width="11.140625" style="1" customWidth="1"/>
    <col min="10" max="10" width="1.140625" style="1" customWidth="1"/>
    <col min="11" max="11" width="10.140625" style="1" customWidth="1"/>
    <col min="12" max="12" width="1.140625" style="1" customWidth="1"/>
    <col min="13" max="13" width="12.7109375" style="1" bestFit="1" customWidth="1"/>
    <col min="14" max="14" width="1.28515625" style="1" customWidth="1"/>
    <col min="15" max="15" width="31.140625" style="1" bestFit="1" customWidth="1"/>
    <col min="16" max="16384" width="9.140625" style="1"/>
  </cols>
  <sheetData>
    <row r="1" spans="1:11">
      <c r="A1" s="1" t="str">
        <f>Contents!A1</f>
        <v>Louisville Gas and Electric Company</v>
      </c>
      <c r="I1" s="27" t="str">
        <f>Contents!A4</f>
        <v>Exhibit RCS-1</v>
      </c>
      <c r="K1" s="27"/>
    </row>
    <row r="2" spans="1:11">
      <c r="A2" s="1" t="s">
        <v>484</v>
      </c>
      <c r="I2" s="27" t="s">
        <v>221</v>
      </c>
      <c r="K2" s="27"/>
    </row>
    <row r="3" spans="1:11">
      <c r="I3" s="27" t="str">
        <f>Contents!A2</f>
        <v>Case No. 2016-00371</v>
      </c>
      <c r="K3" s="27"/>
    </row>
    <row r="4" spans="1:11">
      <c r="A4" s="1" t="s">
        <v>289</v>
      </c>
      <c r="I4" s="27" t="s">
        <v>186</v>
      </c>
      <c r="K4" s="27"/>
    </row>
    <row r="5" spans="1:11">
      <c r="K5" s="27"/>
    </row>
    <row r="6" spans="1:11">
      <c r="K6" s="27"/>
    </row>
    <row r="7" spans="1:11">
      <c r="E7" s="92"/>
      <c r="G7" s="92"/>
      <c r="H7" s="92"/>
      <c r="I7" s="92"/>
      <c r="K7" s="27"/>
    </row>
    <row r="8" spans="1:11">
      <c r="E8" s="92" t="s">
        <v>400</v>
      </c>
      <c r="G8" s="92" t="s">
        <v>451</v>
      </c>
      <c r="H8" s="92"/>
      <c r="I8" s="92"/>
    </row>
    <row r="9" spans="1:11">
      <c r="A9" s="92" t="s">
        <v>0</v>
      </c>
      <c r="E9" s="92" t="s">
        <v>348</v>
      </c>
      <c r="F9" s="92"/>
      <c r="G9" s="92" t="s">
        <v>457</v>
      </c>
      <c r="H9" s="92"/>
      <c r="I9" s="92" t="s">
        <v>28</v>
      </c>
      <c r="J9" s="92"/>
      <c r="K9" s="92"/>
    </row>
    <row r="10" spans="1:11">
      <c r="A10" s="186" t="s">
        <v>2</v>
      </c>
      <c r="C10" s="2" t="s">
        <v>3</v>
      </c>
      <c r="E10" s="186" t="s">
        <v>16</v>
      </c>
      <c r="F10" s="12"/>
      <c r="G10" s="186" t="s">
        <v>16</v>
      </c>
      <c r="H10" s="12"/>
      <c r="I10" s="186" t="s">
        <v>34</v>
      </c>
      <c r="J10" s="92"/>
      <c r="K10" s="12"/>
    </row>
    <row r="11" spans="1:11">
      <c r="A11" s="92"/>
      <c r="E11" s="92" t="s">
        <v>6</v>
      </c>
      <c r="F11" s="92"/>
      <c r="G11" s="92" t="s">
        <v>7</v>
      </c>
      <c r="H11" s="92"/>
      <c r="I11" s="92" t="s">
        <v>18</v>
      </c>
      <c r="K11" s="13"/>
    </row>
    <row r="12" spans="1:11">
      <c r="A12" s="92"/>
      <c r="E12" s="92"/>
      <c r="F12" s="92"/>
      <c r="G12" s="92"/>
      <c r="H12" s="92"/>
      <c r="I12" s="92"/>
      <c r="K12" s="13"/>
    </row>
    <row r="13" spans="1:11">
      <c r="A13" s="92">
        <v>1</v>
      </c>
      <c r="C13" s="1" t="s">
        <v>452</v>
      </c>
      <c r="E13" s="19">
        <f>-'C-8 P2'!G19</f>
        <v>-921551</v>
      </c>
      <c r="F13" s="19"/>
      <c r="G13" s="19">
        <f>-'C-8 P3'!G20</f>
        <v>-842460</v>
      </c>
      <c r="H13" s="19"/>
      <c r="I13" s="19">
        <f>E13+G13</f>
        <v>-1764011</v>
      </c>
      <c r="K13" s="12"/>
    </row>
    <row r="14" spans="1:11">
      <c r="A14" s="92">
        <v>2</v>
      </c>
      <c r="C14" s="1" t="s">
        <v>453</v>
      </c>
      <c r="E14" s="19">
        <f>-'C-8 P2'!G34</f>
        <v>-265313</v>
      </c>
      <c r="F14" s="19"/>
      <c r="G14" s="19">
        <f>-'C-8 P3'!G37</f>
        <v>-200496.85150000002</v>
      </c>
      <c r="H14" s="19"/>
      <c r="I14" s="19">
        <f>E14+G14</f>
        <v>-465809.85149999999</v>
      </c>
      <c r="K14" s="12"/>
    </row>
    <row r="15" spans="1:11" ht="13.5" thickBot="1">
      <c r="A15" s="92">
        <v>3</v>
      </c>
      <c r="C15" s="1" t="s">
        <v>401</v>
      </c>
      <c r="E15" s="18">
        <f>E13+E14</f>
        <v>-1186864</v>
      </c>
      <c r="F15" s="19"/>
      <c r="G15" s="18">
        <f>G13+G14</f>
        <v>-1042956.8515</v>
      </c>
      <c r="H15" s="19"/>
      <c r="I15" s="18">
        <f>I13+I14</f>
        <v>-2229820.8514999999</v>
      </c>
      <c r="K15" s="12"/>
    </row>
    <row r="16" spans="1:11" ht="13.5" thickTop="1">
      <c r="A16" s="92"/>
      <c r="E16" s="19"/>
      <c r="F16" s="19"/>
      <c r="G16" s="19"/>
      <c r="H16" s="19"/>
      <c r="I16" s="19"/>
      <c r="K16" s="12"/>
    </row>
    <row r="17" spans="1:17" ht="13.5" thickBot="1">
      <c r="A17" s="92">
        <v>4</v>
      </c>
      <c r="C17" s="1" t="s">
        <v>454</v>
      </c>
      <c r="E17" s="20">
        <f>-'C-8 P2'!G38</f>
        <v>-74918</v>
      </c>
      <c r="F17" s="19"/>
      <c r="G17" s="20">
        <f>-'C-8 P3'!G43</f>
        <v>-68036</v>
      </c>
      <c r="H17" s="19"/>
      <c r="I17" s="20">
        <f>E17+G17</f>
        <v>-142954</v>
      </c>
      <c r="K17" s="12"/>
    </row>
    <row r="18" spans="1:17" ht="13.5" thickTop="1">
      <c r="A18" s="92"/>
      <c r="E18" s="19"/>
      <c r="F18" s="19"/>
      <c r="G18" s="19"/>
      <c r="H18" s="19"/>
      <c r="I18" s="19"/>
      <c r="K18" s="92"/>
    </row>
    <row r="20" spans="1:17">
      <c r="A20" s="2" t="s">
        <v>9</v>
      </c>
      <c r="B20" s="2"/>
      <c r="C20" s="2"/>
      <c r="D20" s="2"/>
      <c r="E20" s="2"/>
      <c r="F20" s="2"/>
      <c r="G20" s="2"/>
      <c r="H20" s="2"/>
      <c r="I20" s="2"/>
      <c r="J20" s="13"/>
      <c r="K20" s="13"/>
      <c r="L20" s="13"/>
      <c r="M20" s="13"/>
      <c r="N20" s="13"/>
      <c r="O20" s="13"/>
      <c r="P20" s="13"/>
      <c r="Q20" s="13"/>
    </row>
    <row r="21" spans="1:17">
      <c r="A21" s="1" t="s">
        <v>455</v>
      </c>
    </row>
    <row r="22" spans="1:17">
      <c r="A22" s="1" t="s">
        <v>456</v>
      </c>
      <c r="E22" s="42"/>
      <c r="G22" s="42"/>
    </row>
    <row r="25" spans="1:17">
      <c r="C25" s="191"/>
    </row>
  </sheetData>
  <pageMargins left="0.75" right="0.75" top="1" bottom="0.65" header="0.5" footer="0.5"/>
  <pageSetup fitToHeight="3" orientation="landscape" horizontalDpi="1200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>
      <selection activeCell="C64" sqref="C64"/>
    </sheetView>
  </sheetViews>
  <sheetFormatPr defaultRowHeight="12.75"/>
  <cols>
    <col min="1" max="1" width="5" style="1" customWidth="1"/>
    <col min="2" max="2" width="1.42578125" style="1" customWidth="1"/>
    <col min="3" max="3" width="57.5703125" style="1" customWidth="1"/>
    <col min="4" max="4" width="1.140625" style="1" customWidth="1"/>
    <col min="5" max="5" width="12.28515625" style="1" customWidth="1"/>
    <col min="6" max="6" width="1.140625" style="1" customWidth="1"/>
    <col min="7" max="7" width="10.5703125" style="1" customWidth="1"/>
    <col min="8" max="8" width="1.140625" style="1" customWidth="1"/>
    <col min="9" max="9" width="12" style="1" customWidth="1"/>
    <col min="10" max="10" width="1.28515625" style="1" customWidth="1"/>
    <col min="11" max="11" width="14.42578125" style="1" customWidth="1"/>
    <col min="12" max="16384" width="9.140625" style="1"/>
  </cols>
  <sheetData>
    <row r="1" spans="1:13">
      <c r="A1" s="1" t="str">
        <f>Contents!A1</f>
        <v>Louisville Gas and Electric Company</v>
      </c>
      <c r="G1" s="27"/>
      <c r="I1" s="27" t="str">
        <f>Contents!A4</f>
        <v>Exhibit RCS-1</v>
      </c>
    </row>
    <row r="2" spans="1:13">
      <c r="A2" s="1" t="s">
        <v>484</v>
      </c>
      <c r="G2" s="27"/>
      <c r="I2" s="27" t="s">
        <v>221</v>
      </c>
    </row>
    <row r="3" spans="1:13">
      <c r="G3" s="27"/>
      <c r="I3" s="27" t="str">
        <f>Contents!A2</f>
        <v>Case No. 2016-00371</v>
      </c>
    </row>
    <row r="4" spans="1:13">
      <c r="A4" s="1" t="s">
        <v>289</v>
      </c>
      <c r="G4" s="27"/>
      <c r="I4" s="27" t="s">
        <v>184</v>
      </c>
    </row>
    <row r="5" spans="1:13">
      <c r="G5" s="27"/>
      <c r="I5" s="27"/>
    </row>
    <row r="6" spans="1:13">
      <c r="C6" s="14" t="s">
        <v>281</v>
      </c>
    </row>
    <row r="7" spans="1:13">
      <c r="E7" s="92" t="s">
        <v>28</v>
      </c>
      <c r="I7" s="92"/>
    </row>
    <row r="8" spans="1:13">
      <c r="E8" s="92" t="s">
        <v>45</v>
      </c>
      <c r="G8" s="92" t="s">
        <v>400</v>
      </c>
      <c r="I8" s="92" t="s">
        <v>400</v>
      </c>
    </row>
    <row r="9" spans="1:13">
      <c r="A9" s="92" t="s">
        <v>0</v>
      </c>
      <c r="E9" s="92" t="s">
        <v>400</v>
      </c>
      <c r="F9" s="92"/>
      <c r="G9" s="92" t="s">
        <v>348</v>
      </c>
      <c r="I9" s="92" t="s">
        <v>389</v>
      </c>
    </row>
    <row r="10" spans="1:13">
      <c r="A10" s="186" t="s">
        <v>2</v>
      </c>
      <c r="C10" s="2" t="s">
        <v>3</v>
      </c>
      <c r="E10" s="186" t="s">
        <v>16</v>
      </c>
      <c r="F10" s="92"/>
      <c r="G10" s="186" t="s">
        <v>388</v>
      </c>
      <c r="I10" s="186" t="s">
        <v>388</v>
      </c>
    </row>
    <row r="11" spans="1:13">
      <c r="A11" s="92"/>
      <c r="E11" s="92" t="s">
        <v>6</v>
      </c>
      <c r="G11" s="92" t="s">
        <v>7</v>
      </c>
      <c r="H11" s="92"/>
      <c r="I11" s="92" t="s">
        <v>18</v>
      </c>
    </row>
    <row r="12" spans="1:13">
      <c r="A12" s="92"/>
      <c r="E12" s="92"/>
      <c r="G12" s="92"/>
      <c r="H12" s="92"/>
      <c r="I12" s="92"/>
    </row>
    <row r="13" spans="1:13">
      <c r="A13" s="92">
        <v>1</v>
      </c>
      <c r="C13" s="1" t="s">
        <v>458</v>
      </c>
      <c r="E13" s="92">
        <v>22</v>
      </c>
      <c r="G13" s="92"/>
      <c r="H13" s="92"/>
      <c r="I13" s="92"/>
    </row>
    <row r="14" spans="1:13">
      <c r="A14" s="92"/>
      <c r="E14" s="92"/>
      <c r="F14" s="92"/>
      <c r="G14" s="12"/>
    </row>
    <row r="15" spans="1:13">
      <c r="A15" s="92">
        <v>2</v>
      </c>
      <c r="C15" s="1" t="s">
        <v>459</v>
      </c>
      <c r="E15" s="4">
        <v>1682923</v>
      </c>
      <c r="F15" s="4"/>
      <c r="G15" s="44">
        <f>E15*M17</f>
        <v>1286941.1176470588</v>
      </c>
      <c r="I15" s="4">
        <f>E15*M16</f>
        <v>395981.88235294115</v>
      </c>
      <c r="K15" s="42"/>
    </row>
    <row r="16" spans="1:13">
      <c r="A16" s="92">
        <f>A15+1</f>
        <v>3</v>
      </c>
      <c r="C16" s="1" t="s">
        <v>460</v>
      </c>
      <c r="E16" s="45">
        <f>E50</f>
        <v>113597.25</v>
      </c>
      <c r="F16" s="4"/>
      <c r="G16" s="23">
        <f>E16*M17</f>
        <v>86868.485294117636</v>
      </c>
      <c r="I16" s="45">
        <f>E16*M16</f>
        <v>26728.764705882353</v>
      </c>
      <c r="K16" s="42"/>
      <c r="L16" s="1">
        <v>0.4</v>
      </c>
      <c r="M16" s="26">
        <f>L16/L18</f>
        <v>0.23529411764705882</v>
      </c>
    </row>
    <row r="17" spans="1:13">
      <c r="A17" s="92">
        <f t="shared" ref="A17:A19" si="0">A16+1</f>
        <v>4</v>
      </c>
      <c r="C17" s="1" t="s">
        <v>461</v>
      </c>
      <c r="E17" s="4">
        <f>E15+E16</f>
        <v>1796520.25</v>
      </c>
      <c r="F17" s="4"/>
      <c r="G17" s="4">
        <f>G15+G16</f>
        <v>1373809.6029411764</v>
      </c>
      <c r="I17" s="4">
        <f>I15+I16</f>
        <v>422710.6470588235</v>
      </c>
      <c r="L17" s="2">
        <v>1.3</v>
      </c>
      <c r="M17" s="97">
        <f>L17/L18</f>
        <v>0.76470588235294112</v>
      </c>
    </row>
    <row r="18" spans="1:13">
      <c r="A18" s="92">
        <f t="shared" si="0"/>
        <v>5</v>
      </c>
      <c r="C18" s="1" t="s">
        <v>478</v>
      </c>
      <c r="E18" s="97">
        <v>0.67079999999999995</v>
      </c>
      <c r="F18" s="26"/>
      <c r="G18" s="97">
        <v>0.67079999999999995</v>
      </c>
      <c r="I18" s="97">
        <v>0.67079999999999995</v>
      </c>
      <c r="L18" s="1">
        <f>L16+L17</f>
        <v>1.7000000000000002</v>
      </c>
      <c r="M18" s="26">
        <f>M16+M17</f>
        <v>1</v>
      </c>
    </row>
    <row r="19" spans="1:13">
      <c r="A19" s="92">
        <f t="shared" si="0"/>
        <v>6</v>
      </c>
      <c r="C19" s="1" t="s">
        <v>462</v>
      </c>
      <c r="E19" s="47">
        <f>ROUND(E17*E18,0)</f>
        <v>1205106</v>
      </c>
      <c r="F19" s="4"/>
      <c r="G19" s="47">
        <f>ROUND(G17*G18,0)</f>
        <v>921551</v>
      </c>
      <c r="I19" s="47">
        <f>ROUND(I17*I18,0)</f>
        <v>283554</v>
      </c>
      <c r="K19" s="42"/>
    </row>
    <row r="20" spans="1:13">
      <c r="A20" s="92"/>
      <c r="G20" s="44"/>
    </row>
    <row r="21" spans="1:13">
      <c r="A21" s="92"/>
      <c r="C21" s="14" t="s">
        <v>463</v>
      </c>
      <c r="G21" s="44"/>
    </row>
    <row r="22" spans="1:13">
      <c r="A22" s="92">
        <f>A19+1</f>
        <v>7</v>
      </c>
      <c r="C22" s="1" t="s">
        <v>464</v>
      </c>
      <c r="E22" s="4">
        <v>70683</v>
      </c>
      <c r="G22" s="44">
        <f>E22*M17</f>
        <v>54051.705882352937</v>
      </c>
      <c r="I22" s="4">
        <f>E22*M16</f>
        <v>16631.294117647059</v>
      </c>
      <c r="K22" s="42"/>
    </row>
    <row r="23" spans="1:13">
      <c r="A23" s="92">
        <f>A22+1</f>
        <v>8</v>
      </c>
      <c r="C23" s="1" t="s">
        <v>465</v>
      </c>
      <c r="E23" s="4">
        <v>50488</v>
      </c>
      <c r="G23" s="44">
        <f>E23*M17</f>
        <v>38608.470588235294</v>
      </c>
      <c r="I23" s="4">
        <f>E23*M16</f>
        <v>11879.529411764706</v>
      </c>
      <c r="K23" s="42"/>
    </row>
    <row r="24" spans="1:13">
      <c r="A24" s="92">
        <f t="shared" ref="A24:A34" si="1">A23+1</f>
        <v>9</v>
      </c>
      <c r="C24" s="1" t="s">
        <v>466</v>
      </c>
      <c r="E24" s="4">
        <v>8199</v>
      </c>
      <c r="G24" s="44">
        <f>E24*M17</f>
        <v>6269.823529411764</v>
      </c>
      <c r="I24" s="4">
        <f>E24*M16</f>
        <v>1929.1764705882354</v>
      </c>
      <c r="K24" s="42"/>
    </row>
    <row r="25" spans="1:13">
      <c r="A25" s="92">
        <f t="shared" si="1"/>
        <v>10</v>
      </c>
      <c r="C25" s="1" t="s">
        <v>467</v>
      </c>
      <c r="E25" s="4">
        <v>8835</v>
      </c>
      <c r="G25" s="44">
        <f>E25*M17</f>
        <v>6756.1764705882351</v>
      </c>
      <c r="I25" s="4">
        <f>E25*M16</f>
        <v>2078.8235294117649</v>
      </c>
      <c r="K25" s="42"/>
    </row>
    <row r="26" spans="1:13">
      <c r="A26" s="92">
        <f t="shared" si="1"/>
        <v>11</v>
      </c>
      <c r="C26" s="1" t="s">
        <v>468</v>
      </c>
      <c r="E26" s="4">
        <v>46595</v>
      </c>
      <c r="G26" s="44">
        <f>E26*M17</f>
        <v>35631.470588235294</v>
      </c>
      <c r="I26" s="4">
        <f>E26*M16</f>
        <v>10963.529411764706</v>
      </c>
      <c r="K26" s="42"/>
    </row>
    <row r="27" spans="1:13">
      <c r="A27" s="92">
        <f t="shared" si="1"/>
        <v>12</v>
      </c>
      <c r="C27" s="1" t="s">
        <v>479</v>
      </c>
      <c r="E27" s="4">
        <v>4322</v>
      </c>
      <c r="G27" s="44">
        <f>E27*M17</f>
        <v>3305.0588235294117</v>
      </c>
      <c r="I27" s="4">
        <f>E27*M16</f>
        <v>1016.9411764705882</v>
      </c>
      <c r="K27" s="42"/>
    </row>
    <row r="28" spans="1:13">
      <c r="A28" s="92">
        <f t="shared" si="1"/>
        <v>13</v>
      </c>
      <c r="C28" s="1" t="s">
        <v>469</v>
      </c>
      <c r="E28" s="4">
        <v>11745</v>
      </c>
      <c r="G28" s="44">
        <f>E28*M17</f>
        <v>8981.4705882352937</v>
      </c>
      <c r="I28" s="4">
        <f>E28*M16</f>
        <v>2763.5294117647059</v>
      </c>
      <c r="K28" s="42"/>
    </row>
    <row r="29" spans="1:13">
      <c r="A29" s="92">
        <f t="shared" si="1"/>
        <v>14</v>
      </c>
      <c r="C29" s="1" t="s">
        <v>470</v>
      </c>
      <c r="E29" s="4">
        <v>12171</v>
      </c>
      <c r="G29" s="44">
        <f>E29*M17</f>
        <v>9307.2352941176468</v>
      </c>
      <c r="I29" s="4">
        <f>E29*M16</f>
        <v>2863.7647058823527</v>
      </c>
      <c r="K29" s="42"/>
    </row>
    <row r="30" spans="1:13">
      <c r="A30" s="92">
        <f t="shared" si="1"/>
        <v>15</v>
      </c>
      <c r="C30" s="1" t="s">
        <v>471</v>
      </c>
      <c r="E30" s="4">
        <v>244134</v>
      </c>
      <c r="G30" s="44">
        <f>E30*M17</f>
        <v>186690.70588235292</v>
      </c>
      <c r="I30" s="4">
        <f>E30*M16</f>
        <v>57443.294117647056</v>
      </c>
      <c r="K30" s="42"/>
    </row>
    <row r="31" spans="1:13">
      <c r="A31" s="92">
        <f t="shared" si="1"/>
        <v>16</v>
      </c>
      <c r="C31" s="1" t="s">
        <v>472</v>
      </c>
      <c r="E31" s="45">
        <v>6600</v>
      </c>
      <c r="G31" s="44">
        <f>E31*M17</f>
        <v>5047.0588235294117</v>
      </c>
      <c r="I31" s="4">
        <f>E31*M16</f>
        <v>1552.9411764705883</v>
      </c>
      <c r="K31" s="42"/>
    </row>
    <row r="32" spans="1:13">
      <c r="A32" s="92">
        <f t="shared" si="1"/>
        <v>17</v>
      </c>
      <c r="C32" s="1" t="s">
        <v>473</v>
      </c>
      <c r="E32" s="88">
        <f>SUM(E22:E31)</f>
        <v>463772</v>
      </c>
      <c r="G32" s="88">
        <f>SUM(G22:G31)</f>
        <v>354649.17647058819</v>
      </c>
      <c r="I32" s="88">
        <f>SUM(I22:I31)</f>
        <v>109122.82352941176</v>
      </c>
      <c r="K32" s="42"/>
    </row>
    <row r="33" spans="1:11">
      <c r="A33" s="92">
        <f t="shared" si="1"/>
        <v>18</v>
      </c>
      <c r="C33" s="1" t="s">
        <v>478</v>
      </c>
      <c r="E33" s="97">
        <v>0.74809999999999999</v>
      </c>
      <c r="F33" s="34"/>
      <c r="G33" s="97">
        <v>0.74809999999999999</v>
      </c>
      <c r="I33" s="97">
        <v>0.74809999999999999</v>
      </c>
    </row>
    <row r="34" spans="1:11">
      <c r="A34" s="92">
        <f t="shared" si="1"/>
        <v>19</v>
      </c>
      <c r="C34" s="1" t="s">
        <v>474</v>
      </c>
      <c r="E34" s="47">
        <f>ROUND(E32*E33,0)</f>
        <v>346948</v>
      </c>
      <c r="G34" s="47">
        <f>ROUND(G32*G33,0)</f>
        <v>265313</v>
      </c>
      <c r="I34" s="47">
        <f>ROUND(I32*I33,0)</f>
        <v>81635</v>
      </c>
      <c r="K34" s="42"/>
    </row>
    <row r="35" spans="1:11">
      <c r="A35" s="92"/>
      <c r="E35" s="4"/>
      <c r="G35" s="44"/>
    </row>
    <row r="36" spans="1:11">
      <c r="A36" s="92">
        <f>A34+1</f>
        <v>20</v>
      </c>
      <c r="C36" s="1" t="s">
        <v>475</v>
      </c>
      <c r="E36" s="19">
        <v>132660</v>
      </c>
      <c r="G36" s="44">
        <f>E36*M17</f>
        <v>101445.88235294117</v>
      </c>
      <c r="I36" s="4">
        <f>E36*M16</f>
        <v>31214.117647058822</v>
      </c>
      <c r="K36" s="42"/>
    </row>
    <row r="37" spans="1:11">
      <c r="A37" s="92">
        <f>A36+1</f>
        <v>21</v>
      </c>
      <c r="C37" s="1" t="s">
        <v>478</v>
      </c>
      <c r="E37" s="97">
        <v>0.73850000000000005</v>
      </c>
      <c r="F37" s="34"/>
      <c r="G37" s="97">
        <v>0.73850000000000005</v>
      </c>
      <c r="I37" s="97">
        <v>0.73850000000000005</v>
      </c>
    </row>
    <row r="38" spans="1:11">
      <c r="A38" s="92">
        <f>A37+1</f>
        <v>22</v>
      </c>
      <c r="C38" s="1" t="s">
        <v>476</v>
      </c>
      <c r="E38" s="47">
        <f>ROUND(E36*E37,0)</f>
        <v>97969</v>
      </c>
      <c r="G38" s="47">
        <f>ROUND(G36*G37,0)</f>
        <v>74918</v>
      </c>
      <c r="I38" s="47">
        <f>ROUND(I36*I37,0)</f>
        <v>23052</v>
      </c>
      <c r="K38" s="42"/>
    </row>
    <row r="39" spans="1:11">
      <c r="A39" s="92"/>
      <c r="E39" s="4"/>
      <c r="G39" s="44"/>
    </row>
    <row r="40" spans="1:11" ht="13.5" thickBot="1">
      <c r="A40" s="92">
        <f>A38+1</f>
        <v>23</v>
      </c>
      <c r="C40" s="1" t="s">
        <v>482</v>
      </c>
      <c r="E40" s="41">
        <f>E19+E34+E38</f>
        <v>1650023</v>
      </c>
      <c r="G40" s="41">
        <f>G19+G34+G38</f>
        <v>1261782</v>
      </c>
      <c r="I40" s="41">
        <f>I19+I34+I38</f>
        <v>388241</v>
      </c>
      <c r="K40" s="42"/>
    </row>
    <row r="41" spans="1:11" ht="13.5" thickTop="1"/>
    <row r="43" spans="1:11">
      <c r="A43" s="2" t="s">
        <v>9</v>
      </c>
      <c r="B43" s="2"/>
      <c r="C43" s="2"/>
      <c r="D43" s="2"/>
      <c r="E43" s="2"/>
      <c r="F43" s="2"/>
      <c r="G43" s="2"/>
      <c r="H43" s="2"/>
      <c r="I43" s="2"/>
    </row>
    <row r="44" spans="1:11">
      <c r="A44" s="1" t="s">
        <v>477</v>
      </c>
    </row>
    <row r="45" spans="1:11">
      <c r="C45" s="191"/>
    </row>
    <row r="46" spans="1:11">
      <c r="A46" s="1" t="s">
        <v>575</v>
      </c>
    </row>
    <row r="48" spans="1:11">
      <c r="A48" s="92">
        <v>24</v>
      </c>
      <c r="C48" s="1" t="s">
        <v>486</v>
      </c>
      <c r="E48" s="4">
        <v>151463</v>
      </c>
    </row>
    <row r="49" spans="1:11">
      <c r="A49" s="92">
        <v>25</v>
      </c>
      <c r="C49" s="1" t="s">
        <v>487</v>
      </c>
      <c r="E49" s="26">
        <v>0.75</v>
      </c>
    </row>
    <row r="50" spans="1:11" ht="13.5" thickBot="1">
      <c r="A50" s="92">
        <v>26</v>
      </c>
      <c r="C50" s="1" t="s">
        <v>488</v>
      </c>
      <c r="E50" s="43">
        <f>E48*E49</f>
        <v>113597.25</v>
      </c>
    </row>
    <row r="51" spans="1:11" ht="13.5" thickTop="1">
      <c r="A51" s="92"/>
      <c r="E51" s="38"/>
      <c r="K51" s="113"/>
    </row>
    <row r="52" spans="1:11">
      <c r="A52" s="1" t="s">
        <v>483</v>
      </c>
    </row>
  </sheetData>
  <pageMargins left="0.7" right="0.7" top="0.75" bottom="0.75" header="0.3" footer="0.3"/>
  <pageSetup scale="9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>
      <selection activeCell="C64" sqref="C64"/>
    </sheetView>
  </sheetViews>
  <sheetFormatPr defaultRowHeight="12.75"/>
  <cols>
    <col min="1" max="1" width="5" style="1" customWidth="1"/>
    <col min="2" max="2" width="1.42578125" style="1" customWidth="1"/>
    <col min="3" max="3" width="62.85546875" style="1" bestFit="1" customWidth="1"/>
    <col min="4" max="4" width="1.140625" style="1" customWidth="1"/>
    <col min="5" max="5" width="10.140625" style="1" customWidth="1"/>
    <col min="6" max="6" width="1.140625" style="1" customWidth="1"/>
    <col min="7" max="7" width="11.140625" style="1" bestFit="1" customWidth="1"/>
    <col min="8" max="8" width="0.85546875" style="1" customWidth="1"/>
    <col min="9" max="9" width="12.140625" style="1" customWidth="1"/>
    <col min="10" max="11" width="9.85546875" style="1" bestFit="1" customWidth="1"/>
    <col min="12" max="16384" width="9.140625" style="1"/>
  </cols>
  <sheetData>
    <row r="1" spans="1:13">
      <c r="A1" s="1" t="str">
        <f>Contents!A1</f>
        <v>Louisville Gas and Electric Company</v>
      </c>
      <c r="E1" s="27"/>
      <c r="I1" s="27" t="str">
        <f>Contents!A4</f>
        <v>Exhibit RCS-1</v>
      </c>
    </row>
    <row r="2" spans="1:13">
      <c r="A2" s="1" t="s">
        <v>484</v>
      </c>
      <c r="E2" s="27"/>
      <c r="I2" s="27" t="s">
        <v>221</v>
      </c>
    </row>
    <row r="3" spans="1:13">
      <c r="E3" s="27"/>
      <c r="I3" s="27" t="str">
        <f>Contents!A2</f>
        <v>Case No. 2016-00371</v>
      </c>
    </row>
    <row r="4" spans="1:13">
      <c r="A4" s="1" t="s">
        <v>289</v>
      </c>
      <c r="E4" s="27"/>
      <c r="I4" s="27" t="s">
        <v>185</v>
      </c>
    </row>
    <row r="5" spans="1:13">
      <c r="E5" s="27"/>
    </row>
    <row r="6" spans="1:13">
      <c r="C6" s="14" t="s">
        <v>485</v>
      </c>
      <c r="E6" s="92" t="s">
        <v>28</v>
      </c>
      <c r="I6" s="92"/>
    </row>
    <row r="7" spans="1:13">
      <c r="E7" s="92" t="s">
        <v>45</v>
      </c>
      <c r="G7" s="92" t="s">
        <v>400</v>
      </c>
      <c r="I7" s="92" t="s">
        <v>400</v>
      </c>
    </row>
    <row r="8" spans="1:13">
      <c r="A8" s="92" t="s">
        <v>0</v>
      </c>
      <c r="D8" s="92"/>
      <c r="E8" s="92" t="s">
        <v>400</v>
      </c>
      <c r="F8" s="92"/>
      <c r="G8" s="92" t="s">
        <v>348</v>
      </c>
      <c r="I8" s="92" t="s">
        <v>389</v>
      </c>
    </row>
    <row r="9" spans="1:13">
      <c r="A9" s="186" t="s">
        <v>2</v>
      </c>
      <c r="C9" s="2" t="s">
        <v>3</v>
      </c>
      <c r="D9" s="92"/>
      <c r="E9" s="186" t="s">
        <v>16</v>
      </c>
      <c r="F9" s="92"/>
      <c r="G9" s="186" t="s">
        <v>388</v>
      </c>
      <c r="I9" s="186" t="s">
        <v>388</v>
      </c>
    </row>
    <row r="10" spans="1:13">
      <c r="A10" s="92"/>
      <c r="E10" s="92" t="s">
        <v>6</v>
      </c>
      <c r="G10" s="92" t="s">
        <v>7</v>
      </c>
      <c r="H10" s="92"/>
      <c r="I10" s="92" t="s">
        <v>18</v>
      </c>
    </row>
    <row r="11" spans="1:13">
      <c r="A11" s="92"/>
      <c r="E11" s="92"/>
      <c r="G11" s="92"/>
      <c r="H11" s="92"/>
      <c r="I11" s="92"/>
    </row>
    <row r="12" spans="1:13">
      <c r="A12" s="92">
        <v>1</v>
      </c>
      <c r="C12" s="1" t="s">
        <v>458</v>
      </c>
      <c r="E12" s="92">
        <v>34</v>
      </c>
      <c r="G12" s="92"/>
      <c r="H12" s="92"/>
      <c r="I12" s="92"/>
    </row>
    <row r="14" spans="1:13">
      <c r="A14" s="92">
        <v>2</v>
      </c>
      <c r="C14" s="1" t="s">
        <v>459</v>
      </c>
      <c r="D14" s="4"/>
      <c r="E14" s="4">
        <v>3348176</v>
      </c>
      <c r="G14" s="44">
        <f>E14*M15</f>
        <v>2560369.8823529412</v>
      </c>
      <c r="I14" s="4">
        <f>E14*M14</f>
        <v>787806.1176470588</v>
      </c>
      <c r="J14" s="42"/>
      <c r="K14" s="42"/>
      <c r="L14" s="1">
        <v>0.4</v>
      </c>
      <c r="M14" s="26">
        <f>L14/L16</f>
        <v>0.23529411764705882</v>
      </c>
    </row>
    <row r="15" spans="1:13">
      <c r="A15" s="92">
        <f>A14+1</f>
        <v>3</v>
      </c>
      <c r="C15" s="1" t="s">
        <v>460</v>
      </c>
      <c r="D15" s="4"/>
      <c r="E15" s="45">
        <f>E55</f>
        <v>226002</v>
      </c>
      <c r="G15" s="23">
        <f>E15*M15</f>
        <v>172825.0588235294</v>
      </c>
      <c r="I15" s="45">
        <f>E15*M14</f>
        <v>53176.941176470587</v>
      </c>
      <c r="J15" s="42"/>
      <c r="K15" s="42"/>
      <c r="L15" s="2">
        <v>1.3</v>
      </c>
      <c r="M15" s="97">
        <f>L15/L16</f>
        <v>0.76470588235294112</v>
      </c>
    </row>
    <row r="16" spans="1:13">
      <c r="A16" s="92">
        <f t="shared" ref="A16:A20" si="0">A15+1</f>
        <v>4</v>
      </c>
      <c r="C16" s="1" t="s">
        <v>461</v>
      </c>
      <c r="D16" s="4"/>
      <c r="E16" s="4">
        <f>E14+E15</f>
        <v>3574178</v>
      </c>
      <c r="G16" s="4">
        <f>G14+G15</f>
        <v>2733194.9411764704</v>
      </c>
      <c r="I16" s="4">
        <f>I14+I15</f>
        <v>840983.0588235294</v>
      </c>
      <c r="K16" s="42"/>
      <c r="L16" s="1">
        <f>L14+L15</f>
        <v>1.7000000000000002</v>
      </c>
      <c r="M16" s="26">
        <f>M14+M15</f>
        <v>1</v>
      </c>
    </row>
    <row r="17" spans="1:11">
      <c r="A17" s="92">
        <f t="shared" si="0"/>
        <v>5</v>
      </c>
      <c r="C17" s="1" t="s">
        <v>478</v>
      </c>
      <c r="D17" s="26"/>
      <c r="E17" s="97">
        <v>0.67079999999999995</v>
      </c>
      <c r="F17" s="26"/>
      <c r="G17" s="97">
        <v>0.67079999999999995</v>
      </c>
      <c r="I17" s="97">
        <v>0.67079999999999995</v>
      </c>
    </row>
    <row r="18" spans="1:11">
      <c r="A18" s="92">
        <f t="shared" si="0"/>
        <v>6</v>
      </c>
      <c r="C18" s="1" t="s">
        <v>462</v>
      </c>
      <c r="D18" s="4"/>
      <c r="E18" s="4">
        <f>ROUND(E16*E17,0)</f>
        <v>2397559</v>
      </c>
      <c r="G18" s="4">
        <f>ROUND(G16*G17,0)</f>
        <v>1833427</v>
      </c>
      <c r="I18" s="4">
        <f>ROUND(I16*I17,0)</f>
        <v>564131</v>
      </c>
      <c r="J18" s="42"/>
      <c r="K18" s="42"/>
    </row>
    <row r="19" spans="1:11">
      <c r="A19" s="92">
        <f t="shared" si="0"/>
        <v>7</v>
      </c>
      <c r="C19" s="1" t="s">
        <v>492</v>
      </c>
      <c r="D19" s="4"/>
      <c r="E19" s="34">
        <v>0.45950000000000002</v>
      </c>
      <c r="G19" s="34">
        <v>0.45950000000000002</v>
      </c>
      <c r="I19" s="34">
        <v>0.45950000000000002</v>
      </c>
    </row>
    <row r="20" spans="1:11">
      <c r="A20" s="92">
        <f t="shared" si="0"/>
        <v>8</v>
      </c>
      <c r="C20" s="1" t="s">
        <v>489</v>
      </c>
      <c r="D20" s="4"/>
      <c r="E20" s="47">
        <f>ROUND(E18*E19,0)</f>
        <v>1101678</v>
      </c>
      <c r="G20" s="47">
        <f>ROUND(G18*G19,0)</f>
        <v>842460</v>
      </c>
      <c r="I20" s="47">
        <f>ROUND(I18*I19,0)</f>
        <v>259218</v>
      </c>
      <c r="J20" s="42"/>
      <c r="K20" s="42"/>
    </row>
    <row r="21" spans="1:11">
      <c r="A21" s="92"/>
      <c r="G21" s="4"/>
    </row>
    <row r="22" spans="1:11">
      <c r="A22" s="92"/>
      <c r="C22" s="14" t="s">
        <v>463</v>
      </c>
      <c r="G22" s="4"/>
    </row>
    <row r="23" spans="1:11">
      <c r="A23" s="92">
        <f>A20+1</f>
        <v>9</v>
      </c>
      <c r="C23" s="1" t="s">
        <v>464</v>
      </c>
      <c r="E23" s="4">
        <v>140623</v>
      </c>
      <c r="G23" s="44">
        <f>E23*M15</f>
        <v>107535.23529411764</v>
      </c>
      <c r="I23" s="4">
        <f>E23*M14</f>
        <v>33087.76470588235</v>
      </c>
      <c r="J23" s="42"/>
      <c r="K23" s="42"/>
    </row>
    <row r="24" spans="1:11">
      <c r="A24" s="92">
        <f>A23+1</f>
        <v>10</v>
      </c>
      <c r="C24" s="1" t="s">
        <v>465</v>
      </c>
      <c r="E24" s="4">
        <v>100445</v>
      </c>
      <c r="G24" s="44">
        <f>E24*M15</f>
        <v>76810.882352941175</v>
      </c>
      <c r="I24" s="4">
        <f>E24*M14</f>
        <v>23634.117647058822</v>
      </c>
      <c r="J24" s="42"/>
      <c r="K24" s="42"/>
    </row>
    <row r="25" spans="1:11">
      <c r="A25" s="92">
        <f t="shared" ref="A25:A37" si="1">A24+1</f>
        <v>11</v>
      </c>
      <c r="C25" s="1" t="s">
        <v>466</v>
      </c>
      <c r="E25" s="4">
        <v>16312</v>
      </c>
      <c r="G25" s="44">
        <f>E25*M15</f>
        <v>12473.882352941175</v>
      </c>
      <c r="I25" s="4">
        <f>E25*M14</f>
        <v>3838.1176470588234</v>
      </c>
      <c r="J25" s="42"/>
      <c r="K25" s="42"/>
    </row>
    <row r="26" spans="1:11">
      <c r="A26" s="92">
        <f t="shared" si="1"/>
        <v>12</v>
      </c>
      <c r="C26" s="1" t="s">
        <v>467</v>
      </c>
      <c r="E26" s="4">
        <v>17578</v>
      </c>
      <c r="G26" s="44">
        <f>E26*M15</f>
        <v>13441.999999999998</v>
      </c>
      <c r="I26" s="4">
        <f>E26*M14</f>
        <v>4136</v>
      </c>
      <c r="J26" s="42"/>
      <c r="K26" s="42"/>
    </row>
    <row r="27" spans="1:11">
      <c r="A27" s="92">
        <f t="shared" si="1"/>
        <v>13</v>
      </c>
      <c r="C27" s="1" t="s">
        <v>468</v>
      </c>
      <c r="E27" s="4">
        <v>59806</v>
      </c>
      <c r="G27" s="44">
        <f>E27*M15</f>
        <v>45734</v>
      </c>
      <c r="I27" s="4">
        <f>E27*M14</f>
        <v>14072</v>
      </c>
      <c r="J27" s="42"/>
      <c r="K27" s="42"/>
    </row>
    <row r="28" spans="1:11">
      <c r="A28" s="92">
        <f t="shared" si="1"/>
        <v>14</v>
      </c>
      <c r="C28" s="1" t="s">
        <v>479</v>
      </c>
      <c r="E28" s="4">
        <v>19075</v>
      </c>
      <c r="G28" s="44">
        <f>E28*M15</f>
        <v>14586.764705882351</v>
      </c>
      <c r="I28" s="4">
        <f>E28*M14</f>
        <v>4488.2352941176468</v>
      </c>
      <c r="J28" s="42"/>
      <c r="K28" s="42"/>
    </row>
    <row r="29" spans="1:11">
      <c r="A29" s="92">
        <f t="shared" si="1"/>
        <v>15</v>
      </c>
      <c r="C29" s="1" t="s">
        <v>469</v>
      </c>
      <c r="E29" s="4">
        <v>2579</v>
      </c>
      <c r="G29" s="44">
        <f>E29*M15</f>
        <v>1972.1764705882351</v>
      </c>
      <c r="I29" s="4">
        <f>E29*M14</f>
        <v>606.82352941176475</v>
      </c>
      <c r="J29" s="42"/>
      <c r="K29" s="42"/>
    </row>
    <row r="30" spans="1:11">
      <c r="A30" s="92">
        <f t="shared" si="1"/>
        <v>16</v>
      </c>
      <c r="C30" s="1" t="s">
        <v>470</v>
      </c>
      <c r="E30" s="4">
        <v>18809</v>
      </c>
      <c r="G30" s="44">
        <f>E30*M15</f>
        <v>14383.35294117647</v>
      </c>
      <c r="I30" s="4">
        <f>E30*M14</f>
        <v>4425.6470588235297</v>
      </c>
      <c r="J30" s="42"/>
      <c r="K30" s="42"/>
    </row>
    <row r="31" spans="1:11">
      <c r="A31" s="92">
        <f t="shared" si="1"/>
        <v>17</v>
      </c>
      <c r="C31" s="1" t="s">
        <v>471</v>
      </c>
      <c r="E31" s="4">
        <v>377298</v>
      </c>
      <c r="G31" s="44">
        <f>E31*M15</f>
        <v>288522</v>
      </c>
      <c r="I31" s="4">
        <f>E31*M14</f>
        <v>88776</v>
      </c>
      <c r="J31" s="42"/>
      <c r="K31" s="42"/>
    </row>
    <row r="32" spans="1:11">
      <c r="A32" s="92">
        <f t="shared" si="1"/>
        <v>18</v>
      </c>
      <c r="C32" s="1" t="s">
        <v>472</v>
      </c>
      <c r="E32" s="4">
        <v>10200</v>
      </c>
      <c r="G32" s="44">
        <f>E32*M15</f>
        <v>7799.9999999999991</v>
      </c>
      <c r="I32" s="4">
        <f>E32*M14</f>
        <v>2400</v>
      </c>
      <c r="J32" s="42"/>
      <c r="K32" s="42"/>
    </row>
    <row r="33" spans="1:11">
      <c r="A33" s="92">
        <f t="shared" si="1"/>
        <v>19</v>
      </c>
      <c r="C33" s="1" t="s">
        <v>473</v>
      </c>
      <c r="E33" s="88">
        <f>SUM(E23:E32)</f>
        <v>762725</v>
      </c>
      <c r="G33" s="88">
        <f>SUM(G23:G32)</f>
        <v>583260.29411764699</v>
      </c>
      <c r="I33" s="88">
        <f>SUM(I23:I32)</f>
        <v>179464.70588235295</v>
      </c>
      <c r="K33" s="42"/>
    </row>
    <row r="34" spans="1:11">
      <c r="A34" s="92">
        <f t="shared" si="1"/>
        <v>20</v>
      </c>
      <c r="C34" s="1" t="s">
        <v>478</v>
      </c>
      <c r="D34" s="34"/>
      <c r="E34" s="97">
        <v>0.74809999999999999</v>
      </c>
      <c r="F34" s="34"/>
      <c r="G34" s="97">
        <v>0.74809999999999999</v>
      </c>
      <c r="I34" s="97">
        <v>0.74809999999999999</v>
      </c>
    </row>
    <row r="35" spans="1:11">
      <c r="A35" s="92">
        <f t="shared" si="1"/>
        <v>21</v>
      </c>
      <c r="C35" s="1" t="s">
        <v>474</v>
      </c>
      <c r="E35" s="19">
        <f>ROUND(E33*E34,0)</f>
        <v>570595</v>
      </c>
      <c r="G35" s="19">
        <f>ROUND(G33*G34,0)</f>
        <v>436337</v>
      </c>
      <c r="I35" s="19">
        <f>ROUND(I33*I34,0)</f>
        <v>134258</v>
      </c>
      <c r="J35" s="42"/>
      <c r="K35" s="42"/>
    </row>
    <row r="36" spans="1:11">
      <c r="A36" s="92">
        <f t="shared" si="1"/>
        <v>22</v>
      </c>
      <c r="C36" s="1" t="s">
        <v>492</v>
      </c>
      <c r="E36" s="34">
        <v>0.45950000000000002</v>
      </c>
      <c r="F36" s="34"/>
      <c r="G36" s="34">
        <v>0.45950000000000002</v>
      </c>
      <c r="H36" s="34"/>
      <c r="I36" s="34">
        <v>0.45950000000000002</v>
      </c>
    </row>
    <row r="37" spans="1:11">
      <c r="A37" s="92">
        <f t="shared" si="1"/>
        <v>23</v>
      </c>
      <c r="C37" s="1" t="s">
        <v>490</v>
      </c>
      <c r="E37" s="47">
        <f>SUM(E35*E36,0)</f>
        <v>262188.40250000003</v>
      </c>
      <c r="G37" s="47">
        <f>SUM(G35*G36,0)</f>
        <v>200496.85150000002</v>
      </c>
      <c r="I37" s="47">
        <f>SUM(I35*I36,0)</f>
        <v>61691.550999999999</v>
      </c>
      <c r="J37" s="42"/>
      <c r="K37" s="42"/>
    </row>
    <row r="38" spans="1:11">
      <c r="A38" s="92"/>
      <c r="E38" s="4"/>
      <c r="G38" s="4"/>
    </row>
    <row r="39" spans="1:11">
      <c r="A39" s="92">
        <f>A37+1</f>
        <v>24</v>
      </c>
      <c r="C39" s="1" t="s">
        <v>475</v>
      </c>
      <c r="E39" s="19">
        <v>262187</v>
      </c>
      <c r="G39" s="44">
        <f>E39*M15</f>
        <v>200495.94117647057</v>
      </c>
      <c r="I39" s="4">
        <f>E39*M14</f>
        <v>61691.058823529413</v>
      </c>
      <c r="K39" s="42"/>
    </row>
    <row r="40" spans="1:11">
      <c r="A40" s="92">
        <f>A39+1</f>
        <v>25</v>
      </c>
      <c r="C40" s="1" t="s">
        <v>478</v>
      </c>
      <c r="D40" s="34"/>
      <c r="E40" s="97">
        <v>0.73850000000000005</v>
      </c>
      <c r="F40" s="34"/>
      <c r="G40" s="97">
        <v>0.73850000000000005</v>
      </c>
      <c r="I40" s="97">
        <v>0.73850000000000005</v>
      </c>
    </row>
    <row r="41" spans="1:11">
      <c r="A41" s="92">
        <f t="shared" ref="A41:A43" si="2">A40+1</f>
        <v>26</v>
      </c>
      <c r="C41" s="1" t="s">
        <v>476</v>
      </c>
      <c r="E41" s="19">
        <f>ROUND(E39*E40,0)</f>
        <v>193625</v>
      </c>
      <c r="G41" s="19">
        <f>ROUND(G39*G40,0)</f>
        <v>148066</v>
      </c>
      <c r="I41" s="19">
        <f>ROUND(I39*I40,0)</f>
        <v>45559</v>
      </c>
      <c r="J41" s="42"/>
      <c r="K41" s="42"/>
    </row>
    <row r="42" spans="1:11">
      <c r="A42" s="92">
        <f t="shared" si="2"/>
        <v>27</v>
      </c>
      <c r="C42" s="1" t="s">
        <v>492</v>
      </c>
      <c r="E42" s="34">
        <v>0.45950000000000002</v>
      </c>
      <c r="F42" s="34"/>
      <c r="G42" s="34">
        <v>0.45950000000000002</v>
      </c>
      <c r="H42" s="34"/>
      <c r="I42" s="34">
        <v>0.45950000000000002</v>
      </c>
    </row>
    <row r="43" spans="1:11">
      <c r="A43" s="92">
        <f t="shared" si="2"/>
        <v>28</v>
      </c>
      <c r="C43" s="1" t="s">
        <v>491</v>
      </c>
      <c r="E43" s="47">
        <f>ROUND(E41*E42,0)</f>
        <v>88971</v>
      </c>
      <c r="G43" s="47">
        <f>ROUND(G41*G42,0)</f>
        <v>68036</v>
      </c>
      <c r="I43" s="47">
        <f>ROUND(I41*I42,0)</f>
        <v>20934</v>
      </c>
      <c r="J43" s="42"/>
      <c r="K43" s="42"/>
    </row>
    <row r="44" spans="1:11">
      <c r="A44" s="92"/>
      <c r="E44" s="4"/>
      <c r="G44" s="4"/>
    </row>
    <row r="45" spans="1:11" ht="13.5" thickBot="1">
      <c r="A45" s="92">
        <f>A43+1</f>
        <v>29</v>
      </c>
      <c r="C45" s="1" t="s">
        <v>480</v>
      </c>
      <c r="E45" s="41">
        <f>E20+E37+E43</f>
        <v>1452837.4025000001</v>
      </c>
      <c r="G45" s="41">
        <f>G20+G37+G43</f>
        <v>1110992.8514999999</v>
      </c>
      <c r="I45" s="41">
        <f>I20+I37+I43</f>
        <v>341843.55099999998</v>
      </c>
      <c r="J45" s="42"/>
      <c r="K45" s="42"/>
    </row>
    <row r="46" spans="1:11" ht="13.5" thickTop="1">
      <c r="E46" s="13"/>
      <c r="F46" s="13"/>
      <c r="G46" s="13"/>
      <c r="H46" s="13"/>
      <c r="I46" s="13"/>
    </row>
    <row r="48" spans="1:11">
      <c r="A48" s="2" t="s">
        <v>9</v>
      </c>
      <c r="B48" s="2"/>
      <c r="C48" s="2"/>
      <c r="D48" s="2"/>
      <c r="E48" s="2"/>
      <c r="F48" s="2"/>
      <c r="G48" s="2"/>
      <c r="H48" s="2"/>
      <c r="I48" s="2"/>
    </row>
    <row r="49" spans="1:5">
      <c r="A49" s="1" t="s">
        <v>481</v>
      </c>
    </row>
    <row r="50" spans="1:5">
      <c r="C50" s="191"/>
    </row>
    <row r="51" spans="1:5">
      <c r="A51" s="1" t="s">
        <v>575</v>
      </c>
    </row>
    <row r="53" spans="1:5">
      <c r="A53" s="92">
        <v>30</v>
      </c>
      <c r="C53" s="1" t="s">
        <v>486</v>
      </c>
      <c r="E53" s="4">
        <v>301336</v>
      </c>
    </row>
    <row r="54" spans="1:5">
      <c r="A54" s="92">
        <v>31</v>
      </c>
      <c r="C54" s="1" t="s">
        <v>487</v>
      </c>
      <c r="E54" s="26">
        <v>0.75</v>
      </c>
    </row>
    <row r="55" spans="1:5" ht="13.5" thickBot="1">
      <c r="A55" s="92">
        <v>32</v>
      </c>
      <c r="C55" s="1" t="s">
        <v>488</v>
      </c>
      <c r="E55" s="43">
        <f>E53*E54</f>
        <v>226002</v>
      </c>
    </row>
    <row r="56" spans="1:5" ht="13.5" thickTop="1">
      <c r="A56" s="92"/>
      <c r="E56" s="38"/>
    </row>
    <row r="57" spans="1:5">
      <c r="A57" s="1" t="s">
        <v>483</v>
      </c>
    </row>
  </sheetData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0"/>
  <sheetViews>
    <sheetView topLeftCell="A37" workbookViewId="0">
      <selection activeCell="Y34" sqref="Y34"/>
    </sheetView>
  </sheetViews>
  <sheetFormatPr defaultRowHeight="12.75"/>
  <cols>
    <col min="1" max="1" width="4.42578125" style="1" customWidth="1"/>
    <col min="2" max="2" width="1" style="1" customWidth="1"/>
    <col min="3" max="3" width="67.28515625" style="1" bestFit="1" customWidth="1"/>
    <col min="4" max="4" width="0.7109375" style="1" customWidth="1"/>
    <col min="5" max="5" width="11" style="1" bestFit="1" customWidth="1"/>
    <col min="6" max="6" width="1.85546875" style="1" customWidth="1"/>
    <col min="7" max="7" width="14.5703125" style="1" customWidth="1"/>
    <col min="8" max="8" width="2.42578125" style="1" customWidth="1"/>
    <col min="9" max="9" width="16.140625" style="1" bestFit="1" customWidth="1"/>
    <col min="10" max="10" width="2.7109375" style="1" customWidth="1"/>
    <col min="11" max="11" width="14.7109375" style="1" customWidth="1"/>
    <col min="12" max="12" width="0.85546875" style="1" customWidth="1"/>
    <col min="13" max="13" width="14.28515625" style="1" bestFit="1" customWidth="1"/>
    <col min="14" max="14" width="0.85546875" style="1" customWidth="1"/>
    <col min="15" max="15" width="14.28515625" style="1" bestFit="1" customWidth="1"/>
    <col min="16" max="16" width="13.140625" style="1" bestFit="1" customWidth="1"/>
    <col min="17" max="17" width="13.7109375" style="1" bestFit="1" customWidth="1"/>
    <col min="18" max="18" width="11" style="1" customWidth="1"/>
    <col min="19" max="19" width="13.140625" style="1" bestFit="1" customWidth="1"/>
    <col min="20" max="20" width="11.7109375" style="1" customWidth="1"/>
    <col min="21" max="21" width="10.28515625" style="1" customWidth="1"/>
    <col min="22" max="22" width="11.85546875" style="1" customWidth="1"/>
    <col min="23" max="23" width="9.140625" style="1"/>
    <col min="24" max="24" width="9.85546875" style="1" bestFit="1" customWidth="1"/>
    <col min="25" max="25" width="10.5703125" style="1" customWidth="1"/>
    <col min="26" max="26" width="10.140625" style="1" customWidth="1"/>
    <col min="27" max="27" width="10.42578125" style="1" bestFit="1" customWidth="1"/>
    <col min="28" max="16384" width="9.140625" style="1"/>
  </cols>
  <sheetData>
    <row r="1" spans="1:13">
      <c r="A1" s="1" t="str">
        <f>A!$A$1</f>
        <v>Louisville Gas and Electric Company</v>
      </c>
      <c r="M1" s="27" t="str">
        <f>A!$K$1</f>
        <v>Exhibit RCS-1</v>
      </c>
    </row>
    <row r="2" spans="1:13">
      <c r="A2" s="1" t="s">
        <v>130</v>
      </c>
      <c r="M2" s="27" t="s">
        <v>98</v>
      </c>
    </row>
    <row r="3" spans="1:13">
      <c r="A3" s="39"/>
      <c r="M3" s="27" t="str">
        <f>A!$K$3</f>
        <v>Case No. 2016-00371</v>
      </c>
    </row>
    <row r="4" spans="1:13">
      <c r="A4" s="1" t="s">
        <v>289</v>
      </c>
      <c r="M4" s="27" t="s">
        <v>53</v>
      </c>
    </row>
    <row r="5" spans="1:13">
      <c r="M5" s="27"/>
    </row>
    <row r="6" spans="1:13">
      <c r="J6" s="3"/>
      <c r="K6" s="3"/>
      <c r="L6" s="3"/>
      <c r="M6" s="3" t="s">
        <v>156</v>
      </c>
    </row>
    <row r="7" spans="1:13">
      <c r="E7" s="92" t="s">
        <v>176</v>
      </c>
      <c r="F7" s="3"/>
      <c r="G7" s="3"/>
      <c r="H7" s="3"/>
      <c r="I7" s="3"/>
      <c r="J7" s="3"/>
      <c r="K7" s="3"/>
      <c r="L7" s="3"/>
      <c r="M7" s="3" t="s">
        <v>67</v>
      </c>
    </row>
    <row r="8" spans="1:13">
      <c r="A8" s="3" t="s">
        <v>0</v>
      </c>
      <c r="E8" s="12" t="s">
        <v>81</v>
      </c>
      <c r="F8" s="3"/>
      <c r="G8" s="3"/>
      <c r="H8" s="3"/>
      <c r="I8" s="3" t="s">
        <v>156</v>
      </c>
      <c r="J8" s="3"/>
      <c r="K8" s="3" t="s">
        <v>156</v>
      </c>
      <c r="L8" s="3"/>
      <c r="M8" s="3" t="s">
        <v>68</v>
      </c>
    </row>
    <row r="9" spans="1:13">
      <c r="A9" s="11" t="s">
        <v>2</v>
      </c>
      <c r="C9" s="2" t="s">
        <v>3</v>
      </c>
      <c r="E9" s="11" t="s">
        <v>15</v>
      </c>
      <c r="F9" s="3"/>
      <c r="G9" s="11" t="s">
        <v>131</v>
      </c>
      <c r="H9" s="3"/>
      <c r="I9" s="11" t="s">
        <v>4</v>
      </c>
      <c r="J9" s="11"/>
      <c r="K9" s="11" t="s">
        <v>82</v>
      </c>
      <c r="L9" s="12"/>
      <c r="M9" s="11" t="s">
        <v>16</v>
      </c>
    </row>
    <row r="10" spans="1:13">
      <c r="A10" s="12"/>
      <c r="C10" s="13"/>
      <c r="E10" s="12"/>
      <c r="F10" s="3"/>
      <c r="G10" s="3"/>
      <c r="H10" s="3"/>
      <c r="I10" s="12" t="s">
        <v>6</v>
      </c>
      <c r="J10" s="12"/>
      <c r="K10" s="12" t="s">
        <v>7</v>
      </c>
      <c r="L10" s="12"/>
      <c r="M10" s="12" t="s">
        <v>18</v>
      </c>
    </row>
    <row r="11" spans="1:13">
      <c r="A11" s="12"/>
      <c r="C11" s="13"/>
      <c r="E11" s="12"/>
      <c r="F11" s="3"/>
      <c r="L11" s="12"/>
      <c r="M11" s="12"/>
    </row>
    <row r="12" spans="1:13">
      <c r="A12" s="12">
        <v>1</v>
      </c>
      <c r="C12" s="13"/>
      <c r="E12" s="12" t="s">
        <v>132</v>
      </c>
      <c r="F12" s="3"/>
      <c r="G12" s="46" t="s">
        <v>180</v>
      </c>
      <c r="H12" s="3"/>
      <c r="I12" s="12"/>
      <c r="J12" s="12"/>
      <c r="K12" s="26">
        <f>'Dp1'!$K$22</f>
        <v>-9.5634204736645689E-3</v>
      </c>
      <c r="L12" s="12"/>
      <c r="M12" s="12"/>
    </row>
    <row r="13" spans="1:13">
      <c r="A13" s="3">
        <f>A12+1</f>
        <v>2</v>
      </c>
      <c r="C13" s="14" t="s">
        <v>242</v>
      </c>
      <c r="E13" s="40" t="s">
        <v>133</v>
      </c>
      <c r="G13" s="10" t="s">
        <v>85</v>
      </c>
      <c r="H13" s="3"/>
      <c r="I13" s="12"/>
      <c r="J13" s="12" t="s">
        <v>134</v>
      </c>
      <c r="K13" s="100">
        <f>'A-1'!$O$22</f>
        <v>1.6404084974767768</v>
      </c>
      <c r="L13" s="3"/>
    </row>
    <row r="14" spans="1:13">
      <c r="A14" s="3">
        <f>A13+1</f>
        <v>3</v>
      </c>
      <c r="C14" s="1" t="s">
        <v>498</v>
      </c>
      <c r="E14" s="16" t="s">
        <v>44</v>
      </c>
      <c r="I14" s="4">
        <f>A!$G$10</f>
        <v>2404580875.1056299</v>
      </c>
      <c r="J14" s="3"/>
      <c r="K14" s="15">
        <f>K12*K13</f>
        <v>-1.568791620994274E-2</v>
      </c>
      <c r="L14" s="3"/>
      <c r="M14" s="4">
        <f>ROUND(I14*K14,0)</f>
        <v>-37722863</v>
      </c>
    </row>
    <row r="15" spans="1:13">
      <c r="A15" s="3"/>
      <c r="E15" s="4"/>
      <c r="I15" s="4"/>
      <c r="J15" s="3"/>
      <c r="L15" s="3"/>
      <c r="M15" s="4"/>
    </row>
    <row r="16" spans="1:13">
      <c r="A16" s="3">
        <f>A14+1</f>
        <v>4</v>
      </c>
      <c r="E16" s="16" t="s">
        <v>132</v>
      </c>
      <c r="G16" s="1" t="s">
        <v>181</v>
      </c>
      <c r="I16" s="4"/>
      <c r="J16" s="3"/>
      <c r="K16" s="101">
        <f>'Dp1'!K20</f>
        <v>6.2867580000000006E-2</v>
      </c>
      <c r="L16" s="3"/>
      <c r="M16" s="4"/>
    </row>
    <row r="17" spans="1:37">
      <c r="A17" s="3">
        <f>A16+1</f>
        <v>5</v>
      </c>
      <c r="C17" s="14" t="s">
        <v>531</v>
      </c>
      <c r="E17" s="16" t="s">
        <v>133</v>
      </c>
      <c r="G17" s="1" t="s">
        <v>85</v>
      </c>
      <c r="I17" s="4"/>
      <c r="J17" s="3" t="s">
        <v>134</v>
      </c>
      <c r="K17" s="128">
        <f>$K$13</f>
        <v>1.6404084974767768</v>
      </c>
      <c r="L17" s="3"/>
      <c r="M17" s="4"/>
      <c r="Q17" s="65"/>
      <c r="R17" s="65"/>
      <c r="S17" s="65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</row>
    <row r="18" spans="1:37">
      <c r="A18" s="3"/>
      <c r="C18" s="14"/>
      <c r="E18" s="16"/>
      <c r="I18" s="23" t="s">
        <v>141</v>
      </c>
      <c r="J18" s="3"/>
      <c r="K18" s="21"/>
      <c r="L18" s="3"/>
      <c r="M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7">
      <c r="A19" s="3">
        <f>A17+1</f>
        <v>6</v>
      </c>
      <c r="C19" s="1" t="str">
        <f>Contents!B17</f>
        <v>Slippage Adjustment</v>
      </c>
      <c r="E19" s="16" t="str">
        <f>B.1!$G$7</f>
        <v>B-1</v>
      </c>
      <c r="G19" s="4"/>
      <c r="I19" s="4">
        <f>B.1!$G$37</f>
        <v>-3659428.2952692062</v>
      </c>
      <c r="J19" s="3"/>
      <c r="K19" s="17">
        <f>$K$16*$K$17</f>
        <v>0.10312851244780107</v>
      </c>
      <c r="L19" s="3"/>
      <c r="M19" s="4">
        <f t="shared" ref="M19:M22" si="0">ROUND(I19*K19,0)</f>
        <v>-377391</v>
      </c>
    </row>
    <row r="20" spans="1:37">
      <c r="A20" s="3">
        <f t="shared" ref="A20:A24" si="1">A19+1</f>
        <v>7</v>
      </c>
      <c r="C20" s="1" t="str">
        <f>Contents!B18</f>
        <v>Distribution Automation</v>
      </c>
      <c r="E20" s="16" t="str">
        <f>B.1!$H$7</f>
        <v>B-2</v>
      </c>
      <c r="G20" s="4"/>
      <c r="I20" s="4">
        <f>B.1!$H$37</f>
        <v>-4412542.2250000006</v>
      </c>
      <c r="J20" s="3"/>
      <c r="K20" s="17">
        <f t="shared" ref="K20:K22" si="2">$K$16*$K$17</f>
        <v>0.10312851244780107</v>
      </c>
      <c r="L20" s="3"/>
      <c r="M20" s="4">
        <f t="shared" si="0"/>
        <v>-455059</v>
      </c>
    </row>
    <row r="21" spans="1:37">
      <c r="A21" s="3">
        <f t="shared" si="1"/>
        <v>8</v>
      </c>
      <c r="C21" s="1" t="str">
        <f>Contents!B19</f>
        <v>Cash Working Capital</v>
      </c>
      <c r="E21" s="16" t="str">
        <f>B.1!$I$7</f>
        <v>B-3</v>
      </c>
      <c r="G21" s="4"/>
      <c r="I21" s="4">
        <f>B.1!$I$37</f>
        <v>-1264854</v>
      </c>
      <c r="J21" s="3"/>
      <c r="K21" s="17">
        <f t="shared" si="2"/>
        <v>0.10312851244780107</v>
      </c>
      <c r="L21" s="3"/>
      <c r="M21" s="4">
        <f t="shared" si="0"/>
        <v>-130443</v>
      </c>
    </row>
    <row r="22" spans="1:37">
      <c r="A22" s="92">
        <f t="shared" si="1"/>
        <v>9</v>
      </c>
      <c r="C22" s="82" t="str">
        <f>Contents!B20</f>
        <v>Advanced Metering Systems</v>
      </c>
      <c r="E22" s="16" t="s">
        <v>438</v>
      </c>
      <c r="G22" s="4"/>
      <c r="I22" s="4">
        <f>B.1!$J$37</f>
        <v>-16737915.256999999</v>
      </c>
      <c r="J22" s="92"/>
      <c r="K22" s="17">
        <f t="shared" si="2"/>
        <v>0.10312851244780107</v>
      </c>
      <c r="L22" s="92"/>
      <c r="M22" s="4">
        <f t="shared" si="0"/>
        <v>-1726156</v>
      </c>
    </row>
    <row r="23" spans="1:37">
      <c r="A23" s="92">
        <f t="shared" si="1"/>
        <v>10</v>
      </c>
      <c r="C23" s="82" t="str">
        <f>Contents!B23</f>
        <v>Reverse LG&amp;E Adjustment to Remove Gas Line Tracker Mechanism from Base Rates</v>
      </c>
      <c r="E23" s="16" t="s">
        <v>587</v>
      </c>
      <c r="G23" s="4"/>
      <c r="I23" s="4">
        <v>0</v>
      </c>
      <c r="J23" s="92"/>
      <c r="K23" s="17"/>
      <c r="L23" s="92"/>
      <c r="M23" s="4"/>
    </row>
    <row r="24" spans="1:37" ht="13.5" thickBot="1">
      <c r="A24" s="92">
        <f t="shared" si="1"/>
        <v>11</v>
      </c>
      <c r="C24" s="1" t="s">
        <v>530</v>
      </c>
      <c r="E24" s="16"/>
      <c r="I24" s="18">
        <f>SUM(I19:I22)</f>
        <v>-26074739.777269207</v>
      </c>
      <c r="J24" s="3"/>
      <c r="L24" s="3"/>
      <c r="M24" s="19"/>
    </row>
    <row r="25" spans="1:37" ht="13.5" thickTop="1">
      <c r="A25" s="3"/>
      <c r="E25" s="4"/>
      <c r="I25" s="4"/>
      <c r="J25" s="3"/>
      <c r="L25" s="3"/>
      <c r="M25" s="4"/>
    </row>
    <row r="26" spans="1:37" ht="13.5" thickBot="1">
      <c r="A26" s="3">
        <f>A24+1</f>
        <v>12</v>
      </c>
      <c r="C26" s="14" t="s">
        <v>234</v>
      </c>
      <c r="E26" s="16" t="s">
        <v>240</v>
      </c>
      <c r="I26" s="20">
        <f>ROUND(I14+I24,0)</f>
        <v>2378506135</v>
      </c>
      <c r="J26" s="12"/>
      <c r="L26" s="12"/>
      <c r="M26" s="4"/>
      <c r="O26" s="4">
        <f>'Dp3'!S16</f>
        <v>2378506135</v>
      </c>
      <c r="P26" s="1" t="b">
        <f>O26=I26</f>
        <v>1</v>
      </c>
    </row>
    <row r="27" spans="1:37" ht="13.5" thickTop="1">
      <c r="A27" s="3"/>
      <c r="E27" s="4"/>
      <c r="G27" s="3"/>
      <c r="I27" s="4"/>
      <c r="J27" s="3"/>
      <c r="L27" s="3"/>
      <c r="M27" s="4"/>
    </row>
    <row r="28" spans="1:37">
      <c r="A28" s="3">
        <f>A26+1</f>
        <v>13</v>
      </c>
      <c r="C28" s="14" t="s">
        <v>84</v>
      </c>
      <c r="G28" s="3" t="s">
        <v>83</v>
      </c>
      <c r="I28" s="4"/>
      <c r="J28" s="3"/>
      <c r="K28" s="3" t="s">
        <v>156</v>
      </c>
      <c r="L28" s="3"/>
      <c r="M28" s="4"/>
    </row>
    <row r="29" spans="1:37">
      <c r="A29" s="3"/>
      <c r="G29" s="1" t="s">
        <v>140</v>
      </c>
      <c r="I29" s="44" t="s">
        <v>135</v>
      </c>
      <c r="J29" s="3"/>
      <c r="K29" s="12" t="s">
        <v>85</v>
      </c>
      <c r="L29" s="3"/>
      <c r="M29" s="4"/>
    </row>
    <row r="30" spans="1:37">
      <c r="A30" s="3"/>
      <c r="C30" s="14" t="s">
        <v>158</v>
      </c>
      <c r="G30" s="11" t="s">
        <v>16</v>
      </c>
      <c r="I30" s="23" t="s">
        <v>136</v>
      </c>
      <c r="J30" s="3"/>
      <c r="K30" s="11" t="s">
        <v>137</v>
      </c>
      <c r="L30" s="3"/>
      <c r="M30" s="4"/>
    </row>
    <row r="31" spans="1:37">
      <c r="A31" s="3">
        <f>A28+1</f>
        <v>14</v>
      </c>
      <c r="C31" s="1" t="str">
        <f>Contents!B26</f>
        <v>Interest Synchronization</v>
      </c>
      <c r="E31" s="3" t="str">
        <f>C.1!$H$7</f>
        <v>C-1</v>
      </c>
      <c r="G31" s="4">
        <f>'Ap2'!H5</f>
        <v>0</v>
      </c>
      <c r="H31" s="4"/>
      <c r="I31" s="4">
        <f>C.1!$H$24</f>
        <v>904639.5490269009</v>
      </c>
      <c r="J31" s="3"/>
      <c r="K31" s="102">
        <f>$K$17</f>
        <v>1.6404084974767768</v>
      </c>
      <c r="L31" s="3"/>
      <c r="M31" s="4">
        <f t="shared" ref="M31:M41" si="3">-ROUND(I31*K31,0)</f>
        <v>-1483978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>
      <c r="A32" s="3">
        <f>A31+1</f>
        <v>15</v>
      </c>
      <c r="C32" s="1" t="str">
        <f>Contents!B27</f>
        <v>Incentive Compensation Expense</v>
      </c>
      <c r="E32" s="3" t="str">
        <f>C.1!$I$7</f>
        <v>C-2</v>
      </c>
      <c r="G32" s="4">
        <f>C.1!I15</f>
        <v>-2043522.8738944491</v>
      </c>
      <c r="H32" s="4"/>
      <c r="I32" s="4">
        <f>C.1!$I$24</f>
        <v>1251147.8738944491</v>
      </c>
      <c r="J32" s="3"/>
      <c r="K32" s="102">
        <f t="shared" ref="K32:K41" si="4">$K$17</f>
        <v>1.6404084974767768</v>
      </c>
      <c r="L32" s="3"/>
      <c r="M32" s="4">
        <f t="shared" si="3"/>
        <v>-2052394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21">
      <c r="A33" s="3">
        <f t="shared" ref="A33:A44" si="5">A32+1</f>
        <v>16</v>
      </c>
      <c r="C33" s="1" t="str">
        <f>Contents!B28</f>
        <v>Advanced Metering Services</v>
      </c>
      <c r="E33" s="3" t="str">
        <f>C.1!$J$7</f>
        <v>C-3</v>
      </c>
      <c r="G33" s="4">
        <f>C.1!$J$15+C.1!$J$16</f>
        <v>-3500475</v>
      </c>
      <c r="H33" s="4"/>
      <c r="I33" s="4">
        <f>C.1!$J$24</f>
        <v>2143167</v>
      </c>
      <c r="J33" s="3"/>
      <c r="K33" s="102">
        <f t="shared" si="4"/>
        <v>1.6404084974767768</v>
      </c>
      <c r="L33" s="3"/>
      <c r="M33" s="4">
        <f t="shared" si="3"/>
        <v>-3515669</v>
      </c>
      <c r="O33" s="42"/>
    </row>
    <row r="34" spans="1:21">
      <c r="A34" s="3">
        <f t="shared" si="5"/>
        <v>17</v>
      </c>
      <c r="C34" s="1" t="str">
        <f>Contents!B29</f>
        <v>Transmission Vegetation Management Expense</v>
      </c>
      <c r="E34" s="3" t="str">
        <f>C.1!$K$7</f>
        <v>C-4</v>
      </c>
      <c r="G34" s="4">
        <f>C.1!K15</f>
        <v>-679851</v>
      </c>
      <c r="H34" s="4"/>
      <c r="I34" s="4">
        <f>C.1!$K$24</f>
        <v>416239</v>
      </c>
      <c r="J34" s="3"/>
      <c r="K34" s="102">
        <f t="shared" si="4"/>
        <v>1.6404084974767768</v>
      </c>
      <c r="L34" s="3"/>
      <c r="M34" s="4">
        <f t="shared" si="3"/>
        <v>-682802</v>
      </c>
      <c r="S34"/>
      <c r="T34"/>
      <c r="U34"/>
    </row>
    <row r="35" spans="1:21">
      <c r="A35" s="3">
        <f t="shared" si="5"/>
        <v>18</v>
      </c>
      <c r="C35" s="1" t="str">
        <f>Contents!B30</f>
        <v>Uncollectibles Expense</v>
      </c>
      <c r="E35" s="3" t="str">
        <f>C.1!$L$7</f>
        <v>C-5</v>
      </c>
      <c r="G35" s="4">
        <f>C.1!L15</f>
        <v>-612137.89772000001</v>
      </c>
      <c r="H35" s="4"/>
      <c r="I35" s="4">
        <f>C.1!$L$24</f>
        <v>374781.89772000001</v>
      </c>
      <c r="J35" s="3"/>
      <c r="K35" s="102">
        <f t="shared" si="4"/>
        <v>1.6404084974767768</v>
      </c>
      <c r="L35" s="3"/>
      <c r="M35" s="4">
        <f t="shared" si="3"/>
        <v>-614795</v>
      </c>
      <c r="S35"/>
      <c r="T35"/>
      <c r="U35"/>
    </row>
    <row r="36" spans="1:21">
      <c r="A36" s="3">
        <f t="shared" si="5"/>
        <v>19</v>
      </c>
      <c r="C36" s="1" t="str">
        <f>Contents!B31</f>
        <v>Depreciation Expense - Impacts of Slippage</v>
      </c>
      <c r="E36" s="3" t="str">
        <f>C.1!$M$7</f>
        <v>C-6</v>
      </c>
      <c r="G36" s="4">
        <f>C.1!M16</f>
        <v>-73492</v>
      </c>
      <c r="H36" s="4"/>
      <c r="I36" s="4">
        <f>C.1!$M$24</f>
        <v>44995</v>
      </c>
      <c r="J36" s="3"/>
      <c r="K36" s="102">
        <f t="shared" si="4"/>
        <v>1.6404084974767768</v>
      </c>
      <c r="L36" s="3"/>
      <c r="M36" s="4">
        <f t="shared" si="3"/>
        <v>-73810</v>
      </c>
      <c r="S36"/>
      <c r="T36"/>
      <c r="U36"/>
    </row>
    <row r="37" spans="1:21">
      <c r="A37" s="3">
        <f t="shared" si="5"/>
        <v>20</v>
      </c>
      <c r="C37" s="1" t="str">
        <f>Contents!B32</f>
        <v>Depreciation Expense Related to Distribution Automation</v>
      </c>
      <c r="E37" s="3" t="str">
        <f>C.1!$N$7</f>
        <v>C-7</v>
      </c>
      <c r="G37" s="4">
        <f>C.1!N16</f>
        <v>-139225</v>
      </c>
      <c r="H37" s="4"/>
      <c r="I37" s="4">
        <f>C.1!$N$24</f>
        <v>85241</v>
      </c>
      <c r="J37" s="3"/>
      <c r="K37" s="102">
        <f t="shared" si="4"/>
        <v>1.6404084974767768</v>
      </c>
      <c r="L37" s="3"/>
      <c r="M37" s="4">
        <f t="shared" si="3"/>
        <v>-139830</v>
      </c>
      <c r="S37"/>
      <c r="T37"/>
      <c r="U37"/>
    </row>
    <row r="38" spans="1:21">
      <c r="A38" s="3">
        <f t="shared" si="5"/>
        <v>21</v>
      </c>
      <c r="C38" s="1" t="str">
        <f>Contents!B33</f>
        <v>Payroll and Employee Benefits Expense - Remove Vacant Positions</v>
      </c>
      <c r="E38" s="3" t="str">
        <f>C.1!$O$7</f>
        <v>C-8</v>
      </c>
      <c r="G38" s="4">
        <f>C.1!$O$15+C.1!$O$18</f>
        <v>-2372774.8514999999</v>
      </c>
      <c r="H38" s="4"/>
      <c r="I38" s="4">
        <f>C.1!$O$24</f>
        <v>1452731.8514999999</v>
      </c>
      <c r="J38" s="3"/>
      <c r="K38" s="102">
        <f t="shared" si="4"/>
        <v>1.6404084974767768</v>
      </c>
      <c r="L38" s="3"/>
      <c r="M38" s="4">
        <f t="shared" si="3"/>
        <v>-2383074</v>
      </c>
      <c r="S38"/>
      <c r="T38"/>
      <c r="U38"/>
    </row>
    <row r="39" spans="1:21">
      <c r="A39" s="3">
        <f t="shared" si="5"/>
        <v>22</v>
      </c>
      <c r="C39" s="1" t="str">
        <f>Contents!B34</f>
        <v>PPL Services Corporation Affiliate Charges to LG&amp;E</v>
      </c>
      <c r="E39" s="3" t="str">
        <f>C.1!$P$7</f>
        <v>C-9</v>
      </c>
      <c r="G39" s="4">
        <f>C.1!P15</f>
        <v>-1092019.5999999999</v>
      </c>
      <c r="H39" s="4"/>
      <c r="I39" s="4">
        <f>C.1!$P$24</f>
        <v>668589.59999999986</v>
      </c>
      <c r="J39" s="3"/>
      <c r="K39" s="102">
        <f t="shared" si="4"/>
        <v>1.6404084974767768</v>
      </c>
      <c r="L39" s="3"/>
      <c r="M39" s="4">
        <f t="shared" si="3"/>
        <v>-1096760</v>
      </c>
      <c r="S39"/>
      <c r="T39"/>
      <c r="U39"/>
    </row>
    <row r="40" spans="1:21">
      <c r="A40" s="3">
        <f t="shared" si="5"/>
        <v>23</v>
      </c>
      <c r="C40" s="1" t="str">
        <f>Contents!B35</f>
        <v>Reverse LG&amp;E Adjustment to Remove Gas Line Tracker Mechanism from Base Rates</v>
      </c>
      <c r="E40" s="3" t="str">
        <f>C.1!$Q$7</f>
        <v>C-10</v>
      </c>
      <c r="G40" s="4">
        <f>C.1!$Q$24</f>
        <v>0</v>
      </c>
      <c r="H40" s="4"/>
      <c r="I40" s="4">
        <f>C.1!$Q$24</f>
        <v>0</v>
      </c>
      <c r="J40" s="3"/>
      <c r="K40" s="102">
        <f t="shared" si="4"/>
        <v>1.6404084974767768</v>
      </c>
      <c r="L40" s="3"/>
      <c r="M40" s="4">
        <f t="shared" si="3"/>
        <v>0</v>
      </c>
      <c r="S40"/>
      <c r="T40"/>
      <c r="U40"/>
    </row>
    <row r="41" spans="1:21">
      <c r="A41" s="3">
        <f t="shared" si="5"/>
        <v>24</v>
      </c>
      <c r="C41" s="1" t="str">
        <f>Contents!B36</f>
        <v>Rescheduling of Expiring Regulatory Asset Amortizations</v>
      </c>
      <c r="E41" s="3" t="str">
        <f>C.1!$R$7</f>
        <v>C-11</v>
      </c>
      <c r="G41" s="4">
        <f>C.1!R15</f>
        <v>-434207.26483333361</v>
      </c>
      <c r="H41" s="4"/>
      <c r="I41" s="45">
        <f>C.1!$R$24</f>
        <v>265843.26483333361</v>
      </c>
      <c r="J41" s="3"/>
      <c r="K41" s="102">
        <f t="shared" si="4"/>
        <v>1.6404084974767768</v>
      </c>
      <c r="L41" s="3"/>
      <c r="M41" s="4">
        <f t="shared" si="3"/>
        <v>-436092</v>
      </c>
      <c r="S41"/>
      <c r="T41"/>
      <c r="U41"/>
    </row>
    <row r="42" spans="1:21" ht="13.5" thickBot="1">
      <c r="A42" s="92">
        <f t="shared" si="5"/>
        <v>25</v>
      </c>
      <c r="C42" s="1" t="s">
        <v>159</v>
      </c>
      <c r="E42" s="3" t="s">
        <v>96</v>
      </c>
      <c r="G42" s="18">
        <f>SUM(G31:G41)</f>
        <v>-10947705.487947781</v>
      </c>
      <c r="I42" s="19">
        <f>SUM(I31:I41)</f>
        <v>7607376.0369746834</v>
      </c>
      <c r="J42" s="3"/>
      <c r="K42" s="3"/>
      <c r="L42" s="3"/>
      <c r="O42" s="4">
        <f>'C'!G26</f>
        <v>7607376.0369746815</v>
      </c>
      <c r="P42" s="4">
        <f>IF(O42=I42,0,O42-I42)</f>
        <v>0</v>
      </c>
    </row>
    <row r="43" spans="1:21" ht="13.5" thickTop="1">
      <c r="A43" s="3">
        <f t="shared" si="5"/>
        <v>26</v>
      </c>
      <c r="C43" s="1" t="s">
        <v>138</v>
      </c>
      <c r="E43" s="3" t="s">
        <v>128</v>
      </c>
      <c r="I43" s="4">
        <f>ROUND(A!$G$13,0)</f>
        <v>117112877</v>
      </c>
      <c r="J43" s="3"/>
      <c r="K43" s="3"/>
      <c r="L43" s="3"/>
      <c r="M43" s="4"/>
    </row>
    <row r="44" spans="1:21" ht="13.5" thickBot="1">
      <c r="A44" s="3">
        <f t="shared" si="5"/>
        <v>27</v>
      </c>
      <c r="C44" s="14" t="s">
        <v>160</v>
      </c>
      <c r="E44" s="3" t="s">
        <v>128</v>
      </c>
      <c r="I44" s="18">
        <f>SUM(I42:I43)</f>
        <v>124720253.03697468</v>
      </c>
      <c r="J44" s="3"/>
      <c r="K44" s="3"/>
      <c r="L44" s="3"/>
      <c r="M44" s="4"/>
      <c r="O44" s="4">
        <f>ROUND(A!$I$13,0)</f>
        <v>124720253</v>
      </c>
      <c r="P44" s="4">
        <f>IF(O44=I44,0,O44-I44)</f>
        <v>-3.6974683403968811E-2</v>
      </c>
    </row>
    <row r="45" spans="1:21" ht="13.5" thickTop="1">
      <c r="A45" s="3"/>
      <c r="I45" s="4"/>
      <c r="J45" s="3"/>
      <c r="K45" s="3"/>
      <c r="L45" s="3"/>
      <c r="M45" s="4"/>
    </row>
    <row r="46" spans="1:21">
      <c r="A46" s="3"/>
      <c r="C46" s="14" t="s">
        <v>89</v>
      </c>
      <c r="I46" s="4"/>
      <c r="J46" s="3"/>
      <c r="K46" s="3"/>
      <c r="L46" s="3"/>
      <c r="M46" s="19"/>
    </row>
    <row r="47" spans="1:21">
      <c r="A47" s="3">
        <f>A44+1</f>
        <v>28</v>
      </c>
      <c r="C47" s="1" t="s">
        <v>154</v>
      </c>
      <c r="E47" s="3" t="s">
        <v>133</v>
      </c>
      <c r="I47" s="4"/>
      <c r="J47" s="3"/>
      <c r="K47" s="102">
        <f>'A-1'!O22</f>
        <v>1.6404084974767768</v>
      </c>
      <c r="L47" s="3"/>
      <c r="M47" s="19"/>
    </row>
    <row r="48" spans="1:21">
      <c r="A48" s="3">
        <f t="shared" ref="A48:A56" si="6">A47+1</f>
        <v>29</v>
      </c>
      <c r="C48" s="1" t="s">
        <v>47</v>
      </c>
      <c r="E48" s="3" t="s">
        <v>133</v>
      </c>
      <c r="I48" s="4"/>
      <c r="J48" s="3"/>
      <c r="K48" s="100">
        <f>'A-1'!K22</f>
        <v>1.6409347988751752</v>
      </c>
      <c r="L48" s="3"/>
      <c r="M48" s="19"/>
    </row>
    <row r="49" spans="1:20">
      <c r="A49" s="3">
        <f t="shared" si="6"/>
        <v>30</v>
      </c>
      <c r="C49" s="1" t="s">
        <v>29</v>
      </c>
      <c r="I49" s="4"/>
      <c r="J49" s="3"/>
      <c r="K49" s="22">
        <f>K47-K48</f>
        <v>-5.2630139839848766E-4</v>
      </c>
      <c r="L49" s="3"/>
      <c r="M49" s="3"/>
    </row>
    <row r="50" spans="1:20">
      <c r="A50" s="3">
        <f t="shared" si="6"/>
        <v>31</v>
      </c>
      <c r="C50" s="1" t="s">
        <v>87</v>
      </c>
      <c r="E50" s="3" t="s">
        <v>43</v>
      </c>
      <c r="I50" s="4"/>
      <c r="J50" s="3"/>
      <c r="K50" s="16">
        <f>A!$G$14</f>
        <v>57053321.789223671</v>
      </c>
      <c r="L50" s="3"/>
      <c r="M50" s="3"/>
    </row>
    <row r="51" spans="1:20">
      <c r="A51" s="3">
        <f t="shared" si="6"/>
        <v>32</v>
      </c>
      <c r="C51" s="1" t="s">
        <v>88</v>
      </c>
      <c r="I51" s="4"/>
      <c r="J51" s="3"/>
      <c r="K51" s="3"/>
      <c r="L51" s="3"/>
      <c r="M51" s="23">
        <f>ROUND(K49*K50,0)</f>
        <v>-30027</v>
      </c>
      <c r="S51" s="42"/>
    </row>
    <row r="52" spans="1:20">
      <c r="A52" s="3">
        <f t="shared" si="6"/>
        <v>33</v>
      </c>
      <c r="C52" s="1" t="s">
        <v>161</v>
      </c>
      <c r="I52" s="4"/>
      <c r="J52" s="3"/>
      <c r="K52" s="3"/>
      <c r="L52" s="3"/>
      <c r="M52" s="16">
        <f>SUM(M14:M51)</f>
        <v>-52921143</v>
      </c>
      <c r="O52" s="4">
        <f>A!K16</f>
        <v>-52921143.951977</v>
      </c>
      <c r="P52" s="4">
        <f>IF(O52=M52,0,O52-M52)</f>
        <v>-0.95197699964046478</v>
      </c>
      <c r="S52" s="16"/>
      <c r="T52" s="42"/>
    </row>
    <row r="53" spans="1:20">
      <c r="A53" s="3">
        <f t="shared" si="6"/>
        <v>34</v>
      </c>
      <c r="C53" s="1" t="s">
        <v>241</v>
      </c>
      <c r="E53" s="3" t="s">
        <v>43</v>
      </c>
      <c r="I53" s="4"/>
      <c r="J53" s="3"/>
      <c r="K53" s="3"/>
      <c r="L53" s="3"/>
      <c r="M53" s="23">
        <f>A!G16</f>
        <v>93620781.115360394</v>
      </c>
    </row>
    <row r="54" spans="1:20">
      <c r="A54" s="3">
        <f t="shared" si="6"/>
        <v>35</v>
      </c>
      <c r="C54" s="1" t="s">
        <v>636</v>
      </c>
      <c r="I54" s="4"/>
      <c r="J54" s="3"/>
      <c r="K54" s="3"/>
      <c r="L54" s="3"/>
      <c r="M54" s="16">
        <f>M52+M53</f>
        <v>40699638.115360394</v>
      </c>
    </row>
    <row r="55" spans="1:20">
      <c r="A55" s="3">
        <f t="shared" si="6"/>
        <v>36</v>
      </c>
      <c r="C55" s="1" t="s">
        <v>139</v>
      </c>
      <c r="E55" s="3" t="s">
        <v>43</v>
      </c>
      <c r="I55" s="4"/>
      <c r="J55" s="3"/>
      <c r="K55" s="3"/>
      <c r="L55" s="3"/>
      <c r="M55" s="16">
        <f>A!I16</f>
        <v>40699637.163383394</v>
      </c>
    </row>
    <row r="56" spans="1:20" ht="13.5" thickBot="1">
      <c r="A56" s="3">
        <f t="shared" si="6"/>
        <v>37</v>
      </c>
      <c r="C56" s="1" t="s">
        <v>171</v>
      </c>
      <c r="E56" s="86" t="s">
        <v>43</v>
      </c>
      <c r="I56" s="4"/>
      <c r="J56" s="3"/>
      <c r="K56" s="3"/>
      <c r="L56" s="3"/>
      <c r="M56" s="24">
        <f>M54-M55</f>
        <v>0.95197699964046478</v>
      </c>
      <c r="S56" s="42"/>
    </row>
    <row r="57" spans="1:20" ht="13.5" thickTop="1">
      <c r="A57" s="3"/>
      <c r="I57" s="4"/>
      <c r="J57" s="3"/>
      <c r="K57" s="3"/>
      <c r="L57" s="3"/>
      <c r="M57" s="3"/>
    </row>
    <row r="58" spans="1:20">
      <c r="A58" s="25" t="s">
        <v>9</v>
      </c>
      <c r="B58" s="2"/>
      <c r="C58" s="2"/>
      <c r="D58" s="2"/>
      <c r="E58" s="2"/>
      <c r="F58" s="2"/>
      <c r="G58" s="2"/>
      <c r="H58" s="2"/>
      <c r="I58" s="11"/>
      <c r="J58" s="11"/>
      <c r="K58" s="11"/>
      <c r="L58" s="11"/>
      <c r="M58" s="211"/>
      <c r="N58" s="2"/>
      <c r="O58" s="13"/>
    </row>
    <row r="59" spans="1:20">
      <c r="A59" s="10" t="s">
        <v>86</v>
      </c>
      <c r="I59" s="4"/>
      <c r="J59" s="3"/>
      <c r="K59" s="3"/>
      <c r="L59" s="3"/>
      <c r="M59" s="3"/>
    </row>
    <row r="79" spans="15:15">
      <c r="O79" s="30"/>
    </row>
    <row r="80" spans="15:15">
      <c r="O80" s="30"/>
    </row>
    <row r="81" spans="1:15">
      <c r="O81" s="30"/>
    </row>
    <row r="82" spans="1:15">
      <c r="O82" s="13"/>
    </row>
    <row r="83" spans="1:15">
      <c r="O83" s="30"/>
    </row>
    <row r="84" spans="1:15">
      <c r="O84" s="30"/>
    </row>
    <row r="85" spans="1:15">
      <c r="O85" s="30"/>
    </row>
    <row r="86" spans="1:15">
      <c r="O86" s="30"/>
    </row>
    <row r="87" spans="1:15">
      <c r="O87" s="13"/>
    </row>
    <row r="88" spans="1:15">
      <c r="M88" s="35"/>
      <c r="N88" s="13"/>
      <c r="O88" s="36"/>
    </row>
    <row r="89" spans="1:15">
      <c r="C89" s="13"/>
      <c r="M89" s="35"/>
      <c r="O89" s="36"/>
    </row>
    <row r="90" spans="1:15">
      <c r="A90" s="37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>
      <c r="A91" s="13"/>
      <c r="B91" s="13"/>
      <c r="C91" s="13"/>
      <c r="D91" s="13"/>
      <c r="E91" s="38"/>
      <c r="F91" s="13"/>
      <c r="G91" s="13"/>
      <c r="H91" s="13"/>
      <c r="I91" s="30"/>
      <c r="J91" s="13"/>
      <c r="K91" s="35"/>
      <c r="L91" s="13"/>
      <c r="M91" s="30"/>
      <c r="N91" s="13"/>
      <c r="O91" s="13"/>
    </row>
    <row r="92" spans="1:15">
      <c r="A92" s="13"/>
      <c r="B92" s="13"/>
      <c r="C92" s="13"/>
      <c r="D92" s="13"/>
      <c r="E92" s="38"/>
      <c r="F92" s="13"/>
      <c r="G92" s="13"/>
      <c r="H92" s="13"/>
      <c r="I92" s="30"/>
      <c r="J92" s="13"/>
      <c r="K92" s="35"/>
      <c r="L92" s="13"/>
      <c r="M92" s="30"/>
      <c r="N92" s="13"/>
      <c r="O92" s="13"/>
    </row>
    <row r="93" spans="1:15">
      <c r="A93" s="13"/>
      <c r="B93" s="13"/>
      <c r="C93" s="13"/>
      <c r="D93" s="13"/>
      <c r="E93" s="38"/>
      <c r="F93" s="13"/>
      <c r="G93" s="13"/>
      <c r="H93" s="13"/>
      <c r="I93" s="30"/>
      <c r="J93" s="13"/>
      <c r="K93" s="33"/>
      <c r="L93" s="13"/>
      <c r="M93" s="30"/>
      <c r="N93" s="13"/>
      <c r="O93" s="13"/>
    </row>
    <row r="94" spans="1:15">
      <c r="A94" s="13"/>
      <c r="B94" s="13"/>
      <c r="C94" s="13"/>
      <c r="D94" s="13"/>
      <c r="E94" s="38"/>
      <c r="F94" s="13"/>
      <c r="G94" s="13"/>
      <c r="H94" s="13"/>
      <c r="I94" s="35"/>
      <c r="J94" s="13"/>
      <c r="K94" s="13"/>
      <c r="L94" s="13"/>
      <c r="M94" s="35"/>
      <c r="N94" s="13"/>
      <c r="O94" s="13"/>
    </row>
    <row r="95" spans="1:15">
      <c r="C95" s="13"/>
    </row>
    <row r="96" spans="1:15">
      <c r="C96" s="13"/>
    </row>
    <row r="97" spans="3:13">
      <c r="C97" s="13"/>
    </row>
    <row r="98" spans="3:13">
      <c r="D98" s="13"/>
      <c r="E98" s="13"/>
      <c r="F98" s="13"/>
      <c r="G98" s="13"/>
      <c r="H98" s="13"/>
      <c r="I98" s="13"/>
      <c r="J98" s="13"/>
      <c r="K98" s="33"/>
      <c r="L98" s="13"/>
      <c r="M98" s="36"/>
    </row>
    <row r="99" spans="3:13">
      <c r="J99" s="3"/>
      <c r="K99" s="3"/>
      <c r="L99" s="3"/>
      <c r="M99" s="3"/>
    </row>
    <row r="100" spans="3:13">
      <c r="C100" s="13"/>
    </row>
  </sheetData>
  <pageMargins left="0.7" right="0.7" top="0.75" bottom="0.33" header="0.3" footer="0.3"/>
  <pageSetup scale="7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>
      <selection activeCell="C64" sqref="C64"/>
    </sheetView>
  </sheetViews>
  <sheetFormatPr defaultRowHeight="12.75"/>
  <cols>
    <col min="1" max="1" width="5.28515625" style="1" customWidth="1"/>
    <col min="2" max="2" width="1.42578125" style="1" customWidth="1"/>
    <col min="3" max="3" width="62.28515625" style="1" bestFit="1" customWidth="1"/>
    <col min="4" max="4" width="1.28515625" style="1" customWidth="1"/>
    <col min="5" max="5" width="11.140625" style="1" bestFit="1" customWidth="1"/>
    <col min="6" max="6" width="0.85546875" style="1" customWidth="1"/>
    <col min="7" max="7" width="12" style="1" bestFit="1" customWidth="1"/>
    <col min="8" max="16384" width="9.140625" style="1"/>
  </cols>
  <sheetData>
    <row r="1" spans="1:7">
      <c r="A1" s="1" t="str">
        <f>Contents!A1</f>
        <v>Louisville Gas and Electric Company</v>
      </c>
      <c r="G1" s="27" t="str">
        <f>Contents!A4</f>
        <v>Exhibit RCS-1</v>
      </c>
    </row>
    <row r="2" spans="1:7">
      <c r="A2" s="1" t="s">
        <v>606</v>
      </c>
      <c r="G2" s="27" t="s">
        <v>225</v>
      </c>
    </row>
    <row r="3" spans="1:7">
      <c r="G3" s="27" t="str">
        <f>Contents!A2</f>
        <v>Case No. 2016-00371</v>
      </c>
    </row>
    <row r="4" spans="1:7">
      <c r="A4" s="1" t="s">
        <v>289</v>
      </c>
      <c r="G4" s="27" t="s">
        <v>37</v>
      </c>
    </row>
    <row r="6" spans="1:7">
      <c r="A6" s="92" t="s">
        <v>0</v>
      </c>
      <c r="E6" s="92"/>
      <c r="F6" s="92"/>
      <c r="G6" s="92"/>
    </row>
    <row r="7" spans="1:7">
      <c r="A7" s="190" t="s">
        <v>2</v>
      </c>
      <c r="C7" s="2" t="s">
        <v>3</v>
      </c>
      <c r="E7" s="190" t="s">
        <v>16</v>
      </c>
      <c r="F7" s="92"/>
      <c r="G7" s="190" t="s">
        <v>15</v>
      </c>
    </row>
    <row r="8" spans="1:7">
      <c r="A8" s="92"/>
      <c r="E8" s="92" t="s">
        <v>6</v>
      </c>
    </row>
    <row r="10" spans="1:7" ht="13.5" thickBot="1">
      <c r="A10" s="92">
        <v>1</v>
      </c>
      <c r="C10" s="1" t="s">
        <v>556</v>
      </c>
      <c r="E10" s="41">
        <f>-G40</f>
        <v>-1092019.5999999999</v>
      </c>
      <c r="G10" s="92" t="s">
        <v>43</v>
      </c>
    </row>
    <row r="11" spans="1:7" ht="13.5" thickTop="1"/>
    <row r="13" spans="1:7">
      <c r="A13" s="2" t="s">
        <v>9</v>
      </c>
      <c r="B13" s="2"/>
      <c r="C13" s="2"/>
      <c r="D13" s="2"/>
      <c r="E13" s="2"/>
      <c r="F13" s="2"/>
      <c r="G13" s="2"/>
    </row>
    <row r="14" spans="1:7">
      <c r="A14" s="1" t="s">
        <v>557</v>
      </c>
    </row>
    <row r="15" spans="1:7">
      <c r="E15" s="12"/>
    </row>
    <row r="16" spans="1:7">
      <c r="E16" s="12" t="s">
        <v>378</v>
      </c>
    </row>
    <row r="17" spans="1:8">
      <c r="A17" s="92"/>
      <c r="C17" s="2" t="s">
        <v>3</v>
      </c>
      <c r="E17" s="23" t="s">
        <v>379</v>
      </c>
      <c r="G17" s="190" t="s">
        <v>16</v>
      </c>
      <c r="H17" s="115"/>
    </row>
    <row r="18" spans="1:8">
      <c r="A18" s="92"/>
      <c r="E18" s="114"/>
      <c r="G18" s="4"/>
    </row>
    <row r="19" spans="1:8">
      <c r="A19" s="92">
        <v>2</v>
      </c>
      <c r="C19" s="1" t="s">
        <v>558</v>
      </c>
      <c r="E19" s="204">
        <v>920</v>
      </c>
      <c r="G19" s="47">
        <v>157102</v>
      </c>
    </row>
    <row r="20" spans="1:8">
      <c r="A20" s="92"/>
      <c r="E20" s="205"/>
      <c r="G20" s="4"/>
    </row>
    <row r="21" spans="1:8">
      <c r="A21" s="92">
        <f>A19+1</f>
        <v>3</v>
      </c>
      <c r="C21" s="1" t="s">
        <v>559</v>
      </c>
      <c r="E21" s="206">
        <v>921</v>
      </c>
      <c r="G21" s="4">
        <v>26996</v>
      </c>
    </row>
    <row r="22" spans="1:8">
      <c r="A22" s="92">
        <f>A21+1</f>
        <v>4</v>
      </c>
      <c r="C22" s="1" t="s">
        <v>560</v>
      </c>
      <c r="E22" s="206">
        <v>921</v>
      </c>
      <c r="G22" s="4">
        <v>60584</v>
      </c>
    </row>
    <row r="23" spans="1:8">
      <c r="A23" s="92">
        <f t="shared" ref="A23:A34" si="0">A22+1</f>
        <v>5</v>
      </c>
      <c r="C23" s="1" t="s">
        <v>561</v>
      </c>
      <c r="E23" s="206">
        <v>921</v>
      </c>
      <c r="G23" s="4">
        <v>6700</v>
      </c>
    </row>
    <row r="24" spans="1:8">
      <c r="A24" s="92">
        <f t="shared" si="0"/>
        <v>6</v>
      </c>
      <c r="C24" s="1" t="s">
        <v>562</v>
      </c>
      <c r="E24" s="206">
        <v>921</v>
      </c>
      <c r="G24" s="4">
        <v>3514</v>
      </c>
    </row>
    <row r="25" spans="1:8">
      <c r="A25" s="92">
        <f t="shared" si="0"/>
        <v>7</v>
      </c>
      <c r="C25" s="1" t="s">
        <v>563</v>
      </c>
      <c r="E25" s="206">
        <v>921</v>
      </c>
      <c r="G25" s="4">
        <v>9676</v>
      </c>
    </row>
    <row r="26" spans="1:8">
      <c r="A26" s="92">
        <f t="shared" si="0"/>
        <v>8</v>
      </c>
      <c r="C26" s="1" t="s">
        <v>564</v>
      </c>
      <c r="E26" s="206">
        <v>921</v>
      </c>
      <c r="G26" s="4">
        <v>75916</v>
      </c>
    </row>
    <row r="27" spans="1:8">
      <c r="A27" s="92">
        <f t="shared" si="0"/>
        <v>9</v>
      </c>
      <c r="C27" s="1" t="s">
        <v>565</v>
      </c>
      <c r="E27" s="206">
        <v>921</v>
      </c>
      <c r="G27" s="4">
        <v>146504</v>
      </c>
    </row>
    <row r="28" spans="1:8">
      <c r="A28" s="92">
        <f t="shared" si="0"/>
        <v>10</v>
      </c>
      <c r="C28" s="1" t="s">
        <v>566</v>
      </c>
      <c r="E28" s="206">
        <v>921</v>
      </c>
      <c r="G28" s="4">
        <v>158634</v>
      </c>
    </row>
    <row r="29" spans="1:8">
      <c r="A29" s="92">
        <f t="shared" si="0"/>
        <v>11</v>
      </c>
      <c r="C29" s="1" t="s">
        <v>558</v>
      </c>
      <c r="E29" s="206">
        <v>921</v>
      </c>
      <c r="G29" s="4">
        <v>89013</v>
      </c>
    </row>
    <row r="30" spans="1:8">
      <c r="A30" s="92">
        <f t="shared" si="0"/>
        <v>12</v>
      </c>
      <c r="C30" s="1" t="s">
        <v>567</v>
      </c>
      <c r="E30" s="206">
        <v>921</v>
      </c>
      <c r="G30" s="4">
        <v>363130</v>
      </c>
    </row>
    <row r="31" spans="1:8">
      <c r="A31" s="92">
        <f t="shared" si="0"/>
        <v>13</v>
      </c>
      <c r="C31" s="1" t="s">
        <v>568</v>
      </c>
      <c r="E31" s="206">
        <v>921</v>
      </c>
      <c r="G31" s="4">
        <v>307783</v>
      </c>
    </row>
    <row r="32" spans="1:8">
      <c r="A32" s="92">
        <f t="shared" si="0"/>
        <v>14</v>
      </c>
      <c r="C32" s="1" t="s">
        <v>569</v>
      </c>
      <c r="E32" s="206">
        <v>921</v>
      </c>
      <c r="G32" s="4">
        <v>8911</v>
      </c>
    </row>
    <row r="33" spans="1:7">
      <c r="A33" s="92">
        <f t="shared" si="0"/>
        <v>15</v>
      </c>
      <c r="C33" s="1" t="s">
        <v>570</v>
      </c>
      <c r="E33" s="206">
        <v>921</v>
      </c>
      <c r="G33" s="4">
        <v>31788</v>
      </c>
    </row>
    <row r="34" spans="1:7">
      <c r="A34" s="92">
        <f t="shared" si="0"/>
        <v>16</v>
      </c>
      <c r="C34" s="1" t="s">
        <v>571</v>
      </c>
      <c r="E34" s="206"/>
      <c r="G34" s="47">
        <f>SUM(G21:G33)</f>
        <v>1289149</v>
      </c>
    </row>
    <row r="35" spans="1:7">
      <c r="A35" s="92"/>
      <c r="E35" s="206"/>
    </row>
    <row r="36" spans="1:7">
      <c r="A36" s="92">
        <f>A34+1</f>
        <v>17</v>
      </c>
      <c r="C36" s="1" t="s">
        <v>558</v>
      </c>
      <c r="E36" s="206">
        <v>926</v>
      </c>
      <c r="G36" s="47">
        <v>113777</v>
      </c>
    </row>
    <row r="37" spans="1:7">
      <c r="A37" s="92"/>
    </row>
    <row r="38" spans="1:7">
      <c r="A38" s="92">
        <f>A36+1</f>
        <v>18</v>
      </c>
      <c r="C38" s="1" t="s">
        <v>572</v>
      </c>
      <c r="G38" s="38">
        <f>G19+G34+G36</f>
        <v>1560028</v>
      </c>
    </row>
    <row r="39" spans="1:7">
      <c r="A39" s="92">
        <v>19</v>
      </c>
      <c r="C39" s="1" t="s">
        <v>573</v>
      </c>
      <c r="G39" s="34">
        <v>0.7</v>
      </c>
    </row>
    <row r="40" spans="1:7" ht="12.75" customHeight="1" thickBot="1">
      <c r="A40" s="92">
        <v>20</v>
      </c>
      <c r="C40" s="1" t="s">
        <v>574</v>
      </c>
      <c r="G40" s="43">
        <f>G38*G39</f>
        <v>1092019.5999999999</v>
      </c>
    </row>
    <row r="41" spans="1:7" ht="13.5" thickTop="1"/>
  </sheetData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>
      <selection activeCell="C64" sqref="C64"/>
    </sheetView>
  </sheetViews>
  <sheetFormatPr defaultRowHeight="12.75"/>
  <cols>
    <col min="1" max="1" width="5.42578125" style="1" customWidth="1"/>
    <col min="2" max="2" width="1.42578125" style="1" customWidth="1"/>
    <col min="3" max="3" width="74.140625" style="1" customWidth="1"/>
    <col min="4" max="4" width="1.140625" style="1" customWidth="1"/>
    <col min="5" max="5" width="12.7109375" style="1" bestFit="1" customWidth="1"/>
    <col min="6" max="6" width="1.140625" style="1" customWidth="1"/>
    <col min="7" max="7" width="12.5703125" style="1" customWidth="1"/>
    <col min="8" max="8" width="9.85546875" style="1" bestFit="1" customWidth="1"/>
    <col min="9" max="16384" width="9.140625" style="1"/>
  </cols>
  <sheetData>
    <row r="1" spans="1:7">
      <c r="A1" s="1" t="str">
        <f>Contents!A1</f>
        <v>Louisville Gas and Electric Company</v>
      </c>
      <c r="G1" s="27" t="str">
        <f>Contents!A4</f>
        <v>Exhibit RCS-1</v>
      </c>
    </row>
    <row r="2" spans="1:7">
      <c r="A2" s="82" t="s">
        <v>532</v>
      </c>
      <c r="G2" s="27" t="s">
        <v>226</v>
      </c>
    </row>
    <row r="3" spans="1:7">
      <c r="G3" s="27" t="str">
        <f>Contents!A2</f>
        <v>Case No. 2016-00371</v>
      </c>
    </row>
    <row r="4" spans="1:7">
      <c r="A4" s="1" t="s">
        <v>289</v>
      </c>
      <c r="G4" s="27" t="s">
        <v>37</v>
      </c>
    </row>
    <row r="6" spans="1:7">
      <c r="A6" s="92" t="s">
        <v>0</v>
      </c>
      <c r="E6" s="92"/>
      <c r="F6" s="92"/>
      <c r="G6" s="92"/>
    </row>
    <row r="7" spans="1:7">
      <c r="A7" s="190" t="s">
        <v>2</v>
      </c>
      <c r="C7" s="2" t="s">
        <v>3</v>
      </c>
      <c r="E7" s="190" t="s">
        <v>16</v>
      </c>
      <c r="F7" s="92"/>
      <c r="G7" s="190" t="s">
        <v>15</v>
      </c>
    </row>
    <row r="8" spans="1:7">
      <c r="A8" s="92"/>
      <c r="E8" s="92" t="s">
        <v>6</v>
      </c>
    </row>
    <row r="9" spans="1:7">
      <c r="A9" s="92"/>
      <c r="E9" s="92"/>
    </row>
    <row r="10" spans="1:7">
      <c r="A10" s="92"/>
      <c r="C10" s="1" t="s">
        <v>533</v>
      </c>
    </row>
    <row r="11" spans="1:7">
      <c r="A11" s="92"/>
    </row>
    <row r="12" spans="1:7">
      <c r="A12" s="92"/>
    </row>
    <row r="13" spans="1:7">
      <c r="A13" s="92"/>
    </row>
    <row r="14" spans="1:7">
      <c r="A14" s="92"/>
    </row>
    <row r="15" spans="1:7">
      <c r="A15" s="92"/>
    </row>
  </sheetData>
  <pageMargins left="0.7" right="0.7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SheetLayoutView="90" workbookViewId="0">
      <selection activeCell="P41" sqref="P41"/>
    </sheetView>
  </sheetViews>
  <sheetFormatPr defaultRowHeight="12.75"/>
  <cols>
    <col min="1" max="1" width="4.28515625" style="1" customWidth="1"/>
    <col min="2" max="2" width="1" style="1" customWidth="1"/>
    <col min="3" max="3" width="73.140625" style="1" bestFit="1" customWidth="1"/>
    <col min="4" max="4" width="1.140625" style="1" customWidth="1"/>
    <col min="5" max="5" width="10.42578125" style="1" customWidth="1"/>
    <col min="6" max="6" width="1" style="1" customWidth="1"/>
    <col min="7" max="16384" width="9.140625" style="1"/>
  </cols>
  <sheetData>
    <row r="1" spans="1:7">
      <c r="A1" s="1" t="str">
        <f>Contents!A1</f>
        <v>Louisville Gas and Electric Company</v>
      </c>
      <c r="G1" s="27" t="str">
        <f>Contents!A4</f>
        <v>Exhibit RCS-1</v>
      </c>
    </row>
    <row r="2" spans="1:7">
      <c r="A2" s="1" t="s">
        <v>555</v>
      </c>
      <c r="G2" s="27" t="s">
        <v>229</v>
      </c>
    </row>
    <row r="3" spans="1:7">
      <c r="G3" s="27" t="str">
        <f>Contents!A2</f>
        <v>Case No. 2016-00371</v>
      </c>
    </row>
    <row r="4" spans="1:7">
      <c r="A4" s="1" t="s">
        <v>289</v>
      </c>
      <c r="G4" s="27" t="s">
        <v>37</v>
      </c>
    </row>
    <row r="6" spans="1:7">
      <c r="A6" s="92" t="s">
        <v>0</v>
      </c>
      <c r="E6" s="92"/>
      <c r="F6" s="92"/>
      <c r="G6" s="92"/>
    </row>
    <row r="7" spans="1:7">
      <c r="A7" s="11" t="s">
        <v>2</v>
      </c>
      <c r="C7" s="2" t="s">
        <v>3</v>
      </c>
      <c r="E7" s="11" t="s">
        <v>16</v>
      </c>
      <c r="F7" s="92"/>
      <c r="G7" s="11" t="s">
        <v>15</v>
      </c>
    </row>
    <row r="8" spans="1:7">
      <c r="E8" s="92" t="s">
        <v>6</v>
      </c>
    </row>
    <row r="10" spans="1:7" ht="13.5" thickBot="1">
      <c r="A10" s="92">
        <v>1</v>
      </c>
      <c r="C10" s="1" t="s">
        <v>634</v>
      </c>
      <c r="E10" s="20">
        <f>E29</f>
        <v>-434207.26483333361</v>
      </c>
      <c r="G10" s="92" t="s">
        <v>43</v>
      </c>
    </row>
    <row r="11" spans="1:7" ht="13.5" thickTop="1"/>
    <row r="13" spans="1:7">
      <c r="A13" s="2" t="s">
        <v>9</v>
      </c>
      <c r="B13" s="2"/>
      <c r="C13" s="2"/>
      <c r="D13" s="2"/>
      <c r="E13" s="2"/>
      <c r="F13" s="2"/>
      <c r="G13" s="2"/>
    </row>
    <row r="14" spans="1:7">
      <c r="A14" s="1" t="s">
        <v>581</v>
      </c>
    </row>
    <row r="16" spans="1:7">
      <c r="C16" s="2" t="s">
        <v>3</v>
      </c>
      <c r="E16" s="190" t="s">
        <v>16</v>
      </c>
    </row>
    <row r="17" spans="1:5">
      <c r="A17" s="92">
        <v>2</v>
      </c>
      <c r="C17" s="13" t="s">
        <v>629</v>
      </c>
      <c r="E17" s="44">
        <v>805212.34699999902</v>
      </c>
    </row>
    <row r="18" spans="1:5">
      <c r="A18" s="92">
        <v>3</v>
      </c>
      <c r="C18" s="1" t="s">
        <v>577</v>
      </c>
      <c r="E18" s="217">
        <v>2</v>
      </c>
    </row>
    <row r="19" spans="1:5">
      <c r="A19" s="92">
        <v>4</v>
      </c>
      <c r="C19" s="1" t="s">
        <v>630</v>
      </c>
      <c r="E19" s="44">
        <f>E17/E18</f>
        <v>402606.17349999951</v>
      </c>
    </row>
    <row r="20" spans="1:5">
      <c r="A20" s="92">
        <v>5</v>
      </c>
      <c r="C20" s="1" t="s">
        <v>631</v>
      </c>
      <c r="E20" s="44">
        <v>805212.34699999902</v>
      </c>
    </row>
    <row r="21" spans="1:5" ht="13.5" thickBot="1">
      <c r="A21" s="92">
        <v>6</v>
      </c>
      <c r="C21" s="1" t="s">
        <v>632</v>
      </c>
      <c r="E21" s="24">
        <f>E19-E20</f>
        <v>-402606.17349999951</v>
      </c>
    </row>
    <row r="22" spans="1:5" ht="13.5" thickTop="1">
      <c r="C22" s="13"/>
      <c r="E22" s="12"/>
    </row>
    <row r="23" spans="1:5">
      <c r="A23" s="92">
        <v>7</v>
      </c>
      <c r="C23" s="1" t="s">
        <v>576</v>
      </c>
      <c r="E23" s="4">
        <v>1428408.3479999998</v>
      </c>
    </row>
    <row r="24" spans="1:5">
      <c r="A24" s="92">
        <v>8</v>
      </c>
      <c r="C24" s="1" t="s">
        <v>577</v>
      </c>
      <c r="E24" s="216">
        <v>2</v>
      </c>
    </row>
    <row r="25" spans="1:5">
      <c r="A25" s="92">
        <v>9</v>
      </c>
      <c r="C25" s="1" t="s">
        <v>578</v>
      </c>
      <c r="E25" s="4">
        <f>E23/E24</f>
        <v>714204.17399999988</v>
      </c>
    </row>
    <row r="26" spans="1:5">
      <c r="A26" s="92">
        <v>10</v>
      </c>
      <c r="C26" s="1" t="s">
        <v>579</v>
      </c>
      <c r="E26" s="4">
        <v>745805.26533333398</v>
      </c>
    </row>
    <row r="27" spans="1:5" ht="13.5" thickBot="1">
      <c r="A27" s="92">
        <v>11</v>
      </c>
      <c r="C27" s="1" t="s">
        <v>580</v>
      </c>
      <c r="E27" s="18">
        <f>E25-E26</f>
        <v>-31601.091333334101</v>
      </c>
    </row>
    <row r="28" spans="1:5" ht="13.5" thickTop="1"/>
    <row r="29" spans="1:5" ht="13.5" thickBot="1">
      <c r="A29" s="92">
        <v>12</v>
      </c>
      <c r="C29" s="1" t="s">
        <v>633</v>
      </c>
      <c r="E29" s="41">
        <f>E21+E27</f>
        <v>-434207.26483333361</v>
      </c>
    </row>
    <row r="30" spans="1:5" ht="13.5" thickTop="1"/>
  </sheetData>
  <pageMargins left="0.7" right="0.7" top="0.75" bottom="0.75" header="0.3" footer="0.3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workbookViewId="0">
      <selection activeCell="C64" sqref="C64"/>
    </sheetView>
  </sheetViews>
  <sheetFormatPr defaultRowHeight="12.75"/>
  <cols>
    <col min="1" max="1" width="6.140625" style="1" customWidth="1"/>
    <col min="2" max="2" width="1.140625" style="1" customWidth="1"/>
    <col min="3" max="3" width="37.28515625" style="1" customWidth="1"/>
    <col min="4" max="4" width="2.85546875" style="1" customWidth="1"/>
    <col min="5" max="5" width="10" style="1" bestFit="1" customWidth="1"/>
    <col min="6" max="6" width="0.85546875" style="1" customWidth="1"/>
    <col min="7" max="7" width="15.140625" style="1" bestFit="1" customWidth="1"/>
    <col min="8" max="8" width="0.85546875" style="1" customWidth="1"/>
    <col min="9" max="9" width="16.85546875" style="1" customWidth="1"/>
    <col min="10" max="10" width="3.140625" style="1" customWidth="1"/>
    <col min="11" max="11" width="14" style="1" customWidth="1"/>
    <col min="12" max="12" width="3.42578125" style="1" customWidth="1"/>
    <col min="13" max="13" width="16.28515625" style="1" customWidth="1"/>
    <col min="14" max="14" width="3.28515625" style="1" customWidth="1"/>
    <col min="15" max="15" width="11.85546875" style="1" customWidth="1"/>
    <col min="16" max="16" width="4.7109375" style="1" customWidth="1"/>
    <col min="17" max="16384" width="9.140625" style="1"/>
  </cols>
  <sheetData>
    <row r="1" spans="1:16">
      <c r="A1" s="1" t="str">
        <f>Contents!A1</f>
        <v>Louisville Gas and Electric Company</v>
      </c>
      <c r="O1" s="27" t="str">
        <f>A!$K$1</f>
        <v>Exhibit RCS-1</v>
      </c>
    </row>
    <row r="2" spans="1:16">
      <c r="A2" s="1" t="s">
        <v>60</v>
      </c>
      <c r="O2" s="27" t="s">
        <v>100</v>
      </c>
    </row>
    <row r="3" spans="1:16">
      <c r="O3" s="27" t="str">
        <f>'Ap2'!$M$3</f>
        <v>Case No. 2016-00371</v>
      </c>
    </row>
    <row r="4" spans="1:16">
      <c r="A4" s="1" t="s">
        <v>289</v>
      </c>
      <c r="O4" s="27" t="s">
        <v>37</v>
      </c>
    </row>
    <row r="7" spans="1:16">
      <c r="A7" s="3" t="s">
        <v>0</v>
      </c>
      <c r="I7" s="223" t="s">
        <v>47</v>
      </c>
      <c r="J7" s="223"/>
      <c r="K7" s="223"/>
      <c r="M7" s="223" t="s">
        <v>154</v>
      </c>
      <c r="N7" s="223"/>
      <c r="O7" s="223"/>
    </row>
    <row r="8" spans="1:16">
      <c r="A8" s="11" t="s">
        <v>2</v>
      </c>
      <c r="C8" s="2" t="s">
        <v>3</v>
      </c>
      <c r="D8" s="13"/>
      <c r="E8" s="11" t="s">
        <v>15</v>
      </c>
      <c r="F8" s="13"/>
      <c r="G8" s="11" t="s">
        <v>61</v>
      </c>
      <c r="I8" s="11" t="s">
        <v>308</v>
      </c>
      <c r="K8" s="140" t="s">
        <v>309</v>
      </c>
      <c r="M8" s="11" t="s">
        <v>308</v>
      </c>
      <c r="O8" s="140" t="s">
        <v>309</v>
      </c>
    </row>
    <row r="9" spans="1:16">
      <c r="A9" s="3"/>
      <c r="I9" s="3" t="s">
        <v>6</v>
      </c>
      <c r="K9" s="92" t="s">
        <v>7</v>
      </c>
      <c r="M9" s="92" t="s">
        <v>8</v>
      </c>
      <c r="O9" s="92" t="s">
        <v>38</v>
      </c>
    </row>
    <row r="10" spans="1:16">
      <c r="A10" s="3"/>
    </row>
    <row r="11" spans="1:16">
      <c r="A11" s="3">
        <v>1</v>
      </c>
      <c r="C11" s="1" t="s">
        <v>62</v>
      </c>
      <c r="I11" s="80">
        <v>1</v>
      </c>
      <c r="K11" s="124">
        <f>I11</f>
        <v>1</v>
      </c>
      <c r="M11" s="124">
        <f>I11</f>
        <v>1</v>
      </c>
      <c r="O11" s="124">
        <f>M11</f>
        <v>1</v>
      </c>
    </row>
    <row r="12" spans="1:16">
      <c r="A12" s="3">
        <f>A11+1</f>
        <v>2</v>
      </c>
      <c r="C12" s="1" t="s">
        <v>255</v>
      </c>
      <c r="E12" s="117" t="s">
        <v>152</v>
      </c>
      <c r="G12" s="89"/>
      <c r="I12" s="131">
        <v>2.2599999999999999E-3</v>
      </c>
      <c r="K12" s="124">
        <f>I12</f>
        <v>2.2599999999999999E-3</v>
      </c>
      <c r="M12" s="124">
        <f>'C-5'!G27</f>
        <v>1.9400000000000001E-3</v>
      </c>
      <c r="N12" s="1" t="s">
        <v>552</v>
      </c>
      <c r="O12" s="124">
        <f t="shared" ref="O12:O13" si="0">M12</f>
        <v>1.9400000000000001E-3</v>
      </c>
      <c r="P12" s="1" t="s">
        <v>552</v>
      </c>
    </row>
    <row r="13" spans="1:16">
      <c r="A13" s="87">
        <f t="shared" ref="A13:A20" si="1">A12+1</f>
        <v>3</v>
      </c>
      <c r="C13" s="1" t="s">
        <v>256</v>
      </c>
      <c r="E13" s="92" t="s">
        <v>152</v>
      </c>
      <c r="G13" s="89"/>
      <c r="I13" s="131">
        <v>1.941E-3</v>
      </c>
      <c r="K13" s="124">
        <f>I13</f>
        <v>1.941E-3</v>
      </c>
      <c r="M13" s="124">
        <f t="shared" ref="M13:M14" si="2">I13</f>
        <v>1.941E-3</v>
      </c>
      <c r="O13" s="124">
        <f t="shared" si="0"/>
        <v>1.941E-3</v>
      </c>
    </row>
    <row r="14" spans="1:16">
      <c r="A14" s="92">
        <f t="shared" si="1"/>
        <v>4</v>
      </c>
      <c r="C14" s="1" t="s">
        <v>257</v>
      </c>
      <c r="E14" s="92"/>
      <c r="G14" s="89"/>
      <c r="I14" s="131">
        <v>2.5014000000000002E-2</v>
      </c>
      <c r="M14" s="124">
        <f t="shared" si="2"/>
        <v>2.5014000000000002E-2</v>
      </c>
    </row>
    <row r="15" spans="1:16">
      <c r="A15" s="92">
        <f t="shared" si="1"/>
        <v>5</v>
      </c>
      <c r="C15" s="1" t="s">
        <v>111</v>
      </c>
      <c r="E15" s="92"/>
      <c r="I15" s="132">
        <f>I11-I12-I13-I14</f>
        <v>0.97078500000000001</v>
      </c>
      <c r="K15" s="132">
        <f>K11-K12-K13-K14</f>
        <v>0.99579899999999999</v>
      </c>
      <c r="M15" s="132">
        <f>M11-M12-M13-M14</f>
        <v>0.971105</v>
      </c>
      <c r="O15" s="132">
        <f>O11-O12-O13-O14</f>
        <v>0.99611899999999998</v>
      </c>
    </row>
    <row r="16" spans="1:16" ht="13.5" thickBot="1">
      <c r="A16" s="87">
        <f t="shared" si="1"/>
        <v>6</v>
      </c>
      <c r="C16" s="1" t="s">
        <v>63</v>
      </c>
      <c r="E16" s="92" t="s">
        <v>152</v>
      </c>
      <c r="G16" s="93">
        <v>0.06</v>
      </c>
      <c r="I16" s="144">
        <v>5.8247100000000003E-2</v>
      </c>
      <c r="K16" s="124">
        <f>I16</f>
        <v>5.8247100000000003E-2</v>
      </c>
      <c r="M16" s="145">
        <f>M15*$G$16</f>
        <v>5.82663E-2</v>
      </c>
      <c r="O16" s="124">
        <f>M16</f>
        <v>5.82663E-2</v>
      </c>
    </row>
    <row r="17" spans="1:15" ht="13.5" thickTop="1">
      <c r="A17" s="92">
        <f t="shared" si="1"/>
        <v>7</v>
      </c>
      <c r="C17" s="1" t="s">
        <v>258</v>
      </c>
      <c r="E17" s="92"/>
      <c r="G17" s="93"/>
      <c r="I17"/>
      <c r="K17" s="2"/>
      <c r="O17" s="2"/>
    </row>
    <row r="18" spans="1:15">
      <c r="A18" s="92">
        <f t="shared" si="1"/>
        <v>8</v>
      </c>
      <c r="C18" s="1" t="s">
        <v>64</v>
      </c>
      <c r="E18" s="92"/>
      <c r="G18" s="3"/>
      <c r="I18"/>
      <c r="K18" s="124">
        <f>K15-K16-K17</f>
        <v>0.93755189999999999</v>
      </c>
      <c r="O18" s="124">
        <f>O15-O16-O17</f>
        <v>0.93785269999999998</v>
      </c>
    </row>
    <row r="19" spans="1:15">
      <c r="A19" s="87">
        <f t="shared" si="1"/>
        <v>9</v>
      </c>
      <c r="C19" s="1" t="s">
        <v>65</v>
      </c>
      <c r="E19" s="92" t="s">
        <v>152</v>
      </c>
      <c r="G19" s="17">
        <v>0.35</v>
      </c>
      <c r="I19"/>
      <c r="K19" s="124">
        <f>K18*G19</f>
        <v>0.32814316499999996</v>
      </c>
      <c r="O19" s="80">
        <f>O18*$G$19</f>
        <v>0.328248445</v>
      </c>
    </row>
    <row r="20" spans="1:15" ht="13.5" thickBot="1">
      <c r="A20" s="87">
        <f t="shared" si="1"/>
        <v>10</v>
      </c>
      <c r="C20" s="1" t="s">
        <v>66</v>
      </c>
      <c r="E20" s="92"/>
      <c r="I20"/>
      <c r="K20" s="145">
        <f>K18-K19</f>
        <v>0.60940873500000003</v>
      </c>
      <c r="O20" s="145">
        <f>O18-O19</f>
        <v>0.60960425500000004</v>
      </c>
    </row>
    <row r="21" spans="1:15" ht="13.5" thickTop="1">
      <c r="A21" s="3"/>
      <c r="E21" s="92"/>
      <c r="G21" s="5"/>
      <c r="I21"/>
    </row>
    <row r="22" spans="1:15" ht="13.5" thickBot="1">
      <c r="A22" s="3">
        <f>A20+1</f>
        <v>11</v>
      </c>
      <c r="C22" s="1" t="s">
        <v>60</v>
      </c>
      <c r="E22" s="92" t="s">
        <v>152</v>
      </c>
      <c r="G22" s="26"/>
      <c r="I22"/>
      <c r="K22" s="146">
        <f>K11/K20</f>
        <v>1.6409347988751752</v>
      </c>
      <c r="L22" s="91"/>
      <c r="O22" s="146">
        <f>O11/O20</f>
        <v>1.6404084974767768</v>
      </c>
    </row>
    <row r="23" spans="1:15" ht="13.5" thickTop="1">
      <c r="I23"/>
    </row>
    <row r="24" spans="1:15">
      <c r="A24" s="2" t="s">
        <v>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12" t="s">
        <v>153</v>
      </c>
      <c r="B25" s="13"/>
      <c r="C25" s="1" t="s">
        <v>286</v>
      </c>
      <c r="D25" s="13"/>
      <c r="E25" s="13"/>
      <c r="F25" s="13"/>
      <c r="G25" s="13"/>
      <c r="H25" s="13"/>
      <c r="I25" s="13"/>
    </row>
    <row r="26" spans="1:15">
      <c r="A26" s="92" t="s">
        <v>552</v>
      </c>
      <c r="C26" s="1" t="s">
        <v>209</v>
      </c>
    </row>
    <row r="27" spans="1:15">
      <c r="A27" s="13"/>
      <c r="B27" s="13"/>
      <c r="C27" s="13"/>
      <c r="D27" s="13"/>
      <c r="E27" s="13"/>
      <c r="F27" s="13"/>
      <c r="G27" s="13"/>
      <c r="H27" s="13"/>
      <c r="I27" s="13"/>
    </row>
    <row r="28" spans="1:15" ht="13.5" thickBot="1">
      <c r="A28" s="12">
        <f>A22+1</f>
        <v>12</v>
      </c>
      <c r="B28" s="13"/>
      <c r="C28" s="1" t="s">
        <v>115</v>
      </c>
      <c r="G28" s="39"/>
      <c r="I28" s="68">
        <v>0.38774973800000001</v>
      </c>
      <c r="K28" s="124" t="s">
        <v>311</v>
      </c>
    </row>
    <row r="29" spans="1:15" ht="13.5" thickTop="1">
      <c r="A29" s="69"/>
      <c r="B29" s="13"/>
      <c r="I29" s="67"/>
    </row>
    <row r="30" spans="1:15">
      <c r="C30" s="14" t="s">
        <v>162</v>
      </c>
      <c r="E30" s="49"/>
      <c r="F30" s="13"/>
      <c r="G30" s="13"/>
      <c r="H30" s="13"/>
      <c r="I30" s="13"/>
      <c r="J30" s="13"/>
      <c r="K30" s="13"/>
    </row>
    <row r="31" spans="1:15">
      <c r="C31" s="14"/>
      <c r="E31" s="84" t="s">
        <v>157</v>
      </c>
      <c r="F31" s="12"/>
      <c r="G31" s="11" t="s">
        <v>154</v>
      </c>
      <c r="H31" s="12"/>
      <c r="J31" s="13"/>
      <c r="K31" s="13"/>
    </row>
    <row r="32" spans="1:15">
      <c r="C32" s="14"/>
      <c r="E32" s="40"/>
      <c r="F32" s="12"/>
      <c r="G32" s="11"/>
      <c r="H32" s="12"/>
      <c r="J32" s="13"/>
      <c r="K32" s="13"/>
    </row>
    <row r="33" spans="1:11">
      <c r="A33" s="3">
        <f>A28+1</f>
        <v>13</v>
      </c>
      <c r="C33" s="1" t="s">
        <v>165</v>
      </c>
      <c r="F33" s="13"/>
      <c r="G33" s="45">
        <f>A!I16</f>
        <v>40699637.163383394</v>
      </c>
      <c r="H33" s="13"/>
      <c r="J33" s="13"/>
      <c r="K33" s="13"/>
    </row>
    <row r="34" spans="1:11">
      <c r="A34" s="3"/>
      <c r="C34" s="1" t="s">
        <v>166</v>
      </c>
      <c r="F34" s="13"/>
      <c r="G34" s="4"/>
      <c r="H34" s="13"/>
      <c r="J34" s="13"/>
      <c r="K34" s="13"/>
    </row>
    <row r="35" spans="1:11">
      <c r="A35" s="12">
        <f>A33+1</f>
        <v>14</v>
      </c>
      <c r="B35" s="13"/>
      <c r="C35" s="13" t="s">
        <v>310</v>
      </c>
      <c r="D35" s="13"/>
      <c r="E35" s="147">
        <f>O12</f>
        <v>1.9400000000000001E-3</v>
      </c>
      <c r="F35" s="13"/>
      <c r="G35" s="4">
        <f>ROUND($G$33*E35,0)</f>
        <v>78957</v>
      </c>
      <c r="H35" s="13"/>
      <c r="J35" s="13"/>
      <c r="K35" s="13"/>
    </row>
    <row r="36" spans="1:11">
      <c r="A36" s="90">
        <f t="shared" ref="A36:A40" si="3">A35+1</f>
        <v>15</v>
      </c>
      <c r="B36" s="13"/>
      <c r="C36" s="1" t="s">
        <v>529</v>
      </c>
      <c r="D36" s="13"/>
      <c r="E36" s="147">
        <f>O13</f>
        <v>1.941E-3</v>
      </c>
      <c r="F36" s="13"/>
      <c r="G36" s="4">
        <f>ROUND($G$33*E36,0)</f>
        <v>78998</v>
      </c>
      <c r="H36" s="13"/>
      <c r="J36" s="13"/>
      <c r="K36" s="13"/>
    </row>
    <row r="37" spans="1:11">
      <c r="A37" s="90">
        <f t="shared" si="3"/>
        <v>16</v>
      </c>
      <c r="C37" s="1" t="s">
        <v>113</v>
      </c>
      <c r="E37" s="148">
        <f>O16</f>
        <v>5.82663E-2</v>
      </c>
      <c r="G37" s="4">
        <f>ROUND($G$33*E37,0)</f>
        <v>2371417</v>
      </c>
    </row>
    <row r="38" spans="1:11">
      <c r="A38" s="3">
        <f t="shared" si="3"/>
        <v>17</v>
      </c>
      <c r="C38" s="1" t="s">
        <v>114</v>
      </c>
      <c r="E38" s="148">
        <f>O19</f>
        <v>0.328248445</v>
      </c>
      <c r="G38" s="4">
        <f>ROUND($G$33*E38,0)</f>
        <v>13359593</v>
      </c>
    </row>
    <row r="39" spans="1:11">
      <c r="A39" s="90">
        <f t="shared" si="3"/>
        <v>18</v>
      </c>
      <c r="C39" s="1" t="s">
        <v>84</v>
      </c>
      <c r="E39" s="148">
        <f>O20</f>
        <v>0.60960425500000004</v>
      </c>
      <c r="G39" s="4">
        <f>ROUND($G$33*E39,0)+1</f>
        <v>24810673</v>
      </c>
    </row>
    <row r="40" spans="1:11" ht="13.5" thickBot="1">
      <c r="A40" s="3">
        <f t="shared" si="3"/>
        <v>19</v>
      </c>
      <c r="C40" s="1" t="s">
        <v>168</v>
      </c>
      <c r="E40" s="149">
        <f>SUM(E35:E39)</f>
        <v>1</v>
      </c>
      <c r="G40" s="43">
        <f>SUM(G35:G39)</f>
        <v>40699638</v>
      </c>
    </row>
    <row r="41" spans="1:11" ht="13.5" thickTop="1"/>
    <row r="42" spans="1:11">
      <c r="A42"/>
      <c r="B42"/>
      <c r="C42"/>
      <c r="D42"/>
      <c r="E42"/>
      <c r="F42"/>
      <c r="G42"/>
      <c r="H42"/>
      <c r="I42"/>
      <c r="J42"/>
    </row>
    <row r="43" spans="1:11">
      <c r="A43"/>
      <c r="B43"/>
      <c r="C43"/>
      <c r="D43"/>
      <c r="E43"/>
      <c r="F43"/>
      <c r="G43"/>
      <c r="H43"/>
      <c r="I43"/>
      <c r="J43"/>
    </row>
    <row r="44" spans="1:11">
      <c r="A44"/>
      <c r="B44"/>
      <c r="C44"/>
      <c r="D44"/>
      <c r="E44"/>
      <c r="F44"/>
      <c r="G44"/>
      <c r="H44"/>
      <c r="I44"/>
      <c r="J44"/>
    </row>
    <row r="45" spans="1:11">
      <c r="A45"/>
      <c r="B45"/>
      <c r="C45"/>
      <c r="D45"/>
      <c r="E45"/>
      <c r="F45"/>
      <c r="G45"/>
      <c r="H45"/>
      <c r="I45"/>
      <c r="J45"/>
    </row>
    <row r="46" spans="1:11">
      <c r="A46"/>
      <c r="B46"/>
      <c r="C46"/>
      <c r="D46"/>
      <c r="E46"/>
      <c r="F46"/>
      <c r="G46"/>
      <c r="H46"/>
      <c r="I46"/>
      <c r="J46"/>
    </row>
    <row r="47" spans="1:11">
      <c r="A47"/>
      <c r="B47"/>
      <c r="C47"/>
      <c r="D47"/>
      <c r="E47"/>
      <c r="F47"/>
      <c r="G47"/>
      <c r="H47"/>
      <c r="I47"/>
      <c r="J47"/>
    </row>
    <row r="48" spans="1:11">
      <c r="A48"/>
      <c r="B48"/>
      <c r="C48"/>
      <c r="D48"/>
      <c r="E48"/>
      <c r="F48"/>
      <c r="G48"/>
      <c r="H48"/>
      <c r="I48"/>
      <c r="J48"/>
    </row>
    <row r="49" spans="1:10">
      <c r="A49"/>
      <c r="B49"/>
      <c r="C49"/>
      <c r="D49"/>
      <c r="E49"/>
      <c r="F49"/>
      <c r="G49"/>
      <c r="H49"/>
      <c r="I49"/>
      <c r="J49"/>
    </row>
    <row r="50" spans="1:10">
      <c r="A50"/>
      <c r="B50"/>
      <c r="C50"/>
      <c r="D50"/>
      <c r="E50"/>
      <c r="F50"/>
      <c r="G50"/>
      <c r="H50"/>
      <c r="I50"/>
      <c r="J50"/>
    </row>
    <row r="51" spans="1:10">
      <c r="A51"/>
      <c r="B51"/>
      <c r="C51"/>
      <c r="D51"/>
      <c r="E51"/>
      <c r="F51"/>
      <c r="G51"/>
      <c r="H51"/>
      <c r="I51"/>
      <c r="J51"/>
    </row>
    <row r="52" spans="1:10">
      <c r="A52"/>
      <c r="B52"/>
      <c r="C52"/>
      <c r="D52"/>
      <c r="E52"/>
      <c r="F52"/>
      <c r="G52"/>
      <c r="H52"/>
      <c r="I52"/>
      <c r="J52"/>
    </row>
    <row r="53" spans="1:10">
      <c r="A53"/>
      <c r="B53"/>
      <c r="C53"/>
      <c r="D53"/>
      <c r="E53"/>
      <c r="F53"/>
      <c r="G53"/>
      <c r="H53"/>
      <c r="I53"/>
      <c r="J53"/>
    </row>
    <row r="54" spans="1:10">
      <c r="A54"/>
      <c r="B54"/>
      <c r="C54"/>
      <c r="D54"/>
      <c r="E54"/>
      <c r="F54"/>
      <c r="G54"/>
      <c r="H54"/>
      <c r="I54"/>
      <c r="J54"/>
    </row>
    <row r="55" spans="1:10">
      <c r="A55"/>
      <c r="B55"/>
      <c r="C55"/>
      <c r="D55"/>
      <c r="E55"/>
      <c r="F55"/>
      <c r="G55"/>
      <c r="H55"/>
      <c r="I55"/>
      <c r="J55"/>
    </row>
    <row r="56" spans="1:10">
      <c r="A56"/>
      <c r="B56"/>
      <c r="C56"/>
      <c r="D56"/>
      <c r="E56"/>
      <c r="F56"/>
      <c r="G56"/>
      <c r="H56"/>
      <c r="I56"/>
      <c r="J56"/>
    </row>
    <row r="57" spans="1:10">
      <c r="A57"/>
      <c r="B57"/>
      <c r="C57"/>
      <c r="D57"/>
      <c r="E57"/>
      <c r="F57"/>
      <c r="G57"/>
      <c r="H57"/>
      <c r="I57"/>
      <c r="J57"/>
    </row>
    <row r="58" spans="1:10">
      <c r="A58"/>
      <c r="B58"/>
      <c r="C58"/>
      <c r="D58"/>
      <c r="E58"/>
      <c r="F58"/>
      <c r="G58"/>
      <c r="H58"/>
      <c r="I58"/>
      <c r="J58"/>
    </row>
    <row r="59" spans="1:10">
      <c r="A59"/>
      <c r="B59"/>
      <c r="C59"/>
      <c r="D59"/>
      <c r="E59"/>
      <c r="F59"/>
      <c r="G59"/>
      <c r="H59"/>
      <c r="I59"/>
      <c r="J59"/>
    </row>
    <row r="60" spans="1:10">
      <c r="A60"/>
      <c r="B60"/>
      <c r="C60"/>
      <c r="D60"/>
      <c r="E60"/>
      <c r="F60"/>
      <c r="G60"/>
      <c r="H60"/>
      <c r="I60"/>
      <c r="J60"/>
    </row>
    <row r="61" spans="1:10">
      <c r="A61"/>
      <c r="B61"/>
      <c r="C61"/>
      <c r="D61"/>
      <c r="E61"/>
      <c r="F61"/>
      <c r="G61"/>
      <c r="H61"/>
      <c r="I61"/>
      <c r="J61"/>
    </row>
    <row r="62" spans="1:10">
      <c r="A62"/>
      <c r="B62"/>
      <c r="C62"/>
      <c r="D62"/>
      <c r="E62"/>
      <c r="F62"/>
      <c r="G62"/>
      <c r="H62"/>
      <c r="I62"/>
      <c r="J62"/>
    </row>
    <row r="63" spans="1:10">
      <c r="A63"/>
      <c r="B63"/>
      <c r="C63"/>
      <c r="D63"/>
      <c r="E63"/>
      <c r="F63"/>
      <c r="G63"/>
      <c r="H63"/>
      <c r="I63"/>
      <c r="J63"/>
    </row>
    <row r="64" spans="1:10">
      <c r="A64"/>
      <c r="B64"/>
      <c r="C64"/>
      <c r="D64"/>
      <c r="E64"/>
      <c r="F64"/>
      <c r="G64"/>
      <c r="H64"/>
      <c r="I64"/>
      <c r="J64"/>
    </row>
    <row r="65" spans="1:10">
      <c r="A65"/>
      <c r="B65"/>
      <c r="C65"/>
      <c r="D65"/>
      <c r="E65"/>
      <c r="F65"/>
      <c r="G65"/>
      <c r="H65"/>
      <c r="I65"/>
      <c r="J65"/>
    </row>
    <row r="66" spans="1:10">
      <c r="A66"/>
      <c r="B66"/>
      <c r="C66"/>
      <c r="D66"/>
      <c r="E66"/>
      <c r="F66"/>
      <c r="G66"/>
      <c r="H66"/>
      <c r="I66"/>
      <c r="J66"/>
    </row>
    <row r="67" spans="1:10">
      <c r="A67"/>
      <c r="B67"/>
      <c r="C67"/>
      <c r="D67"/>
      <c r="E67"/>
      <c r="F67"/>
      <c r="G67"/>
      <c r="H67"/>
      <c r="I67"/>
      <c r="J67"/>
    </row>
    <row r="68" spans="1:10">
      <c r="A68"/>
      <c r="B68"/>
      <c r="C68"/>
      <c r="D68"/>
      <c r="E68"/>
      <c r="F68"/>
      <c r="G68"/>
      <c r="H68"/>
      <c r="I68"/>
      <c r="J68"/>
    </row>
    <row r="69" spans="1:10">
      <c r="A69"/>
      <c r="B69"/>
      <c r="C69"/>
      <c r="D69"/>
      <c r="E69"/>
      <c r="F69"/>
      <c r="G69"/>
      <c r="H69"/>
      <c r="I69"/>
      <c r="J69"/>
    </row>
    <row r="70" spans="1:10">
      <c r="A70"/>
      <c r="B70"/>
      <c r="C70"/>
      <c r="D70"/>
      <c r="E70"/>
      <c r="F70"/>
      <c r="G70"/>
      <c r="H70"/>
      <c r="I70"/>
      <c r="J70"/>
    </row>
    <row r="71" spans="1:10">
      <c r="A71"/>
      <c r="B71"/>
      <c r="C71"/>
      <c r="D71"/>
      <c r="E71"/>
      <c r="F71"/>
      <c r="G71"/>
      <c r="H71"/>
      <c r="I71"/>
      <c r="J71"/>
    </row>
    <row r="72" spans="1:10">
      <c r="A72"/>
      <c r="B72"/>
      <c r="C72"/>
      <c r="D72"/>
      <c r="E72"/>
      <c r="F72"/>
      <c r="G72"/>
      <c r="H72"/>
      <c r="I72"/>
      <c r="J72"/>
    </row>
  </sheetData>
  <mergeCells count="2">
    <mergeCell ref="I7:K7"/>
    <mergeCell ref="M7:O7"/>
  </mergeCells>
  <pageMargins left="0.75" right="0.75" top="0.56999999999999995" bottom="0.36" header="0.5" footer="0.27"/>
  <pageSetup scale="82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>
      <selection activeCell="C64" sqref="C64"/>
    </sheetView>
  </sheetViews>
  <sheetFormatPr defaultRowHeight="12.75"/>
  <cols>
    <col min="1" max="1" width="4.42578125" style="1" customWidth="1"/>
    <col min="2" max="2" width="1" style="1" customWidth="1"/>
    <col min="3" max="3" width="44.28515625" style="1" customWidth="1"/>
    <col min="4" max="4" width="1" style="1" customWidth="1"/>
    <col min="5" max="5" width="16.85546875" style="1" bestFit="1" customWidth="1"/>
    <col min="6" max="6" width="1" style="1" customWidth="1"/>
    <col min="7" max="7" width="15.140625" style="1" bestFit="1" customWidth="1"/>
    <col min="8" max="8" width="1.42578125" style="1" customWidth="1"/>
    <col min="9" max="9" width="16.7109375" style="1" bestFit="1" customWidth="1"/>
    <col min="10" max="10" width="9.140625" style="1"/>
    <col min="11" max="11" width="12.85546875" style="1" bestFit="1" customWidth="1"/>
    <col min="12" max="16384" width="9.140625" style="1"/>
  </cols>
  <sheetData>
    <row r="1" spans="1:9">
      <c r="A1" s="1" t="str">
        <f>A!$A$1</f>
        <v>Louisville Gas and Electric Company</v>
      </c>
      <c r="G1" s="10"/>
      <c r="I1" s="27" t="str">
        <f>Contents!$S$5</f>
        <v>Exhibit RCS-1</v>
      </c>
    </row>
    <row r="2" spans="1:9">
      <c r="A2" s="1" t="s">
        <v>31</v>
      </c>
      <c r="G2" s="10"/>
      <c r="I2" s="27" t="s">
        <v>99</v>
      </c>
    </row>
    <row r="3" spans="1:9">
      <c r="G3" s="10"/>
      <c r="I3" s="27" t="str">
        <f>A!$K$3</f>
        <v>Case No. 2016-00371</v>
      </c>
    </row>
    <row r="4" spans="1:9">
      <c r="A4" s="1" t="s">
        <v>289</v>
      </c>
      <c r="B4" s="63"/>
      <c r="C4" s="63"/>
      <c r="D4" s="63"/>
      <c r="E4" s="63"/>
      <c r="F4" s="12"/>
      <c r="G4" s="10"/>
      <c r="I4" s="27" t="s">
        <v>37</v>
      </c>
    </row>
    <row r="5" spans="1:9">
      <c r="I5" s="27"/>
    </row>
    <row r="7" spans="1:9">
      <c r="A7" s="92" t="s">
        <v>0</v>
      </c>
      <c r="E7" s="92" t="s">
        <v>45</v>
      </c>
      <c r="G7" s="92" t="s">
        <v>156</v>
      </c>
      <c r="I7" s="92" t="s">
        <v>156</v>
      </c>
    </row>
    <row r="8" spans="1:9">
      <c r="A8" s="11" t="s">
        <v>2</v>
      </c>
      <c r="C8" s="2" t="s">
        <v>3</v>
      </c>
      <c r="E8" s="11" t="s">
        <v>1</v>
      </c>
      <c r="F8" s="92"/>
      <c r="G8" s="11" t="s">
        <v>4</v>
      </c>
      <c r="I8" s="11" t="s">
        <v>1</v>
      </c>
    </row>
    <row r="9" spans="1:9">
      <c r="A9" s="92"/>
      <c r="C9" s="1" t="s">
        <v>189</v>
      </c>
      <c r="E9" s="92" t="s">
        <v>6</v>
      </c>
      <c r="G9" s="92" t="s">
        <v>7</v>
      </c>
      <c r="I9" s="92" t="s">
        <v>18</v>
      </c>
    </row>
    <row r="10" spans="1:9">
      <c r="A10" s="92"/>
      <c r="C10" s="1" t="s">
        <v>190</v>
      </c>
      <c r="E10" s="4"/>
      <c r="G10" s="92"/>
    </row>
    <row r="11" spans="1:9">
      <c r="A11" s="92">
        <v>1</v>
      </c>
      <c r="C11" s="1" t="s">
        <v>314</v>
      </c>
      <c r="E11" s="4">
        <f>4455168261-301371033</f>
        <v>4153797228</v>
      </c>
      <c r="G11" s="16">
        <f>B.1!E10</f>
        <v>-8071970.5202692067</v>
      </c>
      <c r="I11" s="42">
        <f>E11+G11</f>
        <v>4145725257.4797306</v>
      </c>
    </row>
    <row r="13" spans="1:9">
      <c r="A13" s="92"/>
      <c r="C13" s="1" t="s">
        <v>266</v>
      </c>
      <c r="E13" s="4"/>
      <c r="G13" s="92"/>
    </row>
    <row r="14" spans="1:9">
      <c r="A14" s="92">
        <f>A11+1</f>
        <v>2</v>
      </c>
      <c r="C14" s="99" t="s">
        <v>267</v>
      </c>
      <c r="E14" s="4">
        <v>1684052745</v>
      </c>
      <c r="G14" s="16">
        <f>B.1!E13</f>
        <v>0</v>
      </c>
      <c r="I14" s="42">
        <f t="shared" ref="I14" si="0">E14+G14</f>
        <v>1684052745</v>
      </c>
    </row>
    <row r="15" spans="1:9">
      <c r="E15" s="4"/>
      <c r="G15" s="16"/>
      <c r="I15" s="42"/>
    </row>
    <row r="16" spans="1:9">
      <c r="A16" s="92">
        <f>A14+1</f>
        <v>3</v>
      </c>
      <c r="C16" s="1" t="s">
        <v>191</v>
      </c>
      <c r="E16" s="47">
        <f>E11-E14</f>
        <v>2469744483</v>
      </c>
      <c r="G16" s="47">
        <f>G11-G14</f>
        <v>-8071970.5202692067</v>
      </c>
      <c r="I16" s="47">
        <f>I11-I14</f>
        <v>2461672512.4797306</v>
      </c>
    </row>
    <row r="17" spans="1:9">
      <c r="A17" s="92"/>
      <c r="E17" s="19"/>
      <c r="G17" s="19"/>
      <c r="I17" s="19"/>
    </row>
    <row r="18" spans="1:9">
      <c r="A18" s="92">
        <f>A16+1</f>
        <v>4</v>
      </c>
      <c r="C18" s="1" t="s">
        <v>329</v>
      </c>
      <c r="E18" s="19">
        <v>301371032.76692301</v>
      </c>
      <c r="G18" s="19">
        <f>B.1!E17</f>
        <v>-18021715.256999999</v>
      </c>
      <c r="I18" s="42">
        <f>E18+G18</f>
        <v>283349317.50992298</v>
      </c>
    </row>
    <row r="19" spans="1:9">
      <c r="A19" s="92"/>
      <c r="E19" s="19"/>
      <c r="G19" s="19"/>
      <c r="I19" s="19"/>
    </row>
    <row r="20" spans="1:9">
      <c r="A20" s="92"/>
      <c r="C20" s="1" t="s">
        <v>268</v>
      </c>
      <c r="E20" s="4"/>
    </row>
    <row r="21" spans="1:9">
      <c r="A21" s="92">
        <f>A18+1</f>
        <v>5</v>
      </c>
      <c r="C21" s="99" t="s">
        <v>269</v>
      </c>
      <c r="E21" s="4">
        <v>6724404</v>
      </c>
      <c r="G21" s="16">
        <f>B.1!E20</f>
        <v>0</v>
      </c>
      <c r="I21" s="42">
        <f t="shared" ref="I21" si="1">E21+G21</f>
        <v>6724404</v>
      </c>
    </row>
    <row r="22" spans="1:9">
      <c r="A22" s="92">
        <f>A21+1</f>
        <v>6</v>
      </c>
      <c r="C22" s="99" t="s">
        <v>270</v>
      </c>
      <c r="E22" s="4">
        <v>546457652</v>
      </c>
      <c r="G22" s="16">
        <f>B.1!E21</f>
        <v>-1283800</v>
      </c>
      <c r="I22" s="42">
        <f>E22+G22</f>
        <v>545173852</v>
      </c>
    </row>
    <row r="23" spans="1:9">
      <c r="A23" s="92">
        <f>A22+1</f>
        <v>7</v>
      </c>
      <c r="C23" s="1" t="s">
        <v>271</v>
      </c>
      <c r="E23" s="137">
        <f>SUM(E21:E22)</f>
        <v>553182056</v>
      </c>
      <c r="G23" s="48">
        <f>SUM(G21:G22)</f>
        <v>-1283800</v>
      </c>
      <c r="I23" s="48">
        <f>SUM(I21:I22)</f>
        <v>551898256</v>
      </c>
    </row>
    <row r="24" spans="1:9">
      <c r="E24" s="138"/>
      <c r="G24" s="38"/>
      <c r="I24" s="38"/>
    </row>
    <row r="25" spans="1:9">
      <c r="A25" s="92">
        <f>A23+1</f>
        <v>8</v>
      </c>
      <c r="C25" s="1" t="s">
        <v>277</v>
      </c>
      <c r="E25" s="137">
        <f>E16+E18-E23</f>
        <v>2217933459.766923</v>
      </c>
      <c r="G25" s="137">
        <f>G16+G18-G23</f>
        <v>-24809885.777269207</v>
      </c>
      <c r="I25" s="137">
        <f>I16+I18-I23</f>
        <v>2193123573.9896536</v>
      </c>
    </row>
    <row r="26" spans="1:9">
      <c r="E26" s="38"/>
    </row>
    <row r="27" spans="1:9">
      <c r="A27" s="92"/>
      <c r="C27" s="1" t="s">
        <v>272</v>
      </c>
    </row>
    <row r="28" spans="1:9">
      <c r="A28" s="92">
        <f>A25+1</f>
        <v>9</v>
      </c>
      <c r="C28" s="99" t="s">
        <v>192</v>
      </c>
      <c r="E28" s="4">
        <v>73185578</v>
      </c>
      <c r="G28" s="16">
        <f>B.1!E27</f>
        <v>0</v>
      </c>
      <c r="I28" s="42">
        <f t="shared" ref="I28:I31" si="2">E28+G28</f>
        <v>73185578</v>
      </c>
    </row>
    <row r="29" spans="1:9">
      <c r="A29" s="92">
        <f>A28+1</f>
        <v>10</v>
      </c>
      <c r="C29" s="99" t="s">
        <v>273</v>
      </c>
      <c r="E29" s="4">
        <v>13972166</v>
      </c>
      <c r="G29" s="16">
        <f>B.1!E28</f>
        <v>0</v>
      </c>
      <c r="I29" s="42">
        <f t="shared" si="2"/>
        <v>13972166</v>
      </c>
    </row>
    <row r="30" spans="1:9">
      <c r="A30" s="92">
        <f>A29+1</f>
        <v>11</v>
      </c>
      <c r="C30" s="99" t="s">
        <v>129</v>
      </c>
      <c r="E30" s="4">
        <v>75842724</v>
      </c>
      <c r="G30" s="16">
        <f>B.1!E29</f>
        <v>-1264854</v>
      </c>
      <c r="I30" s="42">
        <f t="shared" si="2"/>
        <v>74577870</v>
      </c>
    </row>
    <row r="31" spans="1:9">
      <c r="A31" s="92">
        <f>A30+1</f>
        <v>12</v>
      </c>
      <c r="C31" s="99" t="s">
        <v>274</v>
      </c>
      <c r="E31" s="4">
        <v>0</v>
      </c>
      <c r="G31" s="16">
        <f>B.1!E30</f>
        <v>0</v>
      </c>
      <c r="I31" s="42">
        <f t="shared" si="2"/>
        <v>0</v>
      </c>
    </row>
    <row r="32" spans="1:9">
      <c r="A32" s="92">
        <f>A31+1</f>
        <v>13</v>
      </c>
      <c r="C32" s="1" t="s">
        <v>275</v>
      </c>
      <c r="E32" s="47">
        <f>SUM(E28:E31)</f>
        <v>163000468</v>
      </c>
      <c r="G32" s="47">
        <f>SUM(G28:G31)</f>
        <v>-1264854</v>
      </c>
      <c r="I32" s="47">
        <f>SUM(I28:I31)</f>
        <v>161735614</v>
      </c>
    </row>
    <row r="33" spans="1:11">
      <c r="A33" s="92"/>
      <c r="E33" s="19"/>
      <c r="G33" s="19"/>
      <c r="I33" s="19"/>
    </row>
    <row r="34" spans="1:11" ht="13.5" thickBot="1">
      <c r="A34" s="92">
        <f>A32+1</f>
        <v>14</v>
      </c>
      <c r="C34" s="1" t="s">
        <v>276</v>
      </c>
      <c r="E34" s="18">
        <f>E25+E32</f>
        <v>2380933927.766923</v>
      </c>
      <c r="F34" s="1">
        <f>F25+F32</f>
        <v>0</v>
      </c>
      <c r="G34" s="18">
        <f>G25+G32</f>
        <v>-26074739.777269207</v>
      </c>
      <c r="H34" s="1">
        <f>H25+H32</f>
        <v>0</v>
      </c>
      <c r="I34" s="18">
        <f>I25+I32</f>
        <v>2354859187.9896536</v>
      </c>
    </row>
    <row r="35" spans="1:11" ht="13.5" thickTop="1">
      <c r="A35" s="92"/>
      <c r="E35" s="19"/>
      <c r="G35" s="19"/>
      <c r="I35" s="19"/>
    </row>
    <row r="36" spans="1:11">
      <c r="A36" s="92">
        <f>A34+1</f>
        <v>15</v>
      </c>
      <c r="C36" s="1" t="s">
        <v>278</v>
      </c>
      <c r="E36" s="19">
        <v>84236035</v>
      </c>
      <c r="G36" s="19">
        <f>B.1!E36</f>
        <v>0</v>
      </c>
      <c r="I36" s="19">
        <f>E36+G36</f>
        <v>84236035</v>
      </c>
    </row>
    <row r="37" spans="1:11">
      <c r="A37" s="92"/>
      <c r="E37" s="19"/>
      <c r="G37" s="19"/>
      <c r="I37" s="19"/>
    </row>
    <row r="38" spans="1:11" ht="13.5" thickBot="1">
      <c r="A38" s="92">
        <f>A36+1</f>
        <v>16</v>
      </c>
      <c r="C38" s="1" t="s">
        <v>279</v>
      </c>
      <c r="E38" s="18">
        <f>E34+E36</f>
        <v>2465169962.766923</v>
      </c>
      <c r="G38" s="18">
        <f>G34+G36</f>
        <v>-26074739.777269207</v>
      </c>
      <c r="I38" s="18">
        <f t="shared" ref="I38" si="3">I34+I36</f>
        <v>2439095222.9896536</v>
      </c>
      <c r="K38" s="42"/>
    </row>
    <row r="39" spans="1:11" ht="13.5" thickTop="1">
      <c r="A39" s="92"/>
      <c r="E39" s="19"/>
      <c r="G39" s="19"/>
      <c r="I39" s="19"/>
    </row>
    <row r="40" spans="1:11" ht="13.5" thickBot="1">
      <c r="A40" s="92">
        <f>A38+1</f>
        <v>17</v>
      </c>
      <c r="C40" s="1" t="s">
        <v>242</v>
      </c>
      <c r="E40" s="20">
        <f>'Dp2'!M15</f>
        <v>2404580875.1056299</v>
      </c>
      <c r="G40" s="20">
        <f>'Dp3'!O16</f>
        <v>-26074739.777269207</v>
      </c>
      <c r="I40" s="20">
        <f>E40+G40</f>
        <v>2378506135.3283606</v>
      </c>
    </row>
    <row r="41" spans="1:11" ht="13.5" thickTop="1">
      <c r="A41" s="92"/>
      <c r="E41" s="5"/>
    </row>
    <row r="42" spans="1:11">
      <c r="G42" s="42"/>
    </row>
    <row r="43" spans="1:11">
      <c r="A43" s="2" t="s">
        <v>9</v>
      </c>
      <c r="B43" s="2"/>
      <c r="C43" s="2"/>
      <c r="D43" s="2"/>
      <c r="E43" s="2"/>
      <c r="F43" s="2"/>
      <c r="G43" s="2"/>
      <c r="H43" s="2"/>
      <c r="I43" s="2"/>
    </row>
    <row r="44" spans="1:11">
      <c r="A44" s="1" t="s">
        <v>499</v>
      </c>
    </row>
    <row r="45" spans="1:11">
      <c r="A45" s="1" t="s">
        <v>312</v>
      </c>
      <c r="G45" s="42"/>
    </row>
  </sheetData>
  <pageMargins left="0.7" right="0.7" top="0.75" bottom="0.75" header="0.3" footer="0.3"/>
  <pageSetup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U992"/>
  <sheetViews>
    <sheetView zoomScaleSheetLayoutView="90" workbookViewId="0">
      <selection activeCell="K24" sqref="K24"/>
    </sheetView>
  </sheetViews>
  <sheetFormatPr defaultColWidth="12.42578125" defaultRowHeight="12.75"/>
  <cols>
    <col min="1" max="1" width="4.7109375" style="63" customWidth="1"/>
    <col min="2" max="2" width="1" style="63" customWidth="1"/>
    <col min="3" max="3" width="45.5703125" style="63" bestFit="1" customWidth="1"/>
    <col min="4" max="4" width="1.28515625" style="63" customWidth="1"/>
    <col min="5" max="5" width="15.5703125" style="63" bestFit="1" customWidth="1"/>
    <col min="6" max="6" width="1.140625" style="63" customWidth="1"/>
    <col min="7" max="7" width="11.85546875" style="63" customWidth="1"/>
    <col min="8" max="8" width="11.140625" style="63" customWidth="1"/>
    <col min="9" max="9" width="12" style="63" bestFit="1" customWidth="1"/>
    <col min="10" max="10" width="11.85546875" style="63" customWidth="1"/>
    <col min="11" max="16384" width="12.42578125" style="63"/>
  </cols>
  <sheetData>
    <row r="1" spans="1:21">
      <c r="A1" s="1" t="str">
        <f>Contents!A1</f>
        <v>Louisville Gas and Electric Company</v>
      </c>
      <c r="B1" s="1"/>
      <c r="C1" s="1"/>
      <c r="D1" s="1"/>
      <c r="E1" s="1"/>
      <c r="F1" s="1"/>
      <c r="G1" s="1"/>
      <c r="H1" s="1"/>
      <c r="I1" s="107"/>
      <c r="K1" s="208" t="str">
        <f>Contents!A4</f>
        <v>Exhibit RCS-1</v>
      </c>
    </row>
    <row r="2" spans="1:21">
      <c r="A2" s="1" t="s">
        <v>33</v>
      </c>
      <c r="B2" s="1"/>
      <c r="C2" s="1"/>
      <c r="D2" s="1"/>
      <c r="E2" s="1"/>
      <c r="F2" s="1"/>
      <c r="G2" s="1"/>
      <c r="H2" s="1"/>
      <c r="I2" s="107"/>
      <c r="K2" s="107" t="s">
        <v>101</v>
      </c>
    </row>
    <row r="3" spans="1:21">
      <c r="A3" s="39"/>
      <c r="B3" s="1"/>
      <c r="C3" s="1"/>
      <c r="D3" s="1"/>
      <c r="E3" s="1"/>
      <c r="F3" s="1"/>
      <c r="G3" s="1"/>
      <c r="H3" s="1"/>
      <c r="I3" s="107"/>
      <c r="K3" s="208" t="str">
        <f>Contents!A2</f>
        <v>Case No. 2016-00371</v>
      </c>
    </row>
    <row r="4" spans="1:21">
      <c r="A4" s="1" t="s">
        <v>289</v>
      </c>
      <c r="B4" s="1"/>
      <c r="C4" s="1"/>
      <c r="D4" s="1"/>
      <c r="E4" s="1"/>
      <c r="F4" s="1"/>
      <c r="G4" s="1"/>
      <c r="H4" s="1"/>
      <c r="I4" s="107"/>
      <c r="K4" s="107" t="s">
        <v>37</v>
      </c>
    </row>
    <row r="5" spans="1:21">
      <c r="F5" s="12"/>
      <c r="G5" s="12"/>
      <c r="H5" s="12"/>
    </row>
    <row r="6" spans="1:21" ht="39" customHeight="1">
      <c r="A6" s="60" t="s">
        <v>40</v>
      </c>
      <c r="B6" s="1"/>
      <c r="C6" s="2" t="s">
        <v>3</v>
      </c>
      <c r="D6" s="1"/>
      <c r="E6" s="60" t="s">
        <v>164</v>
      </c>
      <c r="F6" s="1"/>
      <c r="G6" s="60" t="s">
        <v>343</v>
      </c>
      <c r="H6" s="83" t="s">
        <v>402</v>
      </c>
      <c r="I6" s="83" t="s">
        <v>129</v>
      </c>
      <c r="J6" s="83" t="s">
        <v>422</v>
      </c>
      <c r="K6" s="83" t="s">
        <v>448</v>
      </c>
    </row>
    <row r="7" spans="1:21">
      <c r="A7" s="1"/>
      <c r="B7" s="1"/>
      <c r="C7" s="1"/>
      <c r="D7" s="1"/>
      <c r="E7" s="1"/>
      <c r="F7" s="1"/>
      <c r="G7" s="65" t="str">
        <f>Contents!$A17</f>
        <v>B-1</v>
      </c>
      <c r="H7" s="65" t="str">
        <f>Contents!$A18</f>
        <v>B-2</v>
      </c>
      <c r="I7" s="65" t="str">
        <f>Contents!$A19</f>
        <v>B-3</v>
      </c>
      <c r="J7" s="188" t="s">
        <v>438</v>
      </c>
      <c r="K7" s="188" t="s">
        <v>587</v>
      </c>
    </row>
    <row r="8" spans="1:21">
      <c r="A8" s="92"/>
      <c r="B8" s="1"/>
      <c r="C8" s="1" t="s">
        <v>189</v>
      </c>
      <c r="D8" s="1"/>
      <c r="E8" s="1"/>
      <c r="F8" s="1"/>
      <c r="G8" s="1"/>
      <c r="H8" s="92" t="s">
        <v>410</v>
      </c>
      <c r="I8" s="1"/>
      <c r="J8" s="92" t="s">
        <v>439</v>
      </c>
      <c r="K8" s="92" t="s">
        <v>449</v>
      </c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>
      <c r="A9" s="92"/>
      <c r="B9" s="1"/>
      <c r="C9" s="1" t="s">
        <v>190</v>
      </c>
      <c r="D9" s="1"/>
      <c r="E9" s="4"/>
      <c r="F9" s="1"/>
      <c r="G9" s="4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>
      <c r="A10" s="92">
        <v>1</v>
      </c>
      <c r="B10" s="1"/>
      <c r="C10" s="1" t="s">
        <v>265</v>
      </c>
      <c r="D10" s="1"/>
      <c r="E10" s="16">
        <f>SUM(G10:M10)</f>
        <v>-8071970.5202692067</v>
      </c>
      <c r="F10" s="1"/>
      <c r="G10" s="154">
        <f>'B-1'!O24</f>
        <v>-3659428.2952692062</v>
      </c>
      <c r="H10" s="4">
        <f>'B-2'!G11</f>
        <v>-4412542.2250000006</v>
      </c>
      <c r="I10" s="4"/>
      <c r="J10" s="4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1"/>
      <c r="D11" s="1"/>
      <c r="E11" s="1"/>
      <c r="F11" s="1"/>
      <c r="G11" s="4"/>
      <c r="H11" s="4"/>
      <c r="I11" s="4"/>
      <c r="J11" s="4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>
      <c r="A12" s="92"/>
      <c r="B12" s="1"/>
      <c r="C12" s="1" t="s">
        <v>266</v>
      </c>
      <c r="D12" s="1"/>
      <c r="E12" s="92"/>
      <c r="F12" s="1"/>
      <c r="G12" s="4"/>
      <c r="H12" s="4"/>
      <c r="I12" s="4"/>
      <c r="J12" s="4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>
      <c r="A13" s="92">
        <f>A10+1</f>
        <v>2</v>
      </c>
      <c r="B13" s="1"/>
      <c r="C13" s="99" t="s">
        <v>267</v>
      </c>
      <c r="D13" s="1"/>
      <c r="E13" s="16">
        <f>SUM(G13:M13)</f>
        <v>0</v>
      </c>
      <c r="F13" s="13"/>
      <c r="G13" s="19"/>
      <c r="H13" s="19"/>
      <c r="I13" s="19"/>
      <c r="J13" s="4"/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92"/>
      <c r="B14" s="1"/>
      <c r="C14" s="1"/>
      <c r="D14" s="1"/>
      <c r="E14" s="16"/>
      <c r="F14" s="1"/>
      <c r="G14" s="4"/>
      <c r="H14" s="4"/>
      <c r="I14" s="4"/>
      <c r="J14" s="4"/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92">
        <f t="shared" ref="A15" si="0">A13+1</f>
        <v>3</v>
      </c>
      <c r="B15" s="1"/>
      <c r="C15" s="1" t="s">
        <v>191</v>
      </c>
      <c r="D15" s="1"/>
      <c r="E15" s="47">
        <f>SUM(E10:E14)</f>
        <v>-8071970.5202692067</v>
      </c>
      <c r="F15" s="1"/>
      <c r="G15" s="47">
        <f t="shared" ref="G15:J15" si="1">SUM(G10:G14)</f>
        <v>-3659428.2952692062</v>
      </c>
      <c r="H15" s="47">
        <f t="shared" si="1"/>
        <v>-4412542.2250000006</v>
      </c>
      <c r="I15" s="47">
        <f t="shared" si="1"/>
        <v>0</v>
      </c>
      <c r="J15" s="47">
        <f t="shared" si="1"/>
        <v>0</v>
      </c>
      <c r="K15" s="47">
        <f>SUM(K10:K13)</f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92"/>
      <c r="B16" s="1"/>
      <c r="C16" s="1"/>
      <c r="D16" s="1"/>
      <c r="E16" s="19"/>
      <c r="F16" s="1"/>
      <c r="G16" s="19"/>
      <c r="H16" s="19"/>
      <c r="I16" s="19"/>
      <c r="J16" s="1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92">
        <f>A15+1</f>
        <v>4</v>
      </c>
      <c r="B17" s="1"/>
      <c r="C17" s="1" t="s">
        <v>329</v>
      </c>
      <c r="D17" s="1"/>
      <c r="E17" s="16">
        <f>SUM(G17:M17)</f>
        <v>-18021715.256999999</v>
      </c>
      <c r="F17" s="1"/>
      <c r="G17" s="19"/>
      <c r="H17" s="19"/>
      <c r="I17" s="19"/>
      <c r="J17" s="4">
        <f>'B-4'!E12</f>
        <v>-18021715.256999999</v>
      </c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92"/>
      <c r="B18" s="1"/>
      <c r="C18" s="1"/>
      <c r="D18" s="1"/>
      <c r="E18" s="19"/>
      <c r="F18" s="1"/>
      <c r="G18" s="19"/>
      <c r="H18" s="19"/>
      <c r="I18" s="19"/>
      <c r="J18" s="4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92"/>
      <c r="B19" s="1"/>
      <c r="C19" s="1" t="s">
        <v>268</v>
      </c>
      <c r="D19" s="1"/>
      <c r="E19" s="1"/>
      <c r="F19" s="1"/>
      <c r="G19" s="4"/>
      <c r="H19" s="4"/>
      <c r="I19" s="4"/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>
      <c r="A20" s="92">
        <f>A17+1</f>
        <v>5</v>
      </c>
      <c r="B20" s="1"/>
      <c r="C20" s="99" t="s">
        <v>269</v>
      </c>
      <c r="D20" s="1"/>
      <c r="E20" s="16">
        <f t="shared" ref="E20:E21" si="2">SUM(G20:M20)</f>
        <v>0</v>
      </c>
      <c r="F20" s="1"/>
      <c r="G20" s="4"/>
      <c r="H20" s="4"/>
      <c r="I20" s="4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92">
        <f t="shared" ref="A21:A22" si="3">A20+1</f>
        <v>6</v>
      </c>
      <c r="B21" s="1"/>
      <c r="C21" s="99" t="s">
        <v>270</v>
      </c>
      <c r="D21" s="1"/>
      <c r="E21" s="16">
        <f t="shared" si="2"/>
        <v>-1283800</v>
      </c>
      <c r="J21" s="4">
        <f>-'B-4'!E14</f>
        <v>-1283800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92">
        <f t="shared" si="3"/>
        <v>7</v>
      </c>
      <c r="B22" s="1"/>
      <c r="C22" s="1" t="s">
        <v>271</v>
      </c>
      <c r="D22" s="1"/>
      <c r="E22" s="48">
        <f>SUM(E20:E21)</f>
        <v>-1283800</v>
      </c>
      <c r="F22" s="1"/>
      <c r="G22" s="48">
        <f>SUM(G20:G21)</f>
        <v>0</v>
      </c>
      <c r="H22" s="48">
        <f>SUM(H20:H21)</f>
        <v>0</v>
      </c>
      <c r="I22" s="48">
        <f>SUM(I20:I21)</f>
        <v>0</v>
      </c>
      <c r="J22" s="48">
        <f>SUM(J20:J21)</f>
        <v>-1283800</v>
      </c>
      <c r="K22" s="48">
        <f>SUM(K20:K21)</f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92"/>
      <c r="B23" s="1"/>
      <c r="C23" s="1"/>
      <c r="D23" s="1"/>
      <c r="E23" s="38"/>
      <c r="F23" s="1"/>
      <c r="G23" s="4"/>
      <c r="H23" s="4"/>
      <c r="I23" s="4"/>
      <c r="J23" s="1"/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92">
        <f>A22+1</f>
        <v>8</v>
      </c>
      <c r="B24" s="1"/>
      <c r="C24" s="1" t="s">
        <v>277</v>
      </c>
      <c r="D24" s="1"/>
      <c r="E24" s="48">
        <f>E15+E17-E22</f>
        <v>-24809885.777269207</v>
      </c>
      <c r="F24" s="1"/>
      <c r="G24" s="48">
        <f>G15+G17-G22</f>
        <v>-3659428.2952692062</v>
      </c>
      <c r="H24" s="48">
        <f>H15+H17-H22</f>
        <v>-4412542.2250000006</v>
      </c>
      <c r="I24" s="48">
        <f>I15+I17-I22</f>
        <v>0</v>
      </c>
      <c r="J24" s="48">
        <f>J15+J17-J22</f>
        <v>-16737915.256999999</v>
      </c>
      <c r="K24" s="48">
        <f>K15+K17-K22</f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92"/>
      <c r="B25" s="1"/>
      <c r="C25" s="1"/>
      <c r="D25" s="1"/>
      <c r="E25" s="1"/>
      <c r="F25" s="1"/>
      <c r="G25" s="4"/>
      <c r="H25" s="4"/>
      <c r="I25" s="4"/>
      <c r="J25" s="1"/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92"/>
      <c r="B26" s="1"/>
      <c r="C26" s="1" t="s">
        <v>272</v>
      </c>
      <c r="D26" s="1"/>
      <c r="E26" s="1"/>
      <c r="F26" s="1"/>
      <c r="G26" s="4"/>
      <c r="H26" s="4"/>
      <c r="I26" s="4"/>
      <c r="J26" s="1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92">
        <f>A24+1</f>
        <v>9</v>
      </c>
      <c r="B27" s="1"/>
      <c r="C27" s="99" t="s">
        <v>192</v>
      </c>
      <c r="D27" s="1"/>
      <c r="E27" s="16">
        <f t="shared" ref="E27:E30" si="4">SUM(G27:M27)</f>
        <v>0</v>
      </c>
      <c r="F27" s="1"/>
      <c r="G27" s="4"/>
      <c r="H27" s="4"/>
      <c r="I27" s="4"/>
      <c r="J27" s="4"/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92">
        <f>A27+1</f>
        <v>10</v>
      </c>
      <c r="B28" s="1"/>
      <c r="C28" s="99" t="s">
        <v>273</v>
      </c>
      <c r="D28" s="1"/>
      <c r="E28" s="16">
        <f t="shared" si="4"/>
        <v>0</v>
      </c>
      <c r="F28" s="13"/>
      <c r="G28" s="19"/>
      <c r="H28" s="19"/>
      <c r="I28" s="19"/>
      <c r="J28" s="4"/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>
      <c r="A29" s="92">
        <f>A28+1</f>
        <v>11</v>
      </c>
      <c r="B29" s="1"/>
      <c r="C29" s="99" t="s">
        <v>129</v>
      </c>
      <c r="D29" s="1"/>
      <c r="E29" s="16">
        <f t="shared" si="4"/>
        <v>-1264854</v>
      </c>
      <c r="F29" s="1"/>
      <c r="G29" s="1"/>
      <c r="H29" s="1"/>
      <c r="I29" s="154">
        <f>'B-3'!G20</f>
        <v>-1264854</v>
      </c>
      <c r="J29" s="4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92">
        <f>A29+1</f>
        <v>12</v>
      </c>
      <c r="B30" s="1"/>
      <c r="C30" s="99" t="s">
        <v>274</v>
      </c>
      <c r="D30" s="1"/>
      <c r="E30" s="16">
        <f t="shared" si="4"/>
        <v>0</v>
      </c>
      <c r="F30" s="1"/>
      <c r="G30" s="4"/>
      <c r="H30" s="4"/>
      <c r="I30" s="4"/>
      <c r="J30" s="4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>
      <c r="A31" s="92">
        <f t="shared" ref="A31" si="5">A30+1</f>
        <v>13</v>
      </c>
      <c r="B31" s="1"/>
      <c r="C31" s="1" t="s">
        <v>275</v>
      </c>
      <c r="D31" s="1"/>
      <c r="E31" s="47">
        <f>SUM(E27:E30)</f>
        <v>-1264854</v>
      </c>
      <c r="F31" s="13"/>
      <c r="G31" s="47">
        <f t="shared" ref="G31:K31" si="6">SUM(G27:G30)</f>
        <v>0</v>
      </c>
      <c r="H31" s="47">
        <f t="shared" si="6"/>
        <v>0</v>
      </c>
      <c r="I31" s="47">
        <f t="shared" si="6"/>
        <v>-1264854</v>
      </c>
      <c r="J31" s="47">
        <f t="shared" si="6"/>
        <v>0</v>
      </c>
      <c r="K31" s="47">
        <f t="shared" si="6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92"/>
      <c r="B32" s="1"/>
      <c r="C32" s="1"/>
      <c r="D32" s="1"/>
      <c r="J32" s="1"/>
      <c r="K32" s="47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3.5" thickBot="1">
      <c r="A33" s="92">
        <f>A31+1</f>
        <v>14</v>
      </c>
      <c r="B33" s="1"/>
      <c r="C33" s="1" t="s">
        <v>276</v>
      </c>
      <c r="D33" s="1"/>
      <c r="E33" s="43">
        <f>E24+E31</f>
        <v>-26074739.777269207</v>
      </c>
      <c r="F33" s="1"/>
      <c r="G33" s="43">
        <f t="shared" ref="G33:K33" si="7">G24+G31</f>
        <v>-3659428.2952692062</v>
      </c>
      <c r="H33" s="43">
        <f t="shared" si="7"/>
        <v>-4412542.2250000006</v>
      </c>
      <c r="I33" s="43">
        <f t="shared" si="7"/>
        <v>-1264854</v>
      </c>
      <c r="J33" s="43">
        <f t="shared" si="7"/>
        <v>-16737915.256999999</v>
      </c>
      <c r="K33" s="43">
        <f t="shared" si="7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3.5" thickTop="1">
      <c r="A34" s="92"/>
      <c r="B34" s="1"/>
      <c r="C34" s="1"/>
      <c r="D34" s="1"/>
      <c r="E34" s="1"/>
      <c r="F34" s="1"/>
      <c r="G34" s="1"/>
      <c r="H34" s="1"/>
      <c r="I34" s="1"/>
      <c r="J34" s="1"/>
      <c r="K34" s="153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92">
        <f>A33+1</f>
        <v>15</v>
      </c>
      <c r="B35" s="1"/>
      <c r="C35" s="1" t="s">
        <v>278</v>
      </c>
      <c r="D35" s="1"/>
      <c r="E35" s="16">
        <f>SUM(G35:M35)</f>
        <v>0</v>
      </c>
      <c r="F35" s="1"/>
      <c r="G35" s="4"/>
      <c r="H35" s="4"/>
      <c r="I35" s="4"/>
      <c r="J35" s="1"/>
      <c r="K35" s="19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92"/>
      <c r="B36" s="1"/>
      <c r="C36" s="1"/>
      <c r="D36" s="1"/>
      <c r="E36" s="4"/>
      <c r="F36" s="1"/>
      <c r="G36" s="4"/>
      <c r="H36" s="4"/>
      <c r="I36" s="4"/>
      <c r="J36" s="1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3.5" thickBot="1">
      <c r="A37" s="92">
        <f>A35+1</f>
        <v>16</v>
      </c>
      <c r="B37" s="1"/>
      <c r="C37" s="1" t="s">
        <v>279</v>
      </c>
      <c r="D37" s="1"/>
      <c r="E37" s="43">
        <f>E33+E35</f>
        <v>-26074739.777269207</v>
      </c>
      <c r="F37" s="1"/>
      <c r="G37" s="43">
        <f t="shared" ref="G37:K37" si="8">G33+G35</f>
        <v>-3659428.2952692062</v>
      </c>
      <c r="H37" s="43">
        <f t="shared" si="8"/>
        <v>-4412542.2250000006</v>
      </c>
      <c r="I37" s="43">
        <f t="shared" si="8"/>
        <v>-1264854</v>
      </c>
      <c r="J37" s="43">
        <f t="shared" si="8"/>
        <v>-16737915.256999999</v>
      </c>
      <c r="K37" s="43">
        <f t="shared" si="8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 thickTop="1">
      <c r="A38" s="92"/>
      <c r="B38" s="1"/>
      <c r="C38" s="1"/>
      <c r="D38" s="1"/>
      <c r="E38" s="1"/>
      <c r="F38" s="1"/>
      <c r="G38" s="1"/>
      <c r="H38" s="1"/>
      <c r="I38" s="1"/>
      <c r="J38" s="1"/>
      <c r="K38" s="153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92"/>
      <c r="B39" s="1"/>
      <c r="C39" s="1"/>
      <c r="D39" s="1"/>
      <c r="E39" s="42"/>
      <c r="F39" s="1"/>
      <c r="G39" s="1"/>
      <c r="H39" s="1"/>
      <c r="I39" s="1"/>
      <c r="J39" s="1"/>
      <c r="K39" s="13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9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2" t="s">
        <v>9</v>
      </c>
      <c r="B41" s="2"/>
      <c r="C41" s="2"/>
      <c r="D41" s="2"/>
      <c r="E41" s="2"/>
      <c r="F41" s="2"/>
      <c r="G41" s="2"/>
      <c r="H41" s="2"/>
      <c r="I41" s="66"/>
      <c r="J41" s="66"/>
      <c r="K41" s="66"/>
    </row>
    <row r="42" spans="1:21">
      <c r="A42" s="1" t="s">
        <v>125</v>
      </c>
      <c r="B42" s="1"/>
      <c r="C42" s="49"/>
      <c r="D42" s="1"/>
      <c r="E42" s="1"/>
      <c r="F42" s="1"/>
      <c r="G42" s="1"/>
      <c r="H42" s="1"/>
      <c r="J42" s="64"/>
      <c r="K42" s="64"/>
    </row>
    <row r="43" spans="1:21">
      <c r="A43" s="1"/>
      <c r="B43" s="1"/>
      <c r="C43" s="49"/>
      <c r="D43" s="1"/>
      <c r="E43" s="1"/>
      <c r="F43" s="1"/>
      <c r="G43" s="1"/>
      <c r="H43" s="1"/>
    </row>
    <row r="44" spans="1:21">
      <c r="A44" s="1"/>
      <c r="B44" s="1"/>
      <c r="C44" s="1"/>
      <c r="D44" s="1"/>
      <c r="E44" s="1"/>
      <c r="F44" s="1"/>
      <c r="G44" s="1"/>
      <c r="H44" s="1"/>
    </row>
    <row r="45" spans="1:21">
      <c r="A45" s="1"/>
      <c r="B45" s="1"/>
      <c r="C45" s="1"/>
      <c r="D45" s="1"/>
      <c r="E45" s="1"/>
      <c r="F45" s="1"/>
      <c r="G45" s="1"/>
      <c r="H45" s="1"/>
    </row>
    <row r="46" spans="1:21">
      <c r="A46" s="1"/>
      <c r="B46" s="1"/>
      <c r="C46" s="1"/>
      <c r="D46" s="1"/>
      <c r="E46" s="1"/>
      <c r="F46" s="1"/>
      <c r="G46" s="1"/>
      <c r="H46" s="1"/>
    </row>
    <row r="47" spans="1:21">
      <c r="A47" s="1"/>
      <c r="B47" s="1"/>
      <c r="C47" s="1"/>
      <c r="D47" s="1"/>
      <c r="E47" s="1"/>
      <c r="F47" s="1"/>
      <c r="G47" s="1"/>
      <c r="H47" s="1"/>
    </row>
    <row r="48" spans="1:21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 ht="15" customHeight="1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 s="1" customFormat="1"/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  <row r="979" spans="1:8">
      <c r="A979" s="1"/>
      <c r="B979" s="1"/>
      <c r="C979" s="1"/>
      <c r="D979" s="1"/>
      <c r="E979" s="1"/>
      <c r="F979" s="1"/>
      <c r="G979" s="1"/>
      <c r="H979" s="1"/>
    </row>
    <row r="980" spans="1:8">
      <c r="A980" s="1"/>
      <c r="B980" s="1"/>
      <c r="C980" s="1"/>
      <c r="D980" s="1"/>
      <c r="E980" s="1"/>
      <c r="F980" s="1"/>
      <c r="G980" s="1"/>
      <c r="H980" s="1"/>
    </row>
    <row r="981" spans="1:8">
      <c r="A981" s="1"/>
      <c r="B981" s="1"/>
      <c r="C981" s="1"/>
      <c r="D981" s="1"/>
      <c r="E981" s="1"/>
      <c r="F981" s="1"/>
      <c r="G981" s="1"/>
      <c r="H981" s="1"/>
    </row>
    <row r="982" spans="1:8">
      <c r="A982" s="1"/>
      <c r="B982" s="1"/>
      <c r="C982" s="1"/>
      <c r="D982" s="1"/>
      <c r="E982" s="1"/>
      <c r="F982" s="1"/>
      <c r="G982" s="1"/>
      <c r="H982" s="1"/>
    </row>
    <row r="983" spans="1:8">
      <c r="A983" s="1"/>
      <c r="B983" s="1"/>
      <c r="C983" s="1"/>
      <c r="D983" s="1"/>
      <c r="E983" s="1"/>
      <c r="F983" s="1"/>
      <c r="G983" s="1"/>
      <c r="H983" s="1"/>
    </row>
    <row r="984" spans="1:8">
      <c r="A984" s="1"/>
      <c r="B984" s="1"/>
      <c r="C984" s="1"/>
      <c r="D984" s="1"/>
      <c r="E984" s="1"/>
      <c r="F984" s="1"/>
      <c r="G984" s="1"/>
      <c r="H984" s="1"/>
    </row>
    <row r="985" spans="1:8">
      <c r="A985" s="1"/>
      <c r="B985" s="1"/>
      <c r="C985" s="1"/>
      <c r="D985" s="1"/>
      <c r="E985" s="1"/>
      <c r="F985" s="1"/>
      <c r="G985" s="1"/>
      <c r="H985" s="1"/>
    </row>
    <row r="986" spans="1:8">
      <c r="A986" s="1"/>
      <c r="B986" s="1"/>
      <c r="C986" s="1"/>
      <c r="D986" s="1"/>
      <c r="E986" s="1"/>
      <c r="F986" s="1"/>
      <c r="G986" s="1"/>
      <c r="H986" s="1"/>
    </row>
    <row r="987" spans="1:8">
      <c r="A987" s="1"/>
      <c r="B987" s="1"/>
      <c r="C987" s="1"/>
      <c r="D987" s="1"/>
      <c r="E987" s="1"/>
      <c r="F987" s="1"/>
      <c r="G987" s="1"/>
      <c r="H987" s="1"/>
    </row>
    <row r="988" spans="1:8">
      <c r="A988" s="1"/>
      <c r="B988" s="1"/>
      <c r="C988" s="1"/>
      <c r="D988" s="1"/>
      <c r="E988" s="1"/>
      <c r="F988" s="1"/>
      <c r="G988" s="1"/>
      <c r="H988" s="1"/>
    </row>
    <row r="989" spans="1:8">
      <c r="A989" s="1"/>
      <c r="B989" s="1"/>
      <c r="C989" s="1"/>
      <c r="D989" s="1"/>
      <c r="E989" s="1"/>
      <c r="F989" s="1"/>
      <c r="G989" s="1"/>
      <c r="H989" s="1"/>
    </row>
    <row r="990" spans="1:8">
      <c r="A990" s="1"/>
      <c r="B990" s="1"/>
      <c r="C990" s="1"/>
      <c r="D990" s="1"/>
      <c r="E990" s="1"/>
      <c r="F990" s="1"/>
      <c r="G990" s="1"/>
      <c r="H990" s="1"/>
    </row>
    <row r="991" spans="1:8">
      <c r="A991" s="1"/>
      <c r="B991" s="1"/>
      <c r="C991" s="1"/>
      <c r="D991" s="1"/>
      <c r="E991" s="1"/>
      <c r="F991" s="1"/>
      <c r="G991" s="1"/>
      <c r="H991" s="1"/>
    </row>
    <row r="992" spans="1:8">
      <c r="A992" s="1"/>
      <c r="B992" s="1"/>
      <c r="C992" s="1"/>
      <c r="D992" s="1"/>
      <c r="E992" s="1"/>
      <c r="F992" s="1"/>
      <c r="G992" s="1"/>
      <c r="H992" s="1"/>
    </row>
  </sheetData>
  <pageMargins left="0.75" right="0.75" top="0.5" bottom="0.12" header="0.5" footer="0.5"/>
  <pageSetup scale="95" fitToHeight="3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D42"/>
  <sheetViews>
    <sheetView zoomScaleSheetLayoutView="90" workbookViewId="0">
      <selection activeCell="E42" sqref="E42"/>
    </sheetView>
  </sheetViews>
  <sheetFormatPr defaultRowHeight="12.75"/>
  <cols>
    <col min="1" max="1" width="5.28515625" style="1" customWidth="1"/>
    <col min="2" max="2" width="1.28515625" style="1" customWidth="1"/>
    <col min="3" max="3" width="43.5703125" style="1" bestFit="1" customWidth="1"/>
    <col min="4" max="4" width="1.140625" style="1" customWidth="1"/>
    <col min="5" max="5" width="16.42578125" style="1" bestFit="1" customWidth="1"/>
    <col min="6" max="6" width="1.42578125" style="1" customWidth="1"/>
    <col min="7" max="7" width="15.28515625" style="1" bestFit="1" customWidth="1"/>
    <col min="8" max="8" width="1.42578125" style="1" customWidth="1"/>
    <col min="9" max="9" width="16.28515625" style="1" bestFit="1" customWidth="1"/>
    <col min="10" max="10" width="1.28515625" style="1" customWidth="1"/>
    <col min="11" max="11" width="15.140625" style="1" bestFit="1" customWidth="1"/>
    <col min="12" max="12" width="1.42578125" style="1" customWidth="1"/>
    <col min="13" max="13" width="16.28515625" style="1" bestFit="1" customWidth="1"/>
    <col min="14" max="14" width="2.85546875" style="1" customWidth="1"/>
    <col min="15" max="15" width="13.7109375" style="1" customWidth="1"/>
    <col min="16" max="16" width="2.7109375" style="1" customWidth="1"/>
    <col min="17" max="17" width="14.140625" style="1" bestFit="1" customWidth="1"/>
    <col min="18" max="18" width="2.42578125" style="1" customWidth="1"/>
    <col min="19" max="19" width="12.5703125" style="1" bestFit="1" customWidth="1"/>
    <col min="20" max="20" width="13" style="1" bestFit="1" customWidth="1"/>
    <col min="21" max="21" width="3.28515625" style="1" customWidth="1"/>
    <col min="22" max="22" width="12.85546875" style="1" bestFit="1" customWidth="1"/>
    <col min="23" max="24" width="9.140625" style="1"/>
    <col min="25" max="25" width="24" style="1" bestFit="1" customWidth="1"/>
    <col min="26" max="26" width="14.42578125" style="1" bestFit="1" customWidth="1"/>
    <col min="27" max="27" width="13.7109375" style="1" bestFit="1" customWidth="1"/>
    <col min="28" max="28" width="2.85546875" style="1" customWidth="1"/>
    <col min="29" max="29" width="12" style="1" bestFit="1" customWidth="1"/>
    <col min="30" max="16384" width="9.140625" style="1"/>
  </cols>
  <sheetData>
    <row r="1" spans="1:30">
      <c r="A1" s="1" t="str">
        <f>Contents!A1</f>
        <v>Louisville Gas and Electric Company</v>
      </c>
      <c r="I1" s="10"/>
      <c r="K1" s="10"/>
      <c r="M1" s="27" t="str">
        <f>Contents!$S$5</f>
        <v>Exhibit RCS-1</v>
      </c>
    </row>
    <row r="2" spans="1:30">
      <c r="A2" s="1" t="s">
        <v>80</v>
      </c>
      <c r="I2" s="10"/>
      <c r="K2" s="10"/>
      <c r="M2" s="27" t="s">
        <v>102</v>
      </c>
    </row>
    <row r="3" spans="1:30">
      <c r="A3" s="39"/>
      <c r="I3" s="10"/>
      <c r="K3" s="10"/>
      <c r="M3" s="27" t="str">
        <f>A!$K$3</f>
        <v>Case No. 2016-00371</v>
      </c>
    </row>
    <row r="4" spans="1:30">
      <c r="A4" s="1" t="s">
        <v>289</v>
      </c>
      <c r="I4" s="10"/>
      <c r="K4" s="10"/>
      <c r="M4" s="27" t="s">
        <v>37</v>
      </c>
    </row>
    <row r="5" spans="1:30">
      <c r="I5" s="10"/>
      <c r="K5" s="10"/>
    </row>
    <row r="6" spans="1:30">
      <c r="G6" s="226" t="s">
        <v>154</v>
      </c>
      <c r="H6" s="227"/>
      <c r="I6" s="227"/>
      <c r="J6" s="122"/>
      <c r="K6" s="224"/>
      <c r="L6" s="224"/>
      <c r="M6" s="225"/>
    </row>
    <row r="7" spans="1:30">
      <c r="K7" s="3" t="s">
        <v>76</v>
      </c>
      <c r="M7" s="3" t="s">
        <v>67</v>
      </c>
    </row>
    <row r="8" spans="1:30">
      <c r="A8" s="1" t="s">
        <v>0</v>
      </c>
      <c r="E8" s="3" t="s">
        <v>5</v>
      </c>
      <c r="F8" s="3"/>
      <c r="G8" s="3" t="s">
        <v>156</v>
      </c>
      <c r="H8" s="3"/>
      <c r="I8" s="3" t="s">
        <v>5</v>
      </c>
      <c r="K8" s="3" t="s">
        <v>77</v>
      </c>
      <c r="M8" s="3" t="s">
        <v>68</v>
      </c>
    </row>
    <row r="9" spans="1:30">
      <c r="A9" s="2" t="s">
        <v>2</v>
      </c>
      <c r="C9" s="2" t="s">
        <v>3</v>
      </c>
      <c r="E9" s="11" t="s">
        <v>45</v>
      </c>
      <c r="F9" s="3"/>
      <c r="G9" s="11" t="s">
        <v>4</v>
      </c>
      <c r="H9" s="3"/>
      <c r="I9" s="11" t="s">
        <v>156</v>
      </c>
      <c r="K9" s="11" t="s">
        <v>167</v>
      </c>
      <c r="M9" s="11" t="s">
        <v>78</v>
      </c>
      <c r="T9" s="4"/>
    </row>
    <row r="10" spans="1:30">
      <c r="E10" s="3" t="s">
        <v>6</v>
      </c>
      <c r="F10" s="3"/>
      <c r="G10" s="3" t="s">
        <v>7</v>
      </c>
      <c r="H10" s="3"/>
      <c r="I10" s="3" t="s">
        <v>8</v>
      </c>
      <c r="K10" s="3" t="s">
        <v>38</v>
      </c>
      <c r="L10" s="3"/>
      <c r="M10" s="3" t="s">
        <v>50</v>
      </c>
    </row>
    <row r="11" spans="1:30">
      <c r="C11" s="14" t="s">
        <v>48</v>
      </c>
    </row>
    <row r="12" spans="1:30">
      <c r="A12" s="3">
        <v>1</v>
      </c>
      <c r="C12" s="99" t="s">
        <v>245</v>
      </c>
      <c r="E12" s="4">
        <v>995417329.71547031</v>
      </c>
      <c r="G12" s="4">
        <f>C.1!F10</f>
        <v>0</v>
      </c>
      <c r="I12" s="4">
        <f>E12+G12</f>
        <v>995417329.71547031</v>
      </c>
      <c r="K12" s="42">
        <f>'A-1'!G33</f>
        <v>40699637.163383394</v>
      </c>
      <c r="M12" s="4">
        <f>I12+K12</f>
        <v>1036116966.8788537</v>
      </c>
      <c r="Q12" s="42"/>
      <c r="S12" s="85"/>
      <c r="T12" s="4"/>
      <c r="Y12" s="42"/>
      <c r="Z12" s="42"/>
      <c r="AA12" s="42"/>
      <c r="AB12" s="42"/>
      <c r="AC12" s="4"/>
      <c r="AD12" s="42"/>
    </row>
    <row r="13" spans="1:30">
      <c r="A13" s="3">
        <f>A12+1</f>
        <v>2</v>
      </c>
      <c r="C13" s="99" t="s">
        <v>172</v>
      </c>
      <c r="E13" s="19">
        <v>21784323.167055476</v>
      </c>
      <c r="G13" s="4">
        <f>C.1!H11</f>
        <v>0</v>
      </c>
      <c r="I13" s="4">
        <f>E13+G13</f>
        <v>21784323.167055476</v>
      </c>
      <c r="K13" s="19"/>
      <c r="L13" s="13"/>
      <c r="M13" s="4">
        <f>I13+K13</f>
        <v>21784323.167055476</v>
      </c>
      <c r="S13" s="85"/>
      <c r="Y13" s="42"/>
      <c r="Z13" s="42"/>
      <c r="AA13" s="42"/>
      <c r="AB13" s="42"/>
      <c r="AC13" s="4"/>
      <c r="AD13" s="42"/>
    </row>
    <row r="14" spans="1:30">
      <c r="A14" s="3">
        <f t="shared" ref="A14" si="0">A13+1</f>
        <v>3</v>
      </c>
      <c r="C14" s="14" t="s">
        <v>149</v>
      </c>
      <c r="E14" s="47">
        <f>SUM(E12:E13)</f>
        <v>1017201652.8825258</v>
      </c>
      <c r="G14" s="47">
        <f>SUM(G12:G13)</f>
        <v>0</v>
      </c>
      <c r="I14" s="47">
        <f>SUM(I12:I13)</f>
        <v>1017201652.8825258</v>
      </c>
      <c r="K14" s="47">
        <f>SUM(K12:K13)</f>
        <v>40699637.163383394</v>
      </c>
      <c r="L14" s="13"/>
      <c r="M14" s="47">
        <f>SUM(M12:M13)</f>
        <v>1057901290.0459092</v>
      </c>
      <c r="Q14" s="42"/>
      <c r="S14" s="85"/>
      <c r="T14" s="42"/>
      <c r="Y14" s="42"/>
      <c r="Z14" s="42"/>
      <c r="AA14" s="42"/>
      <c r="AB14" s="42"/>
      <c r="AC14" s="4"/>
      <c r="AD14" s="42"/>
    </row>
    <row r="15" spans="1:30">
      <c r="A15" s="3"/>
      <c r="E15" s="19"/>
      <c r="G15" s="19"/>
      <c r="I15" s="38"/>
      <c r="K15" s="19"/>
      <c r="L15" s="13"/>
      <c r="M15" s="19"/>
      <c r="Y15" s="42"/>
      <c r="Z15" s="42"/>
      <c r="AA15" s="42"/>
      <c r="AB15" s="42"/>
      <c r="AC15" s="4"/>
      <c r="AD15" s="42"/>
    </row>
    <row r="16" spans="1:30">
      <c r="A16" s="3"/>
      <c r="C16" s="14" t="s">
        <v>150</v>
      </c>
      <c r="E16" s="19"/>
      <c r="G16" s="19"/>
      <c r="I16" s="4">
        <f>E16+G16</f>
        <v>0</v>
      </c>
      <c r="K16" s="19"/>
      <c r="L16" s="13"/>
      <c r="M16" s="19"/>
      <c r="Y16" s="42"/>
      <c r="Z16" s="42"/>
      <c r="AA16" s="42"/>
      <c r="AB16" s="42"/>
      <c r="AC16" s="4"/>
      <c r="AD16" s="42"/>
    </row>
    <row r="17" spans="1:30">
      <c r="A17" s="87">
        <f>A14+1</f>
        <v>4</v>
      </c>
      <c r="C17" s="1" t="s">
        <v>246</v>
      </c>
      <c r="E17" s="19">
        <v>684637039.7450037</v>
      </c>
      <c r="G17" s="4">
        <f>C.1!F15</f>
        <v>-10118834.487947781</v>
      </c>
      <c r="I17" s="4">
        <f t="shared" ref="I17:I23" si="1">E17+G17</f>
        <v>674518205.25705588</v>
      </c>
      <c r="K17" s="19">
        <f>'A-1'!$G$35+'A-1'!$G$36</f>
        <v>157955</v>
      </c>
      <c r="L17" s="13"/>
      <c r="M17" s="4">
        <f>I17+K17</f>
        <v>674676160.25705588</v>
      </c>
      <c r="Y17" s="42"/>
      <c r="Z17" s="42"/>
      <c r="AA17" s="42"/>
      <c r="AB17" s="42"/>
      <c r="AC17" s="4"/>
      <c r="AD17" s="42"/>
    </row>
    <row r="18" spans="1:30">
      <c r="A18" s="87">
        <f t="shared" ref="A18:A19" si="2">A17+1</f>
        <v>5</v>
      </c>
      <c r="C18" s="1" t="s">
        <v>247</v>
      </c>
      <c r="E18" s="19">
        <v>138842526.54592913</v>
      </c>
      <c r="G18" s="4">
        <f>C.1!F16</f>
        <v>-685917</v>
      </c>
      <c r="I18" s="4">
        <f t="shared" si="1"/>
        <v>138156609.54592913</v>
      </c>
      <c r="K18" s="19"/>
      <c r="L18" s="13"/>
      <c r="M18" s="4">
        <f>I18+K18</f>
        <v>138156609.54592913</v>
      </c>
      <c r="Y18" s="42"/>
      <c r="Z18" s="42"/>
      <c r="AA18" s="42"/>
      <c r="AB18" s="42"/>
      <c r="AC18" s="4"/>
      <c r="AD18" s="42"/>
    </row>
    <row r="19" spans="1:30">
      <c r="A19" s="92">
        <f t="shared" si="2"/>
        <v>6</v>
      </c>
      <c r="C19" s="1" t="s">
        <v>248</v>
      </c>
      <c r="E19" s="19">
        <v>0</v>
      </c>
      <c r="G19" s="4">
        <f>C.1!F17</f>
        <v>0</v>
      </c>
      <c r="I19" s="4">
        <f t="shared" si="1"/>
        <v>0</v>
      </c>
      <c r="K19" s="19"/>
      <c r="L19" s="13"/>
      <c r="M19" s="4">
        <f>I19+K19</f>
        <v>0</v>
      </c>
      <c r="Y19" s="42"/>
      <c r="Z19" s="42"/>
      <c r="AA19" s="42"/>
      <c r="AB19" s="42"/>
      <c r="AC19" s="4"/>
      <c r="AD19" s="42"/>
    </row>
    <row r="20" spans="1:30">
      <c r="A20" s="92">
        <f>A19+1</f>
        <v>7</v>
      </c>
      <c r="C20" s="1" t="s">
        <v>187</v>
      </c>
      <c r="E20" s="19">
        <v>32529208.918825753</v>
      </c>
      <c r="G20" s="4">
        <f>C.1!F18</f>
        <v>-142954</v>
      </c>
      <c r="I20" s="4">
        <f t="shared" si="1"/>
        <v>32386254.918825753</v>
      </c>
      <c r="K20" s="19"/>
      <c r="L20" s="13"/>
      <c r="M20" s="4">
        <f t="shared" ref="M20:M23" si="3">I20+K20</f>
        <v>32386254.918825753</v>
      </c>
      <c r="Y20" s="42"/>
      <c r="Z20" s="42"/>
      <c r="AA20" s="42"/>
      <c r="AB20" s="42"/>
      <c r="AC20" s="4"/>
      <c r="AD20" s="42"/>
    </row>
    <row r="21" spans="1:30">
      <c r="A21" s="92">
        <f t="shared" ref="A21:A24" si="4">A20+1</f>
        <v>8</v>
      </c>
      <c r="C21" s="1" t="s">
        <v>249</v>
      </c>
      <c r="E21" s="19">
        <v>45082535.95825012</v>
      </c>
      <c r="G21" s="4">
        <f>C.1!F19</f>
        <v>3340329.4509730991</v>
      </c>
      <c r="I21" s="4">
        <f t="shared" si="1"/>
        <v>48422865.409223221</v>
      </c>
      <c r="K21" s="19">
        <f>'A-1'!$G$37+'A-1'!$G$38</f>
        <v>15731010</v>
      </c>
      <c r="L21" s="13"/>
      <c r="M21" s="4">
        <f t="shared" si="3"/>
        <v>64153875.409223221</v>
      </c>
      <c r="Y21" s="42"/>
      <c r="Z21" s="42"/>
      <c r="AA21" s="42"/>
      <c r="AB21" s="42"/>
      <c r="AC21" s="4"/>
      <c r="AD21" s="42"/>
    </row>
    <row r="22" spans="1:30">
      <c r="A22" s="92">
        <f t="shared" si="4"/>
        <v>9</v>
      </c>
      <c r="C22" s="1" t="s">
        <v>250</v>
      </c>
      <c r="E22" s="19">
        <v>-1002535</v>
      </c>
      <c r="G22" s="4">
        <f>C.1!F20</f>
        <v>0</v>
      </c>
      <c r="I22" s="4">
        <f t="shared" si="1"/>
        <v>-1002535</v>
      </c>
      <c r="K22" s="19"/>
      <c r="L22" s="13"/>
      <c r="M22" s="4">
        <f t="shared" si="3"/>
        <v>-1002535</v>
      </c>
      <c r="Y22" s="42"/>
      <c r="Z22" s="42"/>
      <c r="AA22" s="42"/>
      <c r="AB22" s="42"/>
      <c r="AC22" s="4"/>
      <c r="AD22" s="42"/>
    </row>
    <row r="23" spans="1:30">
      <c r="A23" s="92">
        <f t="shared" si="4"/>
        <v>10</v>
      </c>
      <c r="C23" s="1" t="s">
        <v>251</v>
      </c>
      <c r="E23" s="19">
        <v>0</v>
      </c>
      <c r="G23" s="4">
        <f>C.1!F21</f>
        <v>0</v>
      </c>
      <c r="I23" s="4">
        <f t="shared" si="1"/>
        <v>0</v>
      </c>
      <c r="K23" s="19"/>
      <c r="L23" s="13"/>
      <c r="M23" s="4">
        <f t="shared" si="3"/>
        <v>0</v>
      </c>
      <c r="Y23" s="42"/>
      <c r="Z23" s="42"/>
      <c r="AA23" s="42"/>
      <c r="AB23" s="42"/>
      <c r="AC23" s="4"/>
      <c r="AD23" s="42"/>
    </row>
    <row r="24" spans="1:30">
      <c r="A24" s="92">
        <f t="shared" si="4"/>
        <v>11</v>
      </c>
      <c r="C24" s="14" t="s">
        <v>151</v>
      </c>
      <c r="E24" s="47">
        <f>SUM(E17:E23)</f>
        <v>900088776.1680088</v>
      </c>
      <c r="G24" s="47">
        <f>SUM(G17:G23)</f>
        <v>-7607376.0369746815</v>
      </c>
      <c r="I24" s="47">
        <f>SUM(I17:I23)</f>
        <v>892481400.1310339</v>
      </c>
      <c r="K24" s="47">
        <f>SUM(K17:K23)</f>
        <v>15888965</v>
      </c>
      <c r="M24" s="47">
        <f>SUM(M17:M23)</f>
        <v>908370365.1310339</v>
      </c>
      <c r="Y24" s="42"/>
      <c r="Z24" s="42"/>
      <c r="AA24" s="42"/>
      <c r="AB24" s="42"/>
      <c r="AC24" s="4"/>
    </row>
    <row r="25" spans="1:30">
      <c r="A25" s="92"/>
      <c r="C25" s="14"/>
      <c r="E25" s="88"/>
      <c r="G25" s="88"/>
      <c r="I25" s="88"/>
      <c r="J25" s="13"/>
      <c r="K25" s="88"/>
      <c r="M25" s="88"/>
      <c r="Y25" s="42"/>
      <c r="Z25" s="42"/>
      <c r="AA25" s="42"/>
      <c r="AB25" s="42"/>
      <c r="AC25" s="4"/>
    </row>
    <row r="26" spans="1:30" ht="13.5" thickBot="1">
      <c r="A26" s="87">
        <f>A24+1</f>
        <v>12</v>
      </c>
      <c r="C26" s="14" t="s">
        <v>188</v>
      </c>
      <c r="E26" s="20">
        <f>E14-E24</f>
        <v>117112876.714517</v>
      </c>
      <c r="F26" s="13"/>
      <c r="G26" s="20">
        <f>G14-G24</f>
        <v>7607376.0369746815</v>
      </c>
      <c r="H26" s="13"/>
      <c r="I26" s="20">
        <f>I14-I24</f>
        <v>124720252.7514919</v>
      </c>
      <c r="J26" s="13"/>
      <c r="K26" s="20">
        <f>K14-K24</f>
        <v>24810672.163383394</v>
      </c>
      <c r="L26" s="13"/>
      <c r="M26" s="20">
        <f>M14-M24</f>
        <v>149530924.91487527</v>
      </c>
      <c r="Y26" s="42"/>
      <c r="Z26" s="42"/>
      <c r="AA26" s="42"/>
      <c r="AB26" s="42"/>
      <c r="AC26" s="4"/>
    </row>
    <row r="27" spans="1:30" ht="13.5" thickTop="1">
      <c r="A27" s="92"/>
      <c r="E27" s="19"/>
      <c r="F27" s="13"/>
      <c r="G27" s="19"/>
      <c r="H27" s="13"/>
      <c r="I27" s="19"/>
      <c r="J27" s="13"/>
      <c r="K27" s="19"/>
      <c r="L27" s="13"/>
      <c r="M27" s="19"/>
      <c r="Y27" s="42"/>
      <c r="Z27" s="42"/>
      <c r="AA27" s="42"/>
      <c r="AB27" s="42"/>
      <c r="AC27" s="4"/>
    </row>
    <row r="28" spans="1:30" ht="13.5" thickBot="1">
      <c r="A28" s="87">
        <f>A26+1</f>
        <v>13</v>
      </c>
      <c r="C28" s="14" t="s">
        <v>252</v>
      </c>
      <c r="E28" s="20">
        <v>2404580875</v>
      </c>
      <c r="F28" s="13"/>
      <c r="G28" s="20">
        <f>B!G40</f>
        <v>-26074739.777269207</v>
      </c>
      <c r="H28" s="13"/>
      <c r="I28" s="20">
        <f t="shared" ref="I28" si="5">E28+G28</f>
        <v>2378506135.2227306</v>
      </c>
      <c r="J28" s="129"/>
      <c r="K28" s="20"/>
      <c r="L28" s="13"/>
      <c r="M28" s="20">
        <f t="shared" ref="M28" si="6">I28+K28</f>
        <v>2378506135.2227306</v>
      </c>
      <c r="Y28" s="42"/>
      <c r="Z28" s="42"/>
      <c r="AA28" s="42"/>
      <c r="AB28" s="42"/>
      <c r="AC28" s="4"/>
    </row>
    <row r="29" spans="1:30" ht="13.5" thickTop="1">
      <c r="A29" s="92"/>
      <c r="C29" s="14"/>
      <c r="E29" s="19"/>
      <c r="F29" s="13"/>
      <c r="G29" s="19"/>
      <c r="H29" s="13"/>
      <c r="I29" s="19"/>
      <c r="J29" s="129"/>
      <c r="K29" s="19"/>
      <c r="L29" s="13"/>
      <c r="M29" s="19"/>
      <c r="Y29" s="42"/>
      <c r="Z29" s="42"/>
      <c r="AA29" s="42"/>
      <c r="AB29" s="42"/>
      <c r="AC29" s="4"/>
    </row>
    <row r="30" spans="1:30" ht="13.5" thickBot="1">
      <c r="A30" s="87">
        <f>A28+1</f>
        <v>14</v>
      </c>
      <c r="C30" s="14" t="s">
        <v>253</v>
      </c>
      <c r="E30" s="130">
        <f>E26/E28</f>
        <v>4.8704070606282686E-2</v>
      </c>
      <c r="F30" s="13"/>
      <c r="G30" s="20"/>
      <c r="H30" s="13"/>
      <c r="I30" s="130">
        <f>I26/I28</f>
        <v>5.2436380509824798E-2</v>
      </c>
      <c r="J30" s="13"/>
      <c r="K30" s="20"/>
      <c r="L30" s="129"/>
      <c r="M30" s="130">
        <f>M26/M28</f>
        <v>6.2867580074950163E-2</v>
      </c>
      <c r="Y30" s="42"/>
      <c r="Z30" s="42"/>
      <c r="AA30" s="42"/>
      <c r="AB30" s="42"/>
      <c r="AC30" s="4"/>
      <c r="AD30" s="42"/>
    </row>
    <row r="31" spans="1:30" ht="13.5" thickTop="1">
      <c r="A31" s="3"/>
      <c r="E31" s="19"/>
      <c r="F31" s="13"/>
      <c r="G31" s="19"/>
      <c r="H31" s="13"/>
      <c r="I31" s="19"/>
      <c r="J31" s="13"/>
      <c r="K31" s="13"/>
      <c r="L31" s="13"/>
      <c r="M31" s="13"/>
    </row>
    <row r="32" spans="1:30" ht="13.5" thickBot="1">
      <c r="A32" s="3">
        <f>A30+1</f>
        <v>15</v>
      </c>
      <c r="C32" s="14" t="s">
        <v>254</v>
      </c>
      <c r="E32" s="20">
        <v>2380933928</v>
      </c>
      <c r="F32" s="13"/>
      <c r="G32" s="20">
        <f>B!G38</f>
        <v>-26074739.777269207</v>
      </c>
      <c r="H32" s="13"/>
      <c r="I32" s="41">
        <f>E32+G32</f>
        <v>2354859188.2227306</v>
      </c>
      <c r="J32" s="13"/>
      <c r="K32" s="13"/>
      <c r="L32" s="13"/>
      <c r="M32" s="41">
        <f>I32</f>
        <v>2354859188.2227306</v>
      </c>
    </row>
    <row r="33" spans="1:19" ht="13.5" thickTop="1">
      <c r="A33" s="3"/>
      <c r="E33" s="19"/>
      <c r="F33" s="13"/>
      <c r="G33" s="13"/>
      <c r="H33" s="13"/>
      <c r="I33" s="19"/>
      <c r="J33" s="13"/>
      <c r="K33" s="13"/>
      <c r="L33" s="13"/>
      <c r="M33" s="13"/>
    </row>
    <row r="34" spans="1:19" ht="13.5" thickBot="1">
      <c r="A34" s="3">
        <f>A32+1</f>
        <v>16</v>
      </c>
      <c r="C34" s="14" t="s">
        <v>56</v>
      </c>
      <c r="E34" s="62">
        <f>E26/E32</f>
        <v>4.9187789437270348E-2</v>
      </c>
      <c r="F34" s="13"/>
      <c r="G34" s="13"/>
      <c r="H34" s="13"/>
      <c r="I34" s="62">
        <f>I26/I32</f>
        <v>5.2962934418860651E-2</v>
      </c>
      <c r="J34" s="13"/>
      <c r="K34" s="13"/>
      <c r="L34" s="13"/>
      <c r="M34" s="62">
        <f>M26/M32</f>
        <v>6.349888165828288E-2</v>
      </c>
      <c r="S34" s="98"/>
    </row>
    <row r="35" spans="1:19" ht="13.5" thickTop="1">
      <c r="A35" s="3"/>
      <c r="E35" s="34"/>
      <c r="F35" s="13"/>
      <c r="G35" s="13"/>
      <c r="H35" s="13"/>
      <c r="I35" s="34"/>
      <c r="J35" s="13"/>
      <c r="K35" s="13"/>
      <c r="L35" s="13"/>
      <c r="M35" s="30"/>
    </row>
    <row r="36" spans="1:19">
      <c r="A36" s="2" t="s">
        <v>9</v>
      </c>
      <c r="B36" s="2"/>
      <c r="C36" s="2"/>
      <c r="D36" s="2"/>
      <c r="E36" s="2"/>
      <c r="F36" s="2"/>
      <c r="G36" s="2"/>
      <c r="H36" s="2"/>
      <c r="I36" s="2"/>
      <c r="K36" s="2"/>
      <c r="L36" s="2"/>
      <c r="M36" s="2"/>
      <c r="N36" s="2"/>
    </row>
    <row r="37" spans="1:19">
      <c r="A37" s="1" t="s">
        <v>10</v>
      </c>
      <c r="C37" s="1" t="s">
        <v>287</v>
      </c>
    </row>
    <row r="38" spans="1:19">
      <c r="A38" s="1" t="s">
        <v>30</v>
      </c>
      <c r="C38" s="1" t="s">
        <v>112</v>
      </c>
      <c r="M38" s="42"/>
    </row>
    <row r="39" spans="1:19">
      <c r="A39" s="1" t="s">
        <v>41</v>
      </c>
      <c r="C39" s="1" t="s">
        <v>42</v>
      </c>
      <c r="M39" s="42"/>
    </row>
    <row r="40" spans="1:19">
      <c r="A40" s="1" t="s">
        <v>73</v>
      </c>
      <c r="C40" s="1" t="s">
        <v>100</v>
      </c>
    </row>
    <row r="41" spans="1:19">
      <c r="A41" s="1" t="s">
        <v>74</v>
      </c>
      <c r="C41" s="1" t="s">
        <v>75</v>
      </c>
      <c r="J41"/>
      <c r="M41" s="42"/>
    </row>
    <row r="42" spans="1:19">
      <c r="C42"/>
      <c r="D42"/>
      <c r="E42"/>
      <c r="F42"/>
      <c r="G42"/>
      <c r="H42"/>
      <c r="I42"/>
      <c r="K42"/>
      <c r="L42"/>
      <c r="M42"/>
      <c r="N42"/>
    </row>
  </sheetData>
  <mergeCells count="2">
    <mergeCell ref="K6:M6"/>
    <mergeCell ref="G6:I6"/>
  </mergeCells>
  <pageMargins left="0.75" right="0.75" top="0.72" bottom="0.4" header="0.5" footer="0.3"/>
  <pageSetup scale="87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T32"/>
  <sheetViews>
    <sheetView workbookViewId="0">
      <selection activeCell="C34" sqref="C34"/>
    </sheetView>
  </sheetViews>
  <sheetFormatPr defaultColWidth="12.28515625" defaultRowHeight="12.75"/>
  <cols>
    <col min="1" max="1" width="4.28515625" style="1" customWidth="1"/>
    <col min="2" max="2" width="2" style="1" customWidth="1"/>
    <col min="3" max="3" width="29.85546875" style="1" customWidth="1"/>
    <col min="4" max="4" width="8.7109375" style="1" customWidth="1"/>
    <col min="5" max="5" width="3" style="1" customWidth="1"/>
    <col min="6" max="6" width="14.140625" style="1" bestFit="1" customWidth="1"/>
    <col min="7" max="7" width="1.42578125" style="1" customWidth="1"/>
    <col min="8" max="8" width="15.140625" style="1" bestFit="1" customWidth="1"/>
    <col min="9" max="9" width="14" style="1" bestFit="1" customWidth="1"/>
    <col min="10" max="10" width="14.140625" style="1" customWidth="1"/>
    <col min="11" max="11" width="13.28515625" style="1" bestFit="1" customWidth="1"/>
    <col min="12" max="12" width="12.28515625" style="1" customWidth="1"/>
    <col min="13" max="13" width="15.140625" style="1" customWidth="1"/>
    <col min="14" max="14" width="13.5703125" style="1" customWidth="1"/>
    <col min="15" max="15" width="15.7109375" style="1" customWidth="1"/>
    <col min="16" max="16" width="15.28515625" style="1" customWidth="1"/>
    <col min="17" max="17" width="12.85546875" style="1" customWidth="1"/>
    <col min="18" max="19" width="14.7109375" style="1" customWidth="1"/>
    <col min="20" max="16384" width="12.28515625" style="1"/>
  </cols>
  <sheetData>
    <row r="1" spans="1:19">
      <c r="A1" s="1" t="str">
        <f>Contents!A1</f>
        <v>Louisville Gas and Electric Company</v>
      </c>
      <c r="M1" s="27"/>
      <c r="S1" s="27"/>
    </row>
    <row r="2" spans="1:19">
      <c r="A2" s="1" t="s">
        <v>58</v>
      </c>
      <c r="M2" s="27"/>
      <c r="S2" s="27"/>
    </row>
    <row r="3" spans="1:19">
      <c r="M3" s="27"/>
      <c r="S3" s="27"/>
    </row>
    <row r="4" spans="1:19">
      <c r="A4" s="1" t="s">
        <v>289</v>
      </c>
      <c r="S4" s="27"/>
    </row>
    <row r="6" spans="1:19" ht="51">
      <c r="A6" s="60" t="s">
        <v>40</v>
      </c>
      <c r="C6" s="2" t="s">
        <v>3</v>
      </c>
      <c r="D6" s="2"/>
      <c r="F6" s="60" t="s">
        <v>164</v>
      </c>
      <c r="G6" s="87"/>
      <c r="H6" s="60" t="str">
        <f>Contents!$B$26</f>
        <v>Interest Synchronization</v>
      </c>
      <c r="I6" s="60" t="str">
        <f>Contents!B27</f>
        <v>Incentive Compensation Expense</v>
      </c>
      <c r="J6" s="60" t="s">
        <v>423</v>
      </c>
      <c r="K6" s="60" t="s">
        <v>394</v>
      </c>
      <c r="L6" s="60" t="s">
        <v>528</v>
      </c>
      <c r="M6" s="60" t="s">
        <v>513</v>
      </c>
      <c r="N6" s="60" t="s">
        <v>415</v>
      </c>
      <c r="O6" s="60" t="s">
        <v>450</v>
      </c>
      <c r="P6" s="60" t="s">
        <v>606</v>
      </c>
      <c r="Q6" s="83" t="s">
        <v>448</v>
      </c>
      <c r="R6" s="60" t="s">
        <v>555</v>
      </c>
      <c r="S6" s="202"/>
    </row>
    <row r="7" spans="1:19">
      <c r="F7" s="87"/>
      <c r="G7" s="87"/>
      <c r="H7" s="60" t="str">
        <f>Contents!$A$26</f>
        <v>C-1</v>
      </c>
      <c r="I7" s="60" t="str">
        <f>Contents!$A$27</f>
        <v>C-2</v>
      </c>
      <c r="J7" s="60" t="str">
        <f>Contents!$A$28</f>
        <v>C-3</v>
      </c>
      <c r="K7" s="60" t="str">
        <f>Contents!$A$29</f>
        <v>C-4</v>
      </c>
      <c r="L7" s="60" t="str">
        <f>Contents!$A$30</f>
        <v>C-5</v>
      </c>
      <c r="M7" s="60" t="str">
        <f>Contents!$A$31</f>
        <v>C-6</v>
      </c>
      <c r="N7" s="60" t="str">
        <f>Contents!$A$32</f>
        <v>C-7</v>
      </c>
      <c r="O7" s="60" t="str">
        <f>Contents!$A$33</f>
        <v>C-8</v>
      </c>
      <c r="P7" s="60" t="str">
        <f>Contents!$A$34</f>
        <v>C-9</v>
      </c>
      <c r="Q7" s="60" t="str">
        <f>Contents!$A$35</f>
        <v>C-10</v>
      </c>
      <c r="R7" s="60" t="str">
        <f>Contents!$A$36</f>
        <v>C-11</v>
      </c>
      <c r="S7" s="19"/>
    </row>
    <row r="8" spans="1:19">
      <c r="J8" s="92" t="s">
        <v>439</v>
      </c>
      <c r="L8" s="92"/>
      <c r="N8" s="92"/>
      <c r="Q8" s="92" t="s">
        <v>449</v>
      </c>
      <c r="S8" s="103"/>
    </row>
    <row r="9" spans="1:19">
      <c r="C9" s="14" t="s">
        <v>48</v>
      </c>
      <c r="S9" s="13"/>
    </row>
    <row r="10" spans="1:19">
      <c r="A10" s="87">
        <v>1</v>
      </c>
      <c r="C10" s="99" t="s">
        <v>245</v>
      </c>
      <c r="F10" s="4">
        <f>SUM(H10:R10)</f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3"/>
    </row>
    <row r="11" spans="1:19">
      <c r="A11" s="87">
        <f>A10+1</f>
        <v>2</v>
      </c>
      <c r="C11" s="99" t="s">
        <v>172</v>
      </c>
      <c r="F11" s="4">
        <f>SUM(H11:R11)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13"/>
    </row>
    <row r="12" spans="1:19">
      <c r="A12" s="87">
        <f t="shared" ref="A12" si="0">A11+1</f>
        <v>3</v>
      </c>
      <c r="C12" s="14" t="s">
        <v>149</v>
      </c>
      <c r="F12" s="47">
        <f>SUM(F10:F11)</f>
        <v>0</v>
      </c>
      <c r="H12" s="47">
        <f>SUM(H10:H11)</f>
        <v>0</v>
      </c>
      <c r="I12" s="47">
        <f t="shared" ref="I12:R12" si="1">SUM(I10:I11)</f>
        <v>0</v>
      </c>
      <c r="J12" s="47">
        <f t="shared" si="1"/>
        <v>0</v>
      </c>
      <c r="K12" s="47">
        <f t="shared" si="1"/>
        <v>0</v>
      </c>
      <c r="L12" s="47">
        <f t="shared" si="1"/>
        <v>0</v>
      </c>
      <c r="M12" s="47">
        <f t="shared" si="1"/>
        <v>0</v>
      </c>
      <c r="N12" s="47">
        <f t="shared" si="1"/>
        <v>0</v>
      </c>
      <c r="O12" s="47">
        <f t="shared" si="1"/>
        <v>0</v>
      </c>
      <c r="P12" s="47">
        <f t="shared" si="1"/>
        <v>0</v>
      </c>
      <c r="Q12" s="47">
        <f t="shared" si="1"/>
        <v>0</v>
      </c>
      <c r="R12" s="47">
        <f t="shared" si="1"/>
        <v>0</v>
      </c>
      <c r="S12" s="13"/>
    </row>
    <row r="13" spans="1:19">
      <c r="A13" s="92"/>
      <c r="F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9">
      <c r="A14" s="92"/>
      <c r="C14" s="14" t="s">
        <v>150</v>
      </c>
      <c r="F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9">
      <c r="A15" s="92">
        <f>A12+1</f>
        <v>4</v>
      </c>
      <c r="C15" s="1" t="s">
        <v>246</v>
      </c>
      <c r="F15" s="4">
        <f t="shared" ref="F15:F21" si="2">SUM(H15:R15)</f>
        <v>-10118834.487947781</v>
      </c>
      <c r="H15" s="19"/>
      <c r="I15" s="19">
        <f>'C-2 P1'!E11</f>
        <v>-2043522.8738944491</v>
      </c>
      <c r="J15" s="19">
        <f>'C-3 '!E11</f>
        <v>-3027275</v>
      </c>
      <c r="K15" s="19">
        <f>'C-4'!E14</f>
        <v>-679851</v>
      </c>
      <c r="L15" s="200">
        <f>'C-5'!I9</f>
        <v>-612137.89772000001</v>
      </c>
      <c r="M15" s="19"/>
      <c r="N15" s="19"/>
      <c r="O15" s="19">
        <f>'C-8 P1'!I15</f>
        <v>-2229820.8514999999</v>
      </c>
      <c r="P15" s="19">
        <f>'C-9'!E10</f>
        <v>-1092019.5999999999</v>
      </c>
      <c r="Q15" s="19"/>
      <c r="R15" s="19">
        <f>'C-11 '!E10</f>
        <v>-434207.26483333361</v>
      </c>
    </row>
    <row r="16" spans="1:19">
      <c r="A16" s="92">
        <f>A15+1</f>
        <v>5</v>
      </c>
      <c r="C16" s="1" t="s">
        <v>247</v>
      </c>
      <c r="F16" s="4">
        <f t="shared" si="2"/>
        <v>-685917</v>
      </c>
      <c r="H16" s="19"/>
      <c r="I16" s="19"/>
      <c r="J16" s="200">
        <f>'C-3 '!E13</f>
        <v>-473199.99999999994</v>
      </c>
      <c r="K16" s="19"/>
      <c r="L16" s="200"/>
      <c r="M16" s="19">
        <f>'C-6'!E10</f>
        <v>-73492</v>
      </c>
      <c r="N16" s="19">
        <f>'C-7'!E13</f>
        <v>-139225</v>
      </c>
      <c r="O16" s="19"/>
      <c r="P16" s="19"/>
      <c r="Q16" s="19"/>
      <c r="R16" s="19"/>
    </row>
    <row r="17" spans="1:20">
      <c r="A17" s="92">
        <f t="shared" ref="A17:A22" si="3">A16+1</f>
        <v>6</v>
      </c>
      <c r="C17" s="1" t="s">
        <v>248</v>
      </c>
      <c r="F17" s="4">
        <f t="shared" si="2"/>
        <v>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20">
      <c r="A18" s="92">
        <f t="shared" si="3"/>
        <v>7</v>
      </c>
      <c r="C18" s="1" t="s">
        <v>187</v>
      </c>
      <c r="F18" s="4">
        <f t="shared" si="2"/>
        <v>-142954</v>
      </c>
      <c r="H18" s="19"/>
      <c r="I18" s="19"/>
      <c r="J18" s="19"/>
      <c r="K18" s="19"/>
      <c r="L18" s="19"/>
      <c r="M18" s="19"/>
      <c r="N18" s="19"/>
      <c r="O18" s="19">
        <f>'C-8 P1'!I17</f>
        <v>-142954</v>
      </c>
      <c r="P18" s="19"/>
      <c r="Q18" s="19"/>
      <c r="R18" s="19"/>
    </row>
    <row r="19" spans="1:20">
      <c r="A19" s="92">
        <f t="shared" si="3"/>
        <v>8</v>
      </c>
      <c r="C19" s="1" t="s">
        <v>249</v>
      </c>
      <c r="F19" s="4">
        <f t="shared" si="2"/>
        <v>3340329.4509730991</v>
      </c>
      <c r="H19" s="4">
        <f>'C-1Int.Sync'!$I$16</f>
        <v>-904639.5490269009</v>
      </c>
      <c r="I19" s="4">
        <f>-ROUND(I15*D30,0)</f>
        <v>792375</v>
      </c>
      <c r="J19" s="4">
        <f>-ROUND(SUM(J15:J16)*D30,0)</f>
        <v>1357308</v>
      </c>
      <c r="K19" s="4">
        <f>-ROUND(K15*D30,0)</f>
        <v>263612</v>
      </c>
      <c r="L19" s="4">
        <f>-ROUND(L15*D30,0)</f>
        <v>237356</v>
      </c>
      <c r="M19" s="4">
        <f>-ROUND(M16*D30,0)</f>
        <v>28497</v>
      </c>
      <c r="N19" s="4">
        <f>-ROUND(N16*D30,0)</f>
        <v>53984</v>
      </c>
      <c r="O19" s="4">
        <f>-ROUND(SUM(O15:O18)*D30,0)</f>
        <v>920043</v>
      </c>
      <c r="P19" s="4">
        <f>-ROUND(P15*D30,0)</f>
        <v>423430</v>
      </c>
      <c r="R19" s="4">
        <f>-ROUND(R15*D30,0)</f>
        <v>168364</v>
      </c>
    </row>
    <row r="20" spans="1:20">
      <c r="A20" s="92">
        <f t="shared" si="3"/>
        <v>9</v>
      </c>
      <c r="C20" s="1" t="s">
        <v>250</v>
      </c>
      <c r="F20" s="4">
        <f t="shared" si="2"/>
        <v>0</v>
      </c>
    </row>
    <row r="21" spans="1:20">
      <c r="A21" s="92">
        <f t="shared" si="3"/>
        <v>10</v>
      </c>
      <c r="C21" s="1" t="s">
        <v>251</v>
      </c>
      <c r="F21" s="4">
        <f t="shared" si="2"/>
        <v>0</v>
      </c>
    </row>
    <row r="22" spans="1:20">
      <c r="A22" s="92">
        <f t="shared" si="3"/>
        <v>11</v>
      </c>
      <c r="C22" s="14" t="s">
        <v>151</v>
      </c>
      <c r="F22" s="48">
        <f>SUM(F15:F21)</f>
        <v>-7607376.0369746815</v>
      </c>
      <c r="H22" s="48">
        <f>SUM(H15:H21)</f>
        <v>-904639.5490269009</v>
      </c>
      <c r="I22" s="48">
        <f t="shared" ref="I22:R22" si="4">SUM(I15:I21)</f>
        <v>-1251147.8738944491</v>
      </c>
      <c r="J22" s="48">
        <f t="shared" si="4"/>
        <v>-2143167</v>
      </c>
      <c r="K22" s="48">
        <f t="shared" si="4"/>
        <v>-416239</v>
      </c>
      <c r="L22" s="48">
        <f t="shared" si="4"/>
        <v>-374781.89772000001</v>
      </c>
      <c r="M22" s="48">
        <f t="shared" si="4"/>
        <v>-44995</v>
      </c>
      <c r="N22" s="48">
        <f t="shared" si="4"/>
        <v>-85241</v>
      </c>
      <c r="O22" s="48">
        <f t="shared" si="4"/>
        <v>-1452731.8514999999</v>
      </c>
      <c r="P22" s="48">
        <f t="shared" si="4"/>
        <v>-668589.59999999986</v>
      </c>
      <c r="Q22" s="48">
        <f t="shared" si="4"/>
        <v>0</v>
      </c>
      <c r="R22" s="48">
        <f t="shared" si="4"/>
        <v>-265843.26483333361</v>
      </c>
    </row>
    <row r="23" spans="1:20">
      <c r="A23" s="87">
        <f t="shared" ref="A23:A24" si="5">A22+1</f>
        <v>12</v>
      </c>
      <c r="C23" s="14"/>
    </row>
    <row r="24" spans="1:20" ht="13.5" thickBot="1">
      <c r="A24" s="87">
        <f t="shared" si="5"/>
        <v>13</v>
      </c>
      <c r="C24" s="14" t="s">
        <v>188</v>
      </c>
      <c r="F24" s="20">
        <f>F12-F22</f>
        <v>7607376.0369746815</v>
      </c>
      <c r="H24" s="20">
        <f>H12-H22</f>
        <v>904639.5490269009</v>
      </c>
      <c r="I24" s="20">
        <f t="shared" ref="I24:R24" si="6">I12-I22</f>
        <v>1251147.8738944491</v>
      </c>
      <c r="J24" s="20">
        <f t="shared" si="6"/>
        <v>2143167</v>
      </c>
      <c r="K24" s="20">
        <f t="shared" si="6"/>
        <v>416239</v>
      </c>
      <c r="L24" s="20">
        <f t="shared" si="6"/>
        <v>374781.89772000001</v>
      </c>
      <c r="M24" s="20">
        <f t="shared" si="6"/>
        <v>44995</v>
      </c>
      <c r="N24" s="20">
        <f t="shared" si="6"/>
        <v>85241</v>
      </c>
      <c r="O24" s="20">
        <f t="shared" si="6"/>
        <v>1452731.8514999999</v>
      </c>
      <c r="P24" s="20">
        <f t="shared" si="6"/>
        <v>668589.59999999986</v>
      </c>
      <c r="Q24" s="20">
        <f t="shared" si="6"/>
        <v>0</v>
      </c>
      <c r="R24" s="20">
        <f t="shared" si="6"/>
        <v>265843.26483333361</v>
      </c>
    </row>
    <row r="25" spans="1:20" ht="13.5" thickTop="1">
      <c r="A25" s="87"/>
      <c r="F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>
      <c r="D26" s="13"/>
      <c r="E26" s="13"/>
      <c r="F26" s="103"/>
      <c r="G26" s="13"/>
      <c r="H26" s="103"/>
      <c r="I26" s="103"/>
      <c r="J26" s="103"/>
      <c r="K26" s="103"/>
      <c r="L26" s="103"/>
      <c r="M26" s="13"/>
      <c r="N26" s="13"/>
      <c r="O26" s="13"/>
      <c r="P26" s="103"/>
      <c r="Q26" s="103"/>
      <c r="R26" s="103"/>
      <c r="T26" s="13"/>
    </row>
    <row r="27" spans="1:20">
      <c r="D27" s="13"/>
      <c r="E27" s="13"/>
      <c r="F27" s="13"/>
      <c r="G27" s="13"/>
      <c r="H27" s="13"/>
      <c r="I27" s="13"/>
      <c r="J27" s="13"/>
      <c r="K27" s="13"/>
      <c r="L27" s="13"/>
      <c r="P27" s="13"/>
      <c r="Q27" s="13"/>
      <c r="R27" s="13"/>
      <c r="T27" s="13"/>
    </row>
    <row r="29" spans="1:20">
      <c r="A29" s="13" t="s">
        <v>9</v>
      </c>
      <c r="B29" s="13"/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20">
      <c r="A30" s="116" t="s">
        <v>376</v>
      </c>
      <c r="B30" s="116"/>
      <c r="C30" s="116"/>
      <c r="D30" s="173">
        <v>0.38774973800000001</v>
      </c>
      <c r="E30" s="173"/>
      <c r="F30" s="173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</row>
    <row r="31" spans="1:20">
      <c r="A31" s="13"/>
      <c r="B31" s="13"/>
      <c r="C31" s="13"/>
      <c r="F31" s="5"/>
    </row>
    <row r="32" spans="1:20">
      <c r="F32" s="42"/>
    </row>
  </sheetData>
  <pageMargins left="0.75" right="0.75" top="1" bottom="0.69" header="0.98" footer="0.5"/>
  <pageSetup scale="90" fitToWidth="3" orientation="landscape" horizontalDpi="1200" verticalDpi="1200" r:id="rId1"/>
  <headerFooter alignWithMargins="0">
    <oddHeader>&amp;RExhibit RCS-1
Schedule C.1
Case No. 2016-00371
Page &amp;P of &amp;N</oddHeader>
  </headerFooter>
  <colBreaks count="2" manualBreakCount="2">
    <brk id="11" max="1048575" man="1"/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workbookViewId="0">
      <selection activeCell="O11" sqref="O11"/>
    </sheetView>
  </sheetViews>
  <sheetFormatPr defaultRowHeight="12.75"/>
  <cols>
    <col min="1" max="1" width="5.42578125" style="1" customWidth="1"/>
    <col min="2" max="2" width="4.42578125" style="1" customWidth="1"/>
    <col min="3" max="3" width="31.7109375" style="1" customWidth="1"/>
    <col min="4" max="4" width="2.28515625" style="1" customWidth="1"/>
    <col min="5" max="5" width="16.140625" style="1" bestFit="1" customWidth="1"/>
    <col min="6" max="6" width="3.28515625" style="1" customWidth="1"/>
    <col min="7" max="7" width="9.42578125" style="1" bestFit="1" customWidth="1"/>
    <col min="8" max="8" width="2.28515625" style="1" customWidth="1"/>
    <col min="9" max="9" width="8.42578125" style="1" bestFit="1" customWidth="1"/>
    <col min="10" max="10" width="2.28515625" style="1" customWidth="1"/>
    <col min="11" max="11" width="10.85546875" style="1" customWidth="1"/>
    <col min="12" max="12" width="1.140625" style="1" customWidth="1"/>
    <col min="13" max="13" width="10.85546875" style="1" customWidth="1"/>
    <col min="14" max="14" width="1.42578125" style="1" customWidth="1"/>
    <col min="15" max="15" width="10.85546875" style="1" customWidth="1"/>
    <col min="16" max="16" width="5.5703125" style="1" customWidth="1"/>
    <col min="17" max="17" width="16.28515625" style="1" bestFit="1" customWidth="1"/>
    <col min="18" max="18" width="3.85546875" style="1" customWidth="1"/>
    <col min="19" max="19" width="14.140625" style="1" bestFit="1" customWidth="1"/>
    <col min="20" max="20" width="13" style="1" bestFit="1" customWidth="1"/>
    <col min="21" max="21" width="20.28515625" style="1" bestFit="1" customWidth="1"/>
    <col min="22" max="22" width="14.140625" style="1" bestFit="1" customWidth="1"/>
    <col min="23" max="23" width="9.28515625" style="1" bestFit="1" customWidth="1"/>
    <col min="24" max="24" width="10.85546875" style="1" bestFit="1" customWidth="1"/>
    <col min="25" max="25" width="9.140625" style="1"/>
    <col min="26" max="26" width="9.42578125" style="1" bestFit="1" customWidth="1"/>
    <col min="27" max="16384" width="9.140625" style="1"/>
  </cols>
  <sheetData>
    <row r="1" spans="1:25">
      <c r="A1" s="1" t="str">
        <f>Contents!A1</f>
        <v>Louisville Gas and Electric Company</v>
      </c>
      <c r="H1" s="10"/>
      <c r="O1" s="27" t="str">
        <f>Contents!A4</f>
        <v>Exhibit RCS-1</v>
      </c>
    </row>
    <row r="2" spans="1:25">
      <c r="A2" s="1" t="s">
        <v>17</v>
      </c>
      <c r="H2" s="10"/>
      <c r="O2" s="27" t="s">
        <v>103</v>
      </c>
    </row>
    <row r="3" spans="1:25">
      <c r="H3" s="10"/>
      <c r="O3" s="27" t="str">
        <f>Contents!A2</f>
        <v>Case No. 2016-00371</v>
      </c>
    </row>
    <row r="4" spans="1:25">
      <c r="A4" s="1" t="s">
        <v>289</v>
      </c>
      <c r="H4" s="10"/>
      <c r="O4" s="27" t="s">
        <v>186</v>
      </c>
    </row>
    <row r="6" spans="1:25">
      <c r="E6" s="92" t="s">
        <v>183</v>
      </c>
      <c r="G6" s="92" t="s">
        <v>21</v>
      </c>
    </row>
    <row r="7" spans="1:25">
      <c r="A7" s="50" t="s">
        <v>0</v>
      </c>
      <c r="E7" s="92" t="s">
        <v>208</v>
      </c>
      <c r="G7" s="50" t="s">
        <v>119</v>
      </c>
      <c r="I7" s="50" t="s">
        <v>20</v>
      </c>
      <c r="K7" s="105" t="s">
        <v>19</v>
      </c>
      <c r="L7" s="105"/>
      <c r="M7" s="105"/>
      <c r="N7" s="105"/>
      <c r="O7" s="105" t="s">
        <v>196</v>
      </c>
    </row>
    <row r="8" spans="1:25" ht="15.75">
      <c r="A8" s="51" t="s">
        <v>2</v>
      </c>
      <c r="B8" s="52"/>
      <c r="C8" s="51" t="s">
        <v>3</v>
      </c>
      <c r="D8" s="76"/>
      <c r="E8" s="77" t="s">
        <v>16</v>
      </c>
      <c r="F8" s="52"/>
      <c r="G8" s="53" t="s">
        <v>24</v>
      </c>
      <c r="I8" s="51" t="s">
        <v>23</v>
      </c>
      <c r="K8" s="11" t="s">
        <v>22</v>
      </c>
      <c r="L8" s="12"/>
      <c r="M8" s="11" t="s">
        <v>197</v>
      </c>
      <c r="N8" s="12"/>
      <c r="O8" s="11" t="s">
        <v>198</v>
      </c>
      <c r="Q8"/>
      <c r="R8"/>
      <c r="S8"/>
      <c r="T8"/>
      <c r="U8"/>
      <c r="V8"/>
      <c r="W8"/>
      <c r="X8"/>
      <c r="Y8"/>
    </row>
    <row r="9" spans="1:25">
      <c r="E9" s="92" t="s">
        <v>6</v>
      </c>
      <c r="G9" s="92" t="s">
        <v>7</v>
      </c>
      <c r="I9" s="92" t="s">
        <v>18</v>
      </c>
      <c r="K9" s="92" t="s">
        <v>38</v>
      </c>
      <c r="L9" s="92"/>
      <c r="M9" s="92" t="s">
        <v>50</v>
      </c>
      <c r="N9" s="92"/>
      <c r="O9" s="92" t="s">
        <v>238</v>
      </c>
      <c r="Q9"/>
      <c r="R9"/>
      <c r="S9"/>
      <c r="T9"/>
      <c r="U9"/>
      <c r="V9"/>
      <c r="W9"/>
      <c r="X9"/>
      <c r="Y9"/>
    </row>
    <row r="10" spans="1:25">
      <c r="C10" s="54" t="s">
        <v>122</v>
      </c>
      <c r="D10" s="54"/>
      <c r="E10" s="54"/>
      <c r="Q10"/>
      <c r="R10"/>
      <c r="S10"/>
      <c r="T10"/>
      <c r="U10"/>
      <c r="V10"/>
      <c r="W10"/>
      <c r="X10"/>
      <c r="Y10"/>
    </row>
    <row r="11" spans="1:25">
      <c r="A11" s="50">
        <v>1</v>
      </c>
      <c r="C11" s="28" t="s">
        <v>26</v>
      </c>
      <c r="D11" s="28"/>
      <c r="E11" s="78">
        <f>'Dp2'!M12</f>
        <v>1031858629.5644397</v>
      </c>
      <c r="G11" s="29">
        <f>'Dp2'!Q12</f>
        <v>0.429122031305814</v>
      </c>
      <c r="I11" s="209">
        <f>'Dp2'!S12</f>
        <v>4.1167863220251344E-2</v>
      </c>
      <c r="K11" s="29">
        <f>G11*I11</f>
        <v>1.7666037089594164E-2</v>
      </c>
      <c r="L11" s="29"/>
      <c r="M11" s="106">
        <v>1.0049999999999999</v>
      </c>
      <c r="N11" s="29"/>
      <c r="O11" s="29">
        <f>ROUND(K11*M11,4)</f>
        <v>1.78E-2</v>
      </c>
      <c r="Q11"/>
      <c r="R11"/>
      <c r="S11"/>
      <c r="T11"/>
      <c r="U11"/>
      <c r="V11"/>
      <c r="W11"/>
      <c r="X11"/>
      <c r="Y11"/>
    </row>
    <row r="12" spans="1:25">
      <c r="A12" s="50">
        <f>A11+1</f>
        <v>2</v>
      </c>
      <c r="C12" s="28" t="s">
        <v>25</v>
      </c>
      <c r="D12" s="28"/>
      <c r="E12" s="78">
        <f>'Dp2'!M13</f>
        <v>91901448.253747463</v>
      </c>
      <c r="G12" s="29">
        <f>'Dp2'!Q13</f>
        <v>3.8219320965742258E-2</v>
      </c>
      <c r="I12" s="209">
        <f>'Dp2'!S13</f>
        <v>7.1687229005509669E-3</v>
      </c>
      <c r="K12" s="29">
        <f>G12*I12</f>
        <v>2.7398372145062423E-4</v>
      </c>
      <c r="L12" s="29"/>
      <c r="M12" s="106">
        <v>1.0049999999999999</v>
      </c>
      <c r="N12" s="29"/>
      <c r="O12" s="29">
        <f t="shared" ref="O12:O13" si="0">ROUND(K12*M12,4)</f>
        <v>2.9999999999999997E-4</v>
      </c>
      <c r="Q12"/>
      <c r="R12"/>
      <c r="S12"/>
      <c r="T12"/>
      <c r="U12"/>
      <c r="V12"/>
      <c r="W12"/>
      <c r="X12"/>
      <c r="Y12"/>
    </row>
    <row r="13" spans="1:25">
      <c r="A13" s="50">
        <f>A12+1</f>
        <v>3</v>
      </c>
      <c r="C13" s="28" t="s">
        <v>27</v>
      </c>
      <c r="D13" s="28"/>
      <c r="E13" s="78">
        <f>'Dp2'!M14</f>
        <v>1280820797.2874424</v>
      </c>
      <c r="G13" s="29">
        <f>'Dp2'!Q14</f>
        <v>0.53265864772844373</v>
      </c>
      <c r="I13" s="26">
        <v>0.1023</v>
      </c>
      <c r="K13" s="29">
        <f>G13*I13</f>
        <v>5.4490979662619794E-2</v>
      </c>
      <c r="L13" s="29"/>
      <c r="M13" s="106">
        <f>'A-1'!$K$22</f>
        <v>1.6409347988751752</v>
      </c>
      <c r="N13" s="29"/>
      <c r="O13" s="29">
        <f t="shared" si="0"/>
        <v>8.9399999999999993E-2</v>
      </c>
      <c r="Q13"/>
      <c r="R13"/>
      <c r="S13"/>
      <c r="T13"/>
      <c r="U13"/>
      <c r="V13"/>
      <c r="W13"/>
      <c r="X13"/>
      <c r="Y13"/>
    </row>
    <row r="14" spans="1:25" ht="13.5" thickBot="1">
      <c r="A14" s="50">
        <f t="shared" ref="A14" si="1">A13+1</f>
        <v>4</v>
      </c>
      <c r="C14" s="28" t="s">
        <v>28</v>
      </c>
      <c r="D14" s="28"/>
      <c r="E14" s="94">
        <f>SUM(E11:E13)</f>
        <v>2404580875.1056299</v>
      </c>
      <c r="G14" s="32">
        <f>SUM(G11:G13)</f>
        <v>1</v>
      </c>
      <c r="I14" s="210"/>
      <c r="K14" s="95">
        <f>SUM(K10:K13)</f>
        <v>7.2431000473664575E-2</v>
      </c>
      <c r="L14" s="104"/>
      <c r="M14" s="104"/>
      <c r="N14" s="104"/>
      <c r="O14" s="95">
        <f>ROUND(SUM(O10:O13),4)</f>
        <v>0.1075</v>
      </c>
      <c r="Q14"/>
      <c r="R14"/>
      <c r="S14"/>
      <c r="T14"/>
      <c r="U14"/>
      <c r="V14"/>
      <c r="W14"/>
      <c r="X14"/>
      <c r="Y14"/>
    </row>
    <row r="15" spans="1:25" ht="12" customHeight="1" thickTop="1">
      <c r="I15" s="12"/>
      <c r="J15" s="13"/>
      <c r="K15" s="13"/>
      <c r="L15" s="13"/>
      <c r="M15" s="13"/>
      <c r="N15" s="13"/>
      <c r="O15" s="13"/>
      <c r="Q15"/>
      <c r="R15"/>
      <c r="S15"/>
      <c r="T15"/>
      <c r="U15"/>
      <c r="V15"/>
      <c r="W15"/>
      <c r="X15"/>
      <c r="Y15"/>
    </row>
    <row r="16" spans="1:25">
      <c r="C16" s="55" t="s">
        <v>163</v>
      </c>
      <c r="D16" s="55"/>
      <c r="E16" s="55"/>
      <c r="I16" s="92"/>
      <c r="Q16"/>
      <c r="R16"/>
      <c r="S16"/>
      <c r="T16"/>
      <c r="U16"/>
      <c r="V16"/>
      <c r="W16"/>
      <c r="X16"/>
      <c r="Y16"/>
    </row>
    <row r="17" spans="1:25">
      <c r="A17" s="56">
        <f>A14+1</f>
        <v>5</v>
      </c>
      <c r="C17" s="28" t="s">
        <v>26</v>
      </c>
      <c r="D17" s="28"/>
      <c r="E17" s="78">
        <f>'Dp2'!O19</f>
        <v>1091972166.5785</v>
      </c>
      <c r="G17" s="29">
        <f>'Dp2'!Q19</f>
        <v>0.45910000000000001</v>
      </c>
      <c r="I17" s="209">
        <f>'Dp2'!S19</f>
        <v>4.1000000000000002E-2</v>
      </c>
      <c r="K17" s="29">
        <f>G17*I17</f>
        <v>1.8823100000000002E-2</v>
      </c>
      <c r="L17" s="29"/>
      <c r="M17" s="106">
        <v>1.0049999999999999</v>
      </c>
      <c r="N17" s="29"/>
      <c r="O17" s="29">
        <f>ROUND(K17*M17,4)</f>
        <v>1.89E-2</v>
      </c>
      <c r="Q17"/>
      <c r="R17"/>
      <c r="S17"/>
      <c r="T17"/>
      <c r="U17"/>
      <c r="V17"/>
      <c r="W17"/>
      <c r="X17"/>
      <c r="Y17"/>
    </row>
    <row r="18" spans="1:25">
      <c r="A18" s="50">
        <f t="shared" ref="A18:A20" si="2">A17+1</f>
        <v>6</v>
      </c>
      <c r="C18" s="28" t="s">
        <v>25</v>
      </c>
      <c r="D18" s="28"/>
      <c r="E18" s="78">
        <f>'Dp2'!O20</f>
        <v>97280900.921499997</v>
      </c>
      <c r="G18" s="29">
        <f>'Dp2'!Q20</f>
        <v>4.0899999999999999E-2</v>
      </c>
      <c r="I18" s="209">
        <v>7.1999999999999998E-3</v>
      </c>
      <c r="K18" s="29">
        <f>G18*I18</f>
        <v>2.9447999999999996E-4</v>
      </c>
      <c r="L18" s="29"/>
      <c r="M18" s="106">
        <v>1.0049999999999999</v>
      </c>
      <c r="N18" s="29"/>
      <c r="O18" s="29">
        <f t="shared" ref="O18:O19" si="3">ROUND(K18*M18,4)</f>
        <v>2.9999999999999997E-4</v>
      </c>
      <c r="Q18"/>
      <c r="R18"/>
      <c r="S18"/>
      <c r="T18"/>
      <c r="U18"/>
      <c r="V18"/>
      <c r="W18"/>
      <c r="X18"/>
      <c r="Y18"/>
    </row>
    <row r="19" spans="1:25">
      <c r="A19" s="50">
        <f t="shared" si="2"/>
        <v>7</v>
      </c>
      <c r="C19" s="28" t="s">
        <v>27</v>
      </c>
      <c r="D19" s="28"/>
      <c r="E19" s="78">
        <f>'Dp2'!O21</f>
        <v>1189253067.5</v>
      </c>
      <c r="G19" s="29">
        <f>'Dp2'!Q21</f>
        <v>0.5</v>
      </c>
      <c r="I19" s="210">
        <f>'Dp2'!S21</f>
        <v>8.7499999999999994E-2</v>
      </c>
      <c r="K19" s="29">
        <f>G19*I19</f>
        <v>4.3749999999999997E-2</v>
      </c>
      <c r="L19" s="29"/>
      <c r="M19" s="106">
        <f>'A-1'!$O$22</f>
        <v>1.6404084974767768</v>
      </c>
      <c r="N19" s="29"/>
      <c r="O19" s="29">
        <f t="shared" si="3"/>
        <v>7.1800000000000003E-2</v>
      </c>
      <c r="Q19"/>
      <c r="R19"/>
      <c r="S19"/>
      <c r="T19"/>
      <c r="U19"/>
      <c r="V19"/>
      <c r="W19"/>
      <c r="X19"/>
      <c r="Y19"/>
    </row>
    <row r="20" spans="1:25" ht="13.5" thickBot="1">
      <c r="A20" s="50">
        <f t="shared" si="2"/>
        <v>8</v>
      </c>
      <c r="C20" s="28" t="s">
        <v>28</v>
      </c>
      <c r="D20" s="28"/>
      <c r="E20" s="94">
        <f>SUM(E17:E19)</f>
        <v>2378506135</v>
      </c>
      <c r="G20" s="32">
        <f>SUM(G17:G19)</f>
        <v>1</v>
      </c>
      <c r="I20" s="31"/>
      <c r="K20" s="95">
        <f>SUM(K16:K19)</f>
        <v>6.2867580000000006E-2</v>
      </c>
      <c r="L20" s="104"/>
      <c r="M20" s="104"/>
      <c r="N20" s="104"/>
      <c r="O20" s="95">
        <f>ROUND(SUM(O16:O19),4)</f>
        <v>9.0999999999999998E-2</v>
      </c>
      <c r="Q20"/>
      <c r="R20"/>
      <c r="S20"/>
      <c r="T20"/>
      <c r="U20"/>
      <c r="V20"/>
      <c r="W20"/>
      <c r="X20"/>
      <c r="Y20"/>
    </row>
    <row r="21" spans="1:25" ht="13.5" thickTop="1">
      <c r="A21" s="50"/>
      <c r="C21" s="28"/>
      <c r="D21" s="28"/>
      <c r="E21" s="28"/>
      <c r="I21" s="31"/>
      <c r="K21" s="57"/>
      <c r="L21" s="104"/>
      <c r="M21" s="104"/>
      <c r="N21" s="104"/>
      <c r="O21" s="104"/>
      <c r="Q21"/>
      <c r="R21"/>
      <c r="S21"/>
      <c r="T21"/>
      <c r="U21"/>
      <c r="V21"/>
      <c r="W21"/>
      <c r="X21"/>
      <c r="Y21"/>
    </row>
    <row r="22" spans="1:25" ht="13.5" thickBot="1">
      <c r="A22" s="56">
        <f>A20+1</f>
        <v>9</v>
      </c>
      <c r="C22" s="28" t="s">
        <v>29</v>
      </c>
      <c r="D22" s="28"/>
      <c r="E22" s="28"/>
      <c r="G22" s="1" t="s">
        <v>302</v>
      </c>
      <c r="K22" s="58">
        <f>K20-K14</f>
        <v>-9.5634204736645689E-3</v>
      </c>
      <c r="L22" s="33"/>
      <c r="M22" s="33"/>
      <c r="N22" s="33"/>
      <c r="O22" s="58">
        <f>O20-O14</f>
        <v>-1.6500000000000001E-2</v>
      </c>
      <c r="Q22"/>
      <c r="R22"/>
      <c r="S22"/>
      <c r="T22"/>
      <c r="U22"/>
      <c r="V22"/>
      <c r="W22"/>
      <c r="X22"/>
      <c r="Y22"/>
    </row>
    <row r="23" spans="1:25" ht="14.25" customHeight="1" thickTop="1">
      <c r="A23" s="56"/>
      <c r="C23" s="28"/>
      <c r="D23" s="28"/>
      <c r="E23" s="28"/>
      <c r="K23" s="33"/>
      <c r="L23" s="33"/>
      <c r="M23" s="33"/>
      <c r="N23" s="33"/>
      <c r="O23" s="33"/>
      <c r="Q23"/>
      <c r="R23"/>
      <c r="S23"/>
      <c r="T23"/>
      <c r="U23"/>
      <c r="V23"/>
      <c r="W23"/>
      <c r="X23"/>
      <c r="Y23"/>
    </row>
    <row r="24" spans="1:25" ht="13.5" thickBot="1">
      <c r="A24" s="56">
        <f>A22+1</f>
        <v>10</v>
      </c>
      <c r="C24" s="118" t="s">
        <v>177</v>
      </c>
      <c r="D24" s="118"/>
      <c r="E24" s="118"/>
      <c r="F24" s="118"/>
      <c r="G24" s="118" t="s">
        <v>301</v>
      </c>
      <c r="H24" s="118"/>
      <c r="I24" s="118"/>
      <c r="J24" s="118"/>
      <c r="K24" s="121">
        <f>SUM(K17:K18)</f>
        <v>1.9117580000000002E-2</v>
      </c>
      <c r="L24" s="35"/>
      <c r="M24" s="35"/>
      <c r="N24" s="35"/>
      <c r="O24" s="120"/>
    </row>
    <row r="25" spans="1:25" ht="12.75" customHeight="1" thickTop="1">
      <c r="A25" s="56"/>
      <c r="C25" s="118"/>
      <c r="D25" s="118"/>
      <c r="E25" s="118"/>
      <c r="F25" s="118"/>
      <c r="G25" s="118"/>
      <c r="H25" s="118"/>
      <c r="I25" s="118"/>
      <c r="J25" s="118"/>
      <c r="K25" s="120"/>
      <c r="L25" s="35"/>
      <c r="M25" s="35"/>
      <c r="N25" s="35"/>
      <c r="O25" s="35"/>
    </row>
    <row r="26" spans="1:25" ht="15" customHeight="1"/>
    <row r="27" spans="1:25" ht="15.75" customHeight="1">
      <c r="A27" s="2" t="s">
        <v>39</v>
      </c>
      <c r="B27" s="2"/>
      <c r="C27" s="59"/>
      <c r="D27" s="59"/>
      <c r="E27" s="59"/>
      <c r="F27" s="2"/>
      <c r="G27" s="2"/>
      <c r="H27" s="2"/>
      <c r="I27" s="2"/>
      <c r="J27" s="2"/>
      <c r="K27" s="2"/>
      <c r="L27" s="2"/>
      <c r="M27" s="2"/>
      <c r="N27" s="2"/>
      <c r="O27" s="2"/>
      <c r="P27" s="13"/>
      <c r="Q27" s="13"/>
      <c r="R27" s="13"/>
      <c r="S27" s="13"/>
    </row>
    <row r="28" spans="1:25">
      <c r="A28" s="13" t="s">
        <v>288</v>
      </c>
      <c r="B28" s="13"/>
      <c r="D28" s="49"/>
      <c r="E28" s="49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25" s="118" customFormat="1">
      <c r="A29" s="123" t="s">
        <v>608</v>
      </c>
      <c r="B29" s="49"/>
      <c r="C29" s="49"/>
      <c r="D29" s="119"/>
      <c r="E29" s="11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25">
      <c r="A30" s="49" t="s">
        <v>607</v>
      </c>
      <c r="B30"/>
      <c r="C30"/>
      <c r="D30"/>
      <c r="E30"/>
      <c r="F30"/>
      <c r="G30"/>
      <c r="H30"/>
      <c r="I30"/>
      <c r="J30"/>
      <c r="K30"/>
      <c r="L30"/>
      <c r="M30" s="13"/>
      <c r="N30" s="13"/>
      <c r="O30" s="13"/>
      <c r="P30" s="13"/>
      <c r="Q30" s="13"/>
      <c r="R30" s="13"/>
      <c r="S30" s="13"/>
    </row>
    <row r="31" spans="1:25">
      <c r="A31"/>
      <c r="B31"/>
      <c r="C31"/>
      <c r="D31"/>
      <c r="E31"/>
      <c r="F31"/>
      <c r="G31"/>
      <c r="H31"/>
      <c r="I31"/>
      <c r="J31"/>
      <c r="K31"/>
      <c r="L31"/>
      <c r="M31" s="13"/>
      <c r="N31" s="13"/>
      <c r="O31" s="13"/>
      <c r="P31" s="13"/>
      <c r="Q31" s="13"/>
      <c r="R31" s="13"/>
      <c r="S31" s="13"/>
    </row>
    <row r="32" spans="1:25">
      <c r="A32" s="13"/>
      <c r="B32" s="13"/>
      <c r="C32" s="13"/>
      <c r="D32" s="13"/>
      <c r="E32" s="49"/>
      <c r="F32" s="49"/>
      <c r="G32" s="49"/>
      <c r="H32" s="13"/>
      <c r="I32" s="96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>
      <c r="A33" s="123"/>
      <c r="B33" s="13"/>
      <c r="C33" s="13"/>
      <c r="D33" s="13"/>
      <c r="E33" s="49"/>
      <c r="F33" s="49"/>
      <c r="G33" s="49"/>
      <c r="H33" s="13"/>
      <c r="I33" s="96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>
      <c r="C34" s="49"/>
      <c r="D34" s="49"/>
      <c r="E34" s="49"/>
      <c r="F34" s="13"/>
      <c r="G34" s="13"/>
      <c r="H34" s="13"/>
      <c r="I34" s="33"/>
      <c r="J34" s="13"/>
      <c r="K34" s="13"/>
      <c r="L34" s="13"/>
      <c r="M34" s="13"/>
      <c r="N34" s="13"/>
      <c r="O34" s="1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13</vt:i4>
      </vt:variant>
    </vt:vector>
  </HeadingPairs>
  <TitlesOfParts>
    <vt:vector size="45" baseType="lpstr">
      <vt:lpstr>Contents</vt:lpstr>
      <vt:lpstr>A</vt:lpstr>
      <vt:lpstr>Ap2</vt:lpstr>
      <vt:lpstr>A-1</vt:lpstr>
      <vt:lpstr>B</vt:lpstr>
      <vt:lpstr>B.1</vt:lpstr>
      <vt:lpstr>C</vt:lpstr>
      <vt:lpstr>C.1</vt:lpstr>
      <vt:lpstr>Dp1</vt:lpstr>
      <vt:lpstr>Dp2</vt:lpstr>
      <vt:lpstr>Dp3</vt:lpstr>
      <vt:lpstr>B-1</vt:lpstr>
      <vt:lpstr>B-2</vt:lpstr>
      <vt:lpstr>B-3</vt:lpstr>
      <vt:lpstr>B-3, P2</vt:lpstr>
      <vt:lpstr>B-4</vt:lpstr>
      <vt:lpstr>B-5</vt:lpstr>
      <vt:lpstr>C-1Int.Sync</vt:lpstr>
      <vt:lpstr>C-2 P1</vt:lpstr>
      <vt:lpstr>C-2 P2</vt:lpstr>
      <vt:lpstr>C-2 P3</vt:lpstr>
      <vt:lpstr>C-3 </vt:lpstr>
      <vt:lpstr>C-4</vt:lpstr>
      <vt:lpstr>C-5</vt:lpstr>
      <vt:lpstr>C-6</vt:lpstr>
      <vt:lpstr>C-7</vt:lpstr>
      <vt:lpstr>C-8 P1</vt:lpstr>
      <vt:lpstr>C-8 P2</vt:lpstr>
      <vt:lpstr>C-8 P3</vt:lpstr>
      <vt:lpstr>C-9</vt:lpstr>
      <vt:lpstr>C-10</vt:lpstr>
      <vt:lpstr>C-11 </vt:lpstr>
      <vt:lpstr>A!Print_Area</vt:lpstr>
      <vt:lpstr>'A-1'!Print_Area</vt:lpstr>
      <vt:lpstr>'Ap2'!Print_Area</vt:lpstr>
      <vt:lpstr>'B-1'!Print_Area</vt:lpstr>
      <vt:lpstr>'B-3, P2'!Print_Area</vt:lpstr>
      <vt:lpstr>'C'!Print_Area</vt:lpstr>
      <vt:lpstr>'C-1Int.Sync'!Print_Area</vt:lpstr>
      <vt:lpstr>'C-8 P2'!Print_Area</vt:lpstr>
      <vt:lpstr>'C-8 P3'!Print_Area</vt:lpstr>
      <vt:lpstr>Contents!Print_Area</vt:lpstr>
      <vt:lpstr>'Dp2'!Print_Area</vt:lpstr>
      <vt:lpstr>'Dp3'!Print_Area</vt:lpstr>
      <vt:lpstr>C.1!Print_Titles</vt:lpstr>
    </vt:vector>
  </TitlesOfParts>
  <Company>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Mark</cp:lastModifiedBy>
  <cp:lastPrinted>2017-03-01T22:02:08Z</cp:lastPrinted>
  <dcterms:created xsi:type="dcterms:W3CDTF">2005-05-02T15:31:48Z</dcterms:created>
  <dcterms:modified xsi:type="dcterms:W3CDTF">2017-03-01T23:06:30Z</dcterms:modified>
</cp:coreProperties>
</file>