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CN2016\CNs-00370-00371 - K L 2016 Rate Case\DR1 - PSC1\LGE\SRR Assigned\LGE PSC 1-54\8-GarrettSchedules\"/>
    </mc:Choice>
  </mc:AlternateContent>
  <bookViews>
    <workbookView xWindow="1296" yWindow="3552" windowWidth="23280" windowHeight="7776" tabRatio="852"/>
  </bookViews>
  <sheets>
    <sheet name="INPUT" sheetId="1" r:id="rId1"/>
    <sheet name="Rate Case Constants" sheetId="8" r:id="rId2"/>
    <sheet name="SCHEDULES===&gt;" sheetId="14" r:id="rId3"/>
    <sheet name="RGS_VFD" sheetId="2" r:id="rId4"/>
    <sheet name="CGS less than 5000cfh" sheetId="3" r:id="rId5"/>
    <sheet name="CGS greater than 5000cfh" sheetId="10" r:id="rId6"/>
    <sheet name="IGS less than 5000cfh" sheetId="11" r:id="rId7"/>
    <sheet name="IGS greater than 5000cfh" sheetId="4" r:id="rId8"/>
    <sheet name="AAGS" sheetId="5" r:id="rId9"/>
    <sheet name="DGGS less than 5000cfh" sheetId="12" r:id="rId10"/>
    <sheet name="DGGS greater than 5000cfh" sheetId="13" r:id="rId11"/>
    <sheet name="FT" sheetId="7" r:id="rId12"/>
    <sheet name="SGSS" sheetId="16" r:id="rId13"/>
    <sheet name="LGDS" sheetId="17" r:id="rId14"/>
  </sheets>
  <definedNames>
    <definedName name="_xlnm.Print_Area" localSheetId="8">AAGS!$A$1:$M$39</definedName>
    <definedName name="_xlnm.Print_Area" localSheetId="5">'CGS greater than 5000cfh'!$A$1:$M$39</definedName>
    <definedName name="_xlnm.Print_Area" localSheetId="4">'CGS less than 5000cfh'!$A$1:$M$39</definedName>
    <definedName name="_xlnm.Print_Area" localSheetId="10">'DGGS greater than 5000cfh'!$A$1:$N$40</definedName>
    <definedName name="_xlnm.Print_Area" localSheetId="9">'DGGS less than 5000cfh'!$A$1:$N$40</definedName>
    <definedName name="_xlnm.Print_Area" localSheetId="11">FT!$A$1:$L$39</definedName>
    <definedName name="_xlnm.Print_Area" localSheetId="7">'IGS greater than 5000cfh'!$A$1:$M$39</definedName>
    <definedName name="_xlnm.Print_Area" localSheetId="6">'IGS less than 5000cfh'!$A$1:$M$39</definedName>
    <definedName name="_xlnm.Print_Area" localSheetId="13">LGDS!$A$1:$M$39</definedName>
    <definedName name="_xlnm.Print_Area" localSheetId="3">RGS_VFD!$A$1:$M$39</definedName>
    <definedName name="_xlnm.Print_Area" localSheetId="12">SGSS!$A$1:$M$39</definedName>
  </definedNames>
  <calcPr calcId="152511"/>
</workbook>
</file>

<file path=xl/calcChain.xml><?xml version="1.0" encoding="utf-8"?>
<calcChain xmlns="http://schemas.openxmlformats.org/spreadsheetml/2006/main">
  <c r="W22" i="2" l="1"/>
  <c r="X22" i="2"/>
  <c r="W20" i="17" l="1"/>
  <c r="D55" i="1" l="1"/>
  <c r="D57" i="1" s="1"/>
  <c r="E55" i="1"/>
  <c r="E57" i="1" s="1"/>
  <c r="F55" i="1"/>
  <c r="F57" i="1"/>
  <c r="D60" i="1"/>
  <c r="G60" i="1"/>
  <c r="H60" i="1"/>
  <c r="L47" i="1"/>
  <c r="L18" i="16" l="1"/>
  <c r="S12" i="2"/>
  <c r="S11" i="2"/>
  <c r="S10" i="2"/>
  <c r="D49" i="1" l="1"/>
  <c r="E49" i="1"/>
  <c r="F49" i="1"/>
  <c r="G49" i="1"/>
  <c r="H49" i="1"/>
  <c r="I49" i="1"/>
  <c r="C49" i="1"/>
  <c r="S10" i="17"/>
  <c r="F18" i="17"/>
  <c r="F18" i="16"/>
  <c r="S12" i="16"/>
  <c r="S11" i="16"/>
  <c r="S10" i="16"/>
  <c r="R12" i="7"/>
  <c r="T12" i="13"/>
  <c r="L40" i="1" l="1"/>
  <c r="J40" i="1"/>
  <c r="T12" i="12"/>
  <c r="Y20" i="11" l="1"/>
  <c r="Y20" i="3"/>
  <c r="Y20" i="5"/>
  <c r="Y20" i="4"/>
  <c r="Y20" i="10"/>
  <c r="A22" i="2"/>
  <c r="M8" i="17" l="1"/>
  <c r="Y18" i="17" l="1"/>
  <c r="X18" i="17"/>
  <c r="A39" i="17" l="1"/>
  <c r="Y32" i="17"/>
  <c r="W32" i="17"/>
  <c r="H32" i="17"/>
  <c r="W30" i="17"/>
  <c r="I30" i="17"/>
  <c r="H30" i="17"/>
  <c r="W28" i="17"/>
  <c r="X26" i="17"/>
  <c r="Y24" i="17"/>
  <c r="W24" i="17"/>
  <c r="H24" i="17"/>
  <c r="W22" i="17"/>
  <c r="H22" i="17"/>
  <c r="W34" i="17"/>
  <c r="R20" i="17"/>
  <c r="R34" i="17" s="1"/>
  <c r="Y30" i="17"/>
  <c r="T18" i="17"/>
  <c r="T30" i="17" s="1"/>
  <c r="S18" i="17"/>
  <c r="S32" i="17" s="1"/>
  <c r="M18" i="17"/>
  <c r="L18" i="17"/>
  <c r="K18" i="17"/>
  <c r="G18" i="17"/>
  <c r="S12" i="17"/>
  <c r="J20" i="17" s="1"/>
  <c r="S11" i="17"/>
  <c r="I34" i="17" s="1"/>
  <c r="H28" i="17"/>
  <c r="M9" i="17"/>
  <c r="A9" i="17"/>
  <c r="A8" i="17"/>
  <c r="M7" i="17"/>
  <c r="A7" i="17"/>
  <c r="A4" i="17"/>
  <c r="A3" i="17"/>
  <c r="A2" i="17"/>
  <c r="A1" i="17"/>
  <c r="I24" i="17" l="1"/>
  <c r="T34" i="17"/>
  <c r="I22" i="17"/>
  <c r="I32" i="17"/>
  <c r="S28" i="17"/>
  <c r="S20" i="17"/>
  <c r="U20" i="17" s="1"/>
  <c r="D20" i="17" s="1"/>
  <c r="K20" i="17" s="1"/>
  <c r="T24" i="17"/>
  <c r="S26" i="17"/>
  <c r="I28" i="17"/>
  <c r="R30" i="17"/>
  <c r="R32" i="17"/>
  <c r="R22" i="17"/>
  <c r="R24" i="17"/>
  <c r="T28" i="17"/>
  <c r="T20" i="17"/>
  <c r="T26" i="17"/>
  <c r="R28" i="17"/>
  <c r="T32" i="17"/>
  <c r="U32" i="17" s="1"/>
  <c r="D32" i="17" s="1"/>
  <c r="K32" i="17" s="1"/>
  <c r="S34" i="17"/>
  <c r="U34" i="17" s="1"/>
  <c r="D34" i="17" s="1"/>
  <c r="K34" i="17" s="1"/>
  <c r="J32" i="17"/>
  <c r="J24" i="17"/>
  <c r="J30" i="17"/>
  <c r="J22" i="17"/>
  <c r="J28" i="17"/>
  <c r="J34" i="17"/>
  <c r="X32" i="17"/>
  <c r="Z32" i="17" s="1"/>
  <c r="E32" i="17" s="1"/>
  <c r="X24" i="17"/>
  <c r="Z24" i="17" s="1"/>
  <c r="E24" i="17" s="1"/>
  <c r="X30" i="17"/>
  <c r="Z30" i="17" s="1"/>
  <c r="E30" i="17" s="1"/>
  <c r="X22" i="17"/>
  <c r="X28" i="17"/>
  <c r="X34" i="17"/>
  <c r="X20" i="17"/>
  <c r="J26" i="17"/>
  <c r="Y20" i="17"/>
  <c r="Y26" i="17"/>
  <c r="Y34" i="17"/>
  <c r="H20" i="17"/>
  <c r="S22" i="17"/>
  <c r="H26" i="17"/>
  <c r="Y28" i="17"/>
  <c r="Z28" i="17" s="1"/>
  <c r="E28" i="17" s="1"/>
  <c r="S30" i="17"/>
  <c r="H34" i="17"/>
  <c r="I20" i="17"/>
  <c r="T22" i="17"/>
  <c r="Y22" i="17"/>
  <c r="S24" i="17"/>
  <c r="U24" i="17" s="1"/>
  <c r="D24" i="17" s="1"/>
  <c r="K24" i="17" s="1"/>
  <c r="I26" i="17"/>
  <c r="R26" i="17"/>
  <c r="W26" i="17"/>
  <c r="M7" i="16"/>
  <c r="M9" i="16"/>
  <c r="M18" i="16"/>
  <c r="K18" i="16"/>
  <c r="Z34" i="17" l="1"/>
  <c r="E34" i="17" s="1"/>
  <c r="F34" i="17" s="1"/>
  <c r="U26" i="17"/>
  <c r="D26" i="17" s="1"/>
  <c r="K26" i="17" s="1"/>
  <c r="U30" i="17"/>
  <c r="D30" i="17" s="1"/>
  <c r="K30" i="17" s="1"/>
  <c r="F32" i="17"/>
  <c r="U28" i="17"/>
  <c r="D28" i="17" s="1"/>
  <c r="K28" i="17" s="1"/>
  <c r="F24" i="17"/>
  <c r="Z20" i="17"/>
  <c r="E20" i="17" s="1"/>
  <c r="F20" i="17" s="1"/>
  <c r="L24" i="17"/>
  <c r="Z22" i="17"/>
  <c r="E22" i="17" s="1"/>
  <c r="L28" i="17"/>
  <c r="L32" i="17"/>
  <c r="Z26" i="17"/>
  <c r="E26" i="17" s="1"/>
  <c r="U22" i="17"/>
  <c r="D22" i="17" s="1"/>
  <c r="K22" i="17" s="1"/>
  <c r="L30" i="17"/>
  <c r="L34" i="17" l="1"/>
  <c r="F22" i="17"/>
  <c r="F28" i="17"/>
  <c r="F26" i="17"/>
  <c r="L20" i="17"/>
  <c r="F30" i="17"/>
  <c r="L26" i="17"/>
  <c r="L22" i="17"/>
  <c r="L18" i="5"/>
  <c r="K18" i="5"/>
  <c r="L18" i="4"/>
  <c r="K18" i="4"/>
  <c r="L18" i="11"/>
  <c r="K18" i="11"/>
  <c r="L18" i="10"/>
  <c r="K18" i="10"/>
  <c r="L18" i="3"/>
  <c r="K18" i="3"/>
  <c r="K18" i="2"/>
  <c r="L18" i="2"/>
  <c r="F18" i="5"/>
  <c r="F18" i="4"/>
  <c r="F18" i="11"/>
  <c r="F18" i="10"/>
  <c r="F18" i="3"/>
  <c r="F18" i="2" l="1"/>
  <c r="H20" i="16" l="1"/>
  <c r="Y18" i="16"/>
  <c r="Y34" i="16" s="1"/>
  <c r="T18" i="16"/>
  <c r="T34" i="16" s="1"/>
  <c r="X18" i="16"/>
  <c r="X32" i="16" s="1"/>
  <c r="W20" i="16"/>
  <c r="W24" i="16" s="1"/>
  <c r="R20" i="16"/>
  <c r="R32" i="16" s="1"/>
  <c r="S18" i="16"/>
  <c r="S30" i="16" s="1"/>
  <c r="A39" i="16"/>
  <c r="G18" i="16"/>
  <c r="I34" i="16"/>
  <c r="A9" i="16"/>
  <c r="A8" i="16"/>
  <c r="A7" i="16"/>
  <c r="A4" i="16"/>
  <c r="A3" i="16"/>
  <c r="A2" i="16"/>
  <c r="A1" i="16"/>
  <c r="J34" i="16"/>
  <c r="J47" i="1"/>
  <c r="H47" i="1"/>
  <c r="I47" i="1"/>
  <c r="S24" i="16" l="1"/>
  <c r="Y24" i="16"/>
  <c r="T28" i="16"/>
  <c r="S32" i="16"/>
  <c r="U32" i="16" s="1"/>
  <c r="D32" i="16" s="1"/>
  <c r="K32" i="16" s="1"/>
  <c r="T30" i="16"/>
  <c r="Y28" i="16"/>
  <c r="T20" i="16"/>
  <c r="Y20" i="16"/>
  <c r="Y30" i="16"/>
  <c r="T22" i="16"/>
  <c r="Y22" i="16"/>
  <c r="Y32" i="16"/>
  <c r="T24" i="16"/>
  <c r="T32" i="16"/>
  <c r="T26" i="16"/>
  <c r="Y26" i="16"/>
  <c r="W28" i="16"/>
  <c r="J20" i="16"/>
  <c r="H30" i="16"/>
  <c r="J32" i="16"/>
  <c r="J26" i="16"/>
  <c r="H28" i="16"/>
  <c r="H22" i="16"/>
  <c r="W34" i="16"/>
  <c r="X26" i="16"/>
  <c r="R34" i="16"/>
  <c r="X34" i="16"/>
  <c r="S20" i="16"/>
  <c r="U20" i="16" s="1"/>
  <c r="I22" i="16"/>
  <c r="W22" i="16"/>
  <c r="H24" i="16"/>
  <c r="S26" i="16"/>
  <c r="J28" i="16"/>
  <c r="R28" i="16"/>
  <c r="X28" i="16"/>
  <c r="I30" i="16"/>
  <c r="W30" i="16"/>
  <c r="H32" i="16"/>
  <c r="S34" i="16"/>
  <c r="X20" i="16"/>
  <c r="J22" i="16"/>
  <c r="R22" i="16"/>
  <c r="X22" i="16"/>
  <c r="I24" i="16"/>
  <c r="H26" i="16"/>
  <c r="S28" i="16"/>
  <c r="J30" i="16"/>
  <c r="R30" i="16"/>
  <c r="X30" i="16"/>
  <c r="I32" i="16"/>
  <c r="W32" i="16"/>
  <c r="H34" i="16"/>
  <c r="R26" i="16"/>
  <c r="I28" i="16"/>
  <c r="I20" i="16"/>
  <c r="S22" i="16"/>
  <c r="J24" i="16"/>
  <c r="R24" i="16"/>
  <c r="X24" i="16"/>
  <c r="I26" i="16"/>
  <c r="W26" i="16"/>
  <c r="U22" i="16" l="1"/>
  <c r="U34" i="16"/>
  <c r="Z34" i="16"/>
  <c r="U28" i="16"/>
  <c r="D28" i="16" s="1"/>
  <c r="K28" i="16" s="1"/>
  <c r="Z22" i="16"/>
  <c r="Z30" i="16"/>
  <c r="E30" i="16" s="1"/>
  <c r="Z28" i="16"/>
  <c r="E28" i="16" s="1"/>
  <c r="Z20" i="16"/>
  <c r="E20" i="16" s="1"/>
  <c r="Z26" i="16"/>
  <c r="E26" i="16" s="1"/>
  <c r="Z32" i="16"/>
  <c r="E32" i="16" s="1"/>
  <c r="F32" i="16" s="1"/>
  <c r="U30" i="16"/>
  <c r="D30" i="16" s="1"/>
  <c r="K30" i="16" s="1"/>
  <c r="U24" i="16"/>
  <c r="D24" i="16" s="1"/>
  <c r="K24" i="16" s="1"/>
  <c r="U26" i="16"/>
  <c r="D26" i="16" s="1"/>
  <c r="K26" i="16" s="1"/>
  <c r="D20" i="16"/>
  <c r="K20" i="16" s="1"/>
  <c r="Z24" i="16"/>
  <c r="E24" i="16" s="1"/>
  <c r="F24" i="16" s="1"/>
  <c r="E34" i="16"/>
  <c r="E22" i="16"/>
  <c r="D22" i="16"/>
  <c r="K22" i="16" s="1"/>
  <c r="D34" i="16"/>
  <c r="K34" i="16" s="1"/>
  <c r="L30" i="16" l="1"/>
  <c r="F30" i="16"/>
  <c r="L22" i="16"/>
  <c r="F22" i="16"/>
  <c r="L28" i="16"/>
  <c r="F28" i="16"/>
  <c r="L26" i="16"/>
  <c r="F26" i="16"/>
  <c r="L34" i="16"/>
  <c r="F34" i="16"/>
  <c r="L20" i="16"/>
  <c r="F20" i="16"/>
  <c r="L32" i="16"/>
  <c r="L24" i="16"/>
  <c r="E34" i="5" l="1"/>
  <c r="E32" i="5"/>
  <c r="E30" i="5"/>
  <c r="E28" i="5"/>
  <c r="E26" i="5"/>
  <c r="E24" i="5"/>
  <c r="E22" i="5"/>
  <c r="E20" i="5"/>
  <c r="E34" i="4"/>
  <c r="E32" i="4"/>
  <c r="E30" i="4"/>
  <c r="E28" i="4"/>
  <c r="E26" i="4"/>
  <c r="E24" i="4"/>
  <c r="E22" i="4"/>
  <c r="E20" i="4"/>
  <c r="E34" i="11"/>
  <c r="E32" i="11"/>
  <c r="E30" i="11"/>
  <c r="E28" i="11"/>
  <c r="E26" i="11"/>
  <c r="E24" i="11"/>
  <c r="E22" i="11"/>
  <c r="E20" i="11"/>
  <c r="E34" i="10"/>
  <c r="E32" i="10"/>
  <c r="E30" i="10"/>
  <c r="E28" i="10"/>
  <c r="E26" i="10"/>
  <c r="E24" i="10"/>
  <c r="E22" i="10"/>
  <c r="E20" i="10"/>
  <c r="E34" i="3"/>
  <c r="E32" i="3"/>
  <c r="E30" i="3"/>
  <c r="E28" i="3"/>
  <c r="E26" i="3"/>
  <c r="E24" i="3"/>
  <c r="E22" i="3"/>
  <c r="E20" i="3"/>
  <c r="E34" i="2"/>
  <c r="E32" i="2"/>
  <c r="E30" i="2"/>
  <c r="E28" i="2"/>
  <c r="E26" i="2"/>
  <c r="E24" i="2"/>
  <c r="E22" i="2"/>
  <c r="E20" i="2"/>
  <c r="Y20" i="2"/>
  <c r="M18" i="5"/>
  <c r="G18" i="5"/>
  <c r="M18" i="4"/>
  <c r="G18" i="4"/>
  <c r="M18" i="11"/>
  <c r="G18" i="11"/>
  <c r="M18" i="10"/>
  <c r="G18" i="10"/>
  <c r="M18" i="3"/>
  <c r="G18" i="3"/>
  <c r="G9" i="1" l="1"/>
  <c r="E10" i="1"/>
  <c r="E9" i="1"/>
  <c r="D10" i="1"/>
  <c r="D9" i="1"/>
  <c r="L9" i="7" l="1"/>
  <c r="N9" i="13"/>
  <c r="N9" i="12"/>
  <c r="M9" i="5"/>
  <c r="M9" i="4"/>
  <c r="M9" i="11"/>
  <c r="M9" i="10"/>
  <c r="M9" i="3"/>
  <c r="M9" i="2"/>
  <c r="A37" i="7" l="1"/>
  <c r="A37" i="13"/>
  <c r="A37" i="12"/>
  <c r="A37" i="5"/>
  <c r="A37" i="4"/>
  <c r="A37" i="11"/>
  <c r="A37" i="3"/>
  <c r="A37" i="2"/>
  <c r="A37" i="10"/>
  <c r="A40" i="13" l="1"/>
  <c r="A40" i="12"/>
  <c r="A39" i="7"/>
  <c r="A39" i="5"/>
  <c r="A39" i="4"/>
  <c r="A39" i="11"/>
  <c r="A39" i="10"/>
  <c r="A39" i="3"/>
  <c r="A39" i="2"/>
  <c r="Z18" i="13" l="1"/>
  <c r="Z34" i="13" s="1"/>
  <c r="U18" i="13"/>
  <c r="U34" i="13" s="1"/>
  <c r="U18" i="12"/>
  <c r="U28" i="12" s="1"/>
  <c r="Z18" i="12"/>
  <c r="Z34" i="12" s="1"/>
  <c r="U22" i="12" l="1"/>
  <c r="U32" i="12"/>
  <c r="U20" i="12"/>
  <c r="U34" i="12"/>
  <c r="U26" i="12"/>
  <c r="U30" i="12"/>
  <c r="U24" i="12"/>
  <c r="Z28" i="12"/>
  <c r="Z20" i="12"/>
  <c r="Z22" i="12"/>
  <c r="Z30" i="12"/>
  <c r="Z24" i="12"/>
  <c r="Z32" i="12"/>
  <c r="Z26" i="12"/>
  <c r="Z20" i="13"/>
  <c r="Z24" i="13"/>
  <c r="Z28" i="13"/>
  <c r="Z32" i="13"/>
  <c r="Z22" i="13"/>
  <c r="Z26" i="13"/>
  <c r="Z30" i="13"/>
  <c r="U20" i="13"/>
  <c r="U24" i="13"/>
  <c r="U28" i="13"/>
  <c r="U32" i="13"/>
  <c r="U22" i="13"/>
  <c r="U26" i="13"/>
  <c r="U30" i="13"/>
  <c r="L18" i="7" l="1"/>
  <c r="N18" i="13"/>
  <c r="N18" i="12"/>
  <c r="M18" i="2"/>
  <c r="L18" i="12" l="1"/>
  <c r="L18" i="13"/>
  <c r="J18" i="7"/>
  <c r="G18" i="12"/>
  <c r="G18" i="13"/>
  <c r="E18" i="7"/>
  <c r="M18" i="12" l="1"/>
  <c r="H18" i="12"/>
  <c r="M18" i="13"/>
  <c r="H18" i="13"/>
  <c r="K18" i="7"/>
  <c r="F18" i="7"/>
  <c r="K34" i="12" l="1"/>
  <c r="K32" i="12"/>
  <c r="K30" i="12"/>
  <c r="K28" i="12"/>
  <c r="K26" i="12"/>
  <c r="K24" i="12"/>
  <c r="K22" i="12"/>
  <c r="K20" i="12"/>
  <c r="K34" i="13"/>
  <c r="K32" i="13"/>
  <c r="K30" i="13"/>
  <c r="K28" i="13"/>
  <c r="K26" i="13"/>
  <c r="K24" i="13"/>
  <c r="K22" i="13"/>
  <c r="K20" i="13"/>
  <c r="L43" i="1"/>
  <c r="S12" i="5" s="1"/>
  <c r="L42" i="1"/>
  <c r="L41" i="1"/>
  <c r="J43" i="1"/>
  <c r="J42" i="1"/>
  <c r="J41" i="1"/>
  <c r="J34" i="5" l="1"/>
  <c r="J32" i="5"/>
  <c r="J30" i="5"/>
  <c r="J28" i="5"/>
  <c r="J26" i="5"/>
  <c r="J24" i="5"/>
  <c r="J22" i="5"/>
  <c r="J20" i="5"/>
  <c r="S12" i="4"/>
  <c r="J20" i="4" s="1"/>
  <c r="S12" i="11"/>
  <c r="S12" i="10"/>
  <c r="S12" i="3"/>
  <c r="J20" i="3" s="1"/>
  <c r="J32" i="2"/>
  <c r="J34" i="2"/>
  <c r="J30" i="2"/>
  <c r="J20" i="2"/>
  <c r="J24" i="2"/>
  <c r="J22" i="2"/>
  <c r="J28" i="2"/>
  <c r="J26" i="2"/>
  <c r="G9" i="8"/>
  <c r="A9" i="7"/>
  <c r="A8" i="7"/>
  <c r="L7" i="7"/>
  <c r="A7" i="7"/>
  <c r="A4" i="7"/>
  <c r="A3" i="7"/>
  <c r="A2" i="7"/>
  <c r="A1" i="7"/>
  <c r="A9" i="13"/>
  <c r="A8" i="13"/>
  <c r="N7" i="13"/>
  <c r="A7" i="13"/>
  <c r="A4" i="13"/>
  <c r="A3" i="13"/>
  <c r="A2" i="13"/>
  <c r="A1" i="13"/>
  <c r="A9" i="12"/>
  <c r="A8" i="12"/>
  <c r="N7" i="12"/>
  <c r="A7" i="12"/>
  <c r="A4" i="12"/>
  <c r="A3" i="12"/>
  <c r="A2" i="12"/>
  <c r="A1" i="12"/>
  <c r="A9" i="5"/>
  <c r="A8" i="5"/>
  <c r="M7" i="5"/>
  <c r="A7" i="5"/>
  <c r="A4" i="5"/>
  <c r="A3" i="5"/>
  <c r="A2" i="5"/>
  <c r="A1" i="5"/>
  <c r="A9" i="4"/>
  <c r="A8" i="4"/>
  <c r="M7" i="4"/>
  <c r="A7" i="4"/>
  <c r="A4" i="4"/>
  <c r="A3" i="4"/>
  <c r="A2" i="4"/>
  <c r="A1" i="4"/>
  <c r="A9" i="11"/>
  <c r="A8" i="11"/>
  <c r="M7" i="11"/>
  <c r="A7" i="11"/>
  <c r="A4" i="11"/>
  <c r="A3" i="11"/>
  <c r="A2" i="11"/>
  <c r="A1" i="11"/>
  <c r="A9" i="10"/>
  <c r="A8" i="10"/>
  <c r="M7" i="10"/>
  <c r="A7" i="10"/>
  <c r="A4" i="10"/>
  <c r="A3" i="10"/>
  <c r="A2" i="10"/>
  <c r="A1" i="10"/>
  <c r="A9" i="3"/>
  <c r="A8" i="3"/>
  <c r="M7" i="3"/>
  <c r="A7" i="3"/>
  <c r="A4" i="3"/>
  <c r="A3" i="3"/>
  <c r="A2" i="3"/>
  <c r="A1" i="3"/>
  <c r="G18" i="2"/>
  <c r="J24" i="4" l="1"/>
  <c r="J34" i="4"/>
  <c r="J32" i="4"/>
  <c r="J30" i="4"/>
  <c r="J28" i="4"/>
  <c r="J26" i="4"/>
  <c r="J22" i="4"/>
  <c r="J20" i="11"/>
  <c r="J34" i="11"/>
  <c r="J32" i="11"/>
  <c r="J30" i="11"/>
  <c r="J28" i="11"/>
  <c r="J26" i="11"/>
  <c r="J24" i="11"/>
  <c r="J22" i="11"/>
  <c r="J20" i="10"/>
  <c r="J34" i="10"/>
  <c r="J32" i="10"/>
  <c r="J30" i="10"/>
  <c r="J28" i="10"/>
  <c r="J26" i="10"/>
  <c r="J24" i="10"/>
  <c r="J22" i="10"/>
  <c r="J28" i="3"/>
  <c r="J26" i="3"/>
  <c r="J24" i="3"/>
  <c r="J22" i="3"/>
  <c r="J34" i="3"/>
  <c r="J32" i="3"/>
  <c r="J30" i="3"/>
  <c r="G10" i="8"/>
  <c r="G11" i="8" s="1"/>
  <c r="G12" i="8" s="1"/>
  <c r="G13" i="8" s="1"/>
  <c r="G14" i="8" s="1"/>
  <c r="G15" i="8" s="1"/>
  <c r="G16" i="8" s="1"/>
  <c r="G20" i="8" l="1"/>
  <c r="M7" i="2"/>
  <c r="A7" i="2"/>
  <c r="A8" i="2"/>
  <c r="A9" i="2"/>
  <c r="A4" i="2"/>
  <c r="A3" i="2"/>
  <c r="A2" i="2"/>
  <c r="A1" i="2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I16" i="8" l="1"/>
  <c r="L8" i="7" s="1"/>
  <c r="I18" i="8"/>
  <c r="I17" i="8"/>
  <c r="I10" i="8"/>
  <c r="M8" i="10" s="1"/>
  <c r="I8" i="8"/>
  <c r="I11" i="8"/>
  <c r="M8" i="11" s="1"/>
  <c r="I15" i="8"/>
  <c r="N8" i="13" s="1"/>
  <c r="I14" i="8"/>
  <c r="N8" i="12" s="1"/>
  <c r="I12" i="8"/>
  <c r="M8" i="4" s="1"/>
  <c r="I9" i="8"/>
  <c r="M8" i="3" s="1"/>
  <c r="I13" i="8"/>
  <c r="M8" i="5" s="1"/>
  <c r="Q20" i="7"/>
  <c r="Q34" i="7" s="1"/>
  <c r="U20" i="7"/>
  <c r="U34" i="7" s="1"/>
  <c r="V18" i="7"/>
  <c r="V34" i="7" s="1"/>
  <c r="R18" i="7"/>
  <c r="R20" i="7" s="1"/>
  <c r="R22" i="7"/>
  <c r="S20" i="13"/>
  <c r="X20" i="13"/>
  <c r="Y18" i="13"/>
  <c r="Y34" i="13" s="1"/>
  <c r="X20" i="12"/>
  <c r="Y18" i="12"/>
  <c r="Y28" i="12" s="1"/>
  <c r="S20" i="12"/>
  <c r="U24" i="7" l="1"/>
  <c r="M8" i="16"/>
  <c r="M8" i="2"/>
  <c r="U28" i="7"/>
  <c r="Q30" i="7"/>
  <c r="Q26" i="7"/>
  <c r="R30" i="7"/>
  <c r="S30" i="7" s="1"/>
  <c r="C30" i="7" s="1"/>
  <c r="Q22" i="7"/>
  <c r="R28" i="7"/>
  <c r="S28" i="7" s="1"/>
  <c r="C28" i="7" s="1"/>
  <c r="R32" i="7"/>
  <c r="R24" i="7"/>
  <c r="R34" i="7"/>
  <c r="S34" i="7" s="1"/>
  <c r="C34" i="7" s="1"/>
  <c r="Q32" i="7"/>
  <c r="S32" i="7" s="1"/>
  <c r="C32" i="7" s="1"/>
  <c r="S22" i="7"/>
  <c r="C22" i="7" s="1"/>
  <c r="I34" i="7"/>
  <c r="I30" i="7"/>
  <c r="I24" i="7"/>
  <c r="I20" i="7"/>
  <c r="I28" i="7"/>
  <c r="I32" i="7"/>
  <c r="I22" i="7"/>
  <c r="Q24" i="7"/>
  <c r="S24" i="7" s="1"/>
  <c r="C24" i="7" s="1"/>
  <c r="Q28" i="7"/>
  <c r="X30" i="12"/>
  <c r="S34" i="13"/>
  <c r="U30" i="7"/>
  <c r="Y22" i="12"/>
  <c r="Y30" i="12"/>
  <c r="X24" i="12"/>
  <c r="X26" i="12"/>
  <c r="X32" i="12"/>
  <c r="U22" i="7"/>
  <c r="X34" i="12"/>
  <c r="I26" i="7"/>
  <c r="Y26" i="12"/>
  <c r="X28" i="12"/>
  <c r="Y34" i="12"/>
  <c r="U32" i="7"/>
  <c r="W34" i="7"/>
  <c r="D34" i="7" s="1"/>
  <c r="Y24" i="12"/>
  <c r="Y32" i="12"/>
  <c r="Y20" i="12"/>
  <c r="X22" i="12"/>
  <c r="U26" i="7"/>
  <c r="R26" i="7"/>
  <c r="S20" i="7"/>
  <c r="C20" i="7" s="1"/>
  <c r="V20" i="7"/>
  <c r="W20" i="7" s="1"/>
  <c r="D20" i="7" s="1"/>
  <c r="V22" i="7"/>
  <c r="W22" i="7" s="1"/>
  <c r="D22" i="7" s="1"/>
  <c r="V24" i="7"/>
  <c r="W24" i="7" s="1"/>
  <c r="D24" i="7" s="1"/>
  <c r="V26" i="7"/>
  <c r="V28" i="7"/>
  <c r="V30" i="7"/>
  <c r="V32" i="7"/>
  <c r="S32" i="12"/>
  <c r="S30" i="12"/>
  <c r="S24" i="12"/>
  <c r="S34" i="12"/>
  <c r="S28" i="12"/>
  <c r="S26" i="12"/>
  <c r="S22" i="12"/>
  <c r="X22" i="13"/>
  <c r="X24" i="13"/>
  <c r="X26" i="13"/>
  <c r="X30" i="13"/>
  <c r="X34" i="13"/>
  <c r="Y20" i="13"/>
  <c r="S22" i="13"/>
  <c r="Y22" i="13"/>
  <c r="S24" i="13"/>
  <c r="Y24" i="13"/>
  <c r="S26" i="13"/>
  <c r="Y26" i="13"/>
  <c r="S28" i="13"/>
  <c r="Y28" i="13"/>
  <c r="S30" i="13"/>
  <c r="Y30" i="13"/>
  <c r="S32" i="13"/>
  <c r="Y32" i="13"/>
  <c r="X28" i="13"/>
  <c r="X32" i="13"/>
  <c r="W28" i="7" l="1"/>
  <c r="D28" i="7" s="1"/>
  <c r="E28" i="7" s="1"/>
  <c r="F28" i="7" s="1"/>
  <c r="S26" i="7"/>
  <c r="C26" i="7" s="1"/>
  <c r="W26" i="7"/>
  <c r="D26" i="7" s="1"/>
  <c r="AA30" i="13"/>
  <c r="F30" i="13" s="1"/>
  <c r="AA26" i="12"/>
  <c r="F26" i="12" s="1"/>
  <c r="AA34" i="12"/>
  <c r="F34" i="12" s="1"/>
  <c r="AA24" i="12"/>
  <c r="E34" i="7"/>
  <c r="F34" i="7" s="1"/>
  <c r="AA32" i="13"/>
  <c r="AA22" i="13"/>
  <c r="F22" i="13" s="1"/>
  <c r="AA26" i="13"/>
  <c r="F26" i="13" s="1"/>
  <c r="W30" i="7"/>
  <c r="D30" i="7" s="1"/>
  <c r="E30" i="7" s="1"/>
  <c r="F30" i="7" s="1"/>
  <c r="AA30" i="12"/>
  <c r="F30" i="12" s="1"/>
  <c r="AA34" i="13"/>
  <c r="F34" i="13" s="1"/>
  <c r="AA28" i="12"/>
  <c r="F28" i="12" s="1"/>
  <c r="AA20" i="12"/>
  <c r="F20" i="12" s="1"/>
  <c r="AA28" i="13"/>
  <c r="F28" i="13" s="1"/>
  <c r="AA24" i="13"/>
  <c r="F24" i="13" s="1"/>
  <c r="F24" i="12"/>
  <c r="AA32" i="12"/>
  <c r="F32" i="12" s="1"/>
  <c r="AA22" i="12"/>
  <c r="F22" i="12" s="1"/>
  <c r="AA20" i="13"/>
  <c r="F20" i="13" s="1"/>
  <c r="W32" i="7"/>
  <c r="D32" i="7" s="1"/>
  <c r="E32" i="7" s="1"/>
  <c r="F32" i="7" s="1"/>
  <c r="F32" i="13"/>
  <c r="E24" i="7"/>
  <c r="F24" i="7" s="1"/>
  <c r="E22" i="7"/>
  <c r="F22" i="7" s="1"/>
  <c r="E20" i="7"/>
  <c r="F20" i="7" s="1"/>
  <c r="E26" i="7" l="1"/>
  <c r="F26" i="7" s="1"/>
  <c r="R20" i="5"/>
  <c r="R32" i="5" s="1"/>
  <c r="V20" i="5"/>
  <c r="V34" i="5" s="1"/>
  <c r="W18" i="5"/>
  <c r="W26" i="5" s="1"/>
  <c r="S18" i="5"/>
  <c r="S32" i="5" s="1"/>
  <c r="R34" i="5"/>
  <c r="V20" i="4"/>
  <c r="V28" i="4" s="1"/>
  <c r="W18" i="4"/>
  <c r="W34" i="4" s="1"/>
  <c r="R20" i="4"/>
  <c r="R34" i="4" s="1"/>
  <c r="W18" i="11"/>
  <c r="W30" i="11" s="1"/>
  <c r="V20" i="11"/>
  <c r="V30" i="11" s="1"/>
  <c r="R20" i="11"/>
  <c r="R34" i="11" s="1"/>
  <c r="V20" i="10"/>
  <c r="V32" i="10" s="1"/>
  <c r="R20" i="10"/>
  <c r="R30" i="10" s="1"/>
  <c r="W18" i="10"/>
  <c r="W32" i="10" s="1"/>
  <c r="V20" i="3"/>
  <c r="V32" i="3" s="1"/>
  <c r="W18" i="3"/>
  <c r="W32" i="3" s="1"/>
  <c r="R20" i="3"/>
  <c r="R34" i="3" s="1"/>
  <c r="R22" i="5" l="1"/>
  <c r="R24" i="5"/>
  <c r="R26" i="5"/>
  <c r="R30" i="5"/>
  <c r="S22" i="5"/>
  <c r="W30" i="5"/>
  <c r="V22" i="4"/>
  <c r="V30" i="4"/>
  <c r="V34" i="4"/>
  <c r="X34" i="4" s="1"/>
  <c r="D34" i="4" s="1"/>
  <c r="V24" i="4"/>
  <c r="V30" i="10"/>
  <c r="V22" i="10"/>
  <c r="V26" i="10"/>
  <c r="S30" i="5"/>
  <c r="S26" i="5"/>
  <c r="T26" i="5" s="1"/>
  <c r="C26" i="5" s="1"/>
  <c r="R28" i="5"/>
  <c r="R28" i="10"/>
  <c r="R32" i="10"/>
  <c r="V24" i="10"/>
  <c r="V28" i="10"/>
  <c r="R34" i="10"/>
  <c r="V26" i="4"/>
  <c r="W20" i="5"/>
  <c r="X20" i="5" s="1"/>
  <c r="D20" i="5" s="1"/>
  <c r="W24" i="5"/>
  <c r="W28" i="5"/>
  <c r="W34" i="5"/>
  <c r="X34" i="5" s="1"/>
  <c r="D34" i="5" s="1"/>
  <c r="R24" i="10"/>
  <c r="S34" i="5"/>
  <c r="T34" i="5" s="1"/>
  <c r="C34" i="5" s="1"/>
  <c r="W24" i="3"/>
  <c r="R22" i="10"/>
  <c r="R26" i="10"/>
  <c r="V34" i="10"/>
  <c r="W28" i="4"/>
  <c r="X28" i="4" s="1"/>
  <c r="D28" i="4" s="1"/>
  <c r="W32" i="5"/>
  <c r="W22" i="5"/>
  <c r="W24" i="4"/>
  <c r="W30" i="3"/>
  <c r="V24" i="5"/>
  <c r="V32" i="5"/>
  <c r="V28" i="5"/>
  <c r="W22" i="11"/>
  <c r="W26" i="11"/>
  <c r="W32" i="11"/>
  <c r="W34" i="11"/>
  <c r="W28" i="11"/>
  <c r="W32" i="4"/>
  <c r="W20" i="11"/>
  <c r="X20" i="11" s="1"/>
  <c r="D20" i="11" s="1"/>
  <c r="W24" i="11"/>
  <c r="W20" i="4"/>
  <c r="X20" i="4" s="1"/>
  <c r="D20" i="4" s="1"/>
  <c r="V32" i="4"/>
  <c r="V28" i="11"/>
  <c r="V34" i="11"/>
  <c r="X34" i="11" s="1"/>
  <c r="D34" i="11" s="1"/>
  <c r="X32" i="10"/>
  <c r="D32" i="10" s="1"/>
  <c r="V22" i="3"/>
  <c r="V34" i="3"/>
  <c r="V30" i="3"/>
  <c r="V24" i="3"/>
  <c r="X24" i="3" s="1"/>
  <c r="D24" i="3" s="1"/>
  <c r="V28" i="3"/>
  <c r="V26" i="3"/>
  <c r="X30" i="11"/>
  <c r="D30" i="11" s="1"/>
  <c r="W22" i="3"/>
  <c r="W28" i="3"/>
  <c r="W34" i="3"/>
  <c r="W22" i="10"/>
  <c r="X22" i="10" s="1"/>
  <c r="D22" i="10" s="1"/>
  <c r="W26" i="10"/>
  <c r="X26" i="10" s="1"/>
  <c r="D26" i="10" s="1"/>
  <c r="W30" i="10"/>
  <c r="W34" i="10"/>
  <c r="V22" i="11"/>
  <c r="V26" i="11"/>
  <c r="V32" i="11"/>
  <c r="W22" i="4"/>
  <c r="X22" i="4" s="1"/>
  <c r="D22" i="4" s="1"/>
  <c r="W30" i="4"/>
  <c r="X30" i="4" s="1"/>
  <c r="D30" i="4" s="1"/>
  <c r="S20" i="5"/>
  <c r="T20" i="5" s="1"/>
  <c r="C20" i="5" s="1"/>
  <c r="V22" i="5"/>
  <c r="S28" i="5"/>
  <c r="V30" i="5"/>
  <c r="W20" i="3"/>
  <c r="X20" i="3" s="1"/>
  <c r="D20" i="3" s="1"/>
  <c r="W26" i="3"/>
  <c r="X32" i="3"/>
  <c r="D32" i="3" s="1"/>
  <c r="W20" i="10"/>
  <c r="X20" i="10" s="1"/>
  <c r="D20" i="10" s="1"/>
  <c r="W24" i="10"/>
  <c r="W28" i="10"/>
  <c r="V24" i="11"/>
  <c r="W26" i="4"/>
  <c r="T22" i="5"/>
  <c r="C22" i="5" s="1"/>
  <c r="S24" i="5"/>
  <c r="T24" i="5" s="1"/>
  <c r="C24" i="5" s="1"/>
  <c r="V26" i="5"/>
  <c r="X26" i="5" s="1"/>
  <c r="D26" i="5" s="1"/>
  <c r="T32" i="5"/>
  <c r="C32" i="5" s="1"/>
  <c r="R22" i="4"/>
  <c r="R24" i="4"/>
  <c r="R26" i="4"/>
  <c r="R28" i="4"/>
  <c r="R30" i="4"/>
  <c r="R32" i="4"/>
  <c r="R22" i="11"/>
  <c r="R24" i="11"/>
  <c r="R26" i="11"/>
  <c r="R28" i="11"/>
  <c r="R30" i="11"/>
  <c r="R32" i="11"/>
  <c r="R22" i="3"/>
  <c r="R24" i="3"/>
  <c r="R26" i="3"/>
  <c r="R28" i="3"/>
  <c r="R30" i="3"/>
  <c r="R32" i="3"/>
  <c r="I46" i="1"/>
  <c r="H46" i="1"/>
  <c r="I45" i="1"/>
  <c r="H45" i="1"/>
  <c r="I44" i="1"/>
  <c r="R11" i="7" s="1"/>
  <c r="H44" i="1"/>
  <c r="R10" i="7" s="1"/>
  <c r="I43" i="1"/>
  <c r="S11" i="5" s="1"/>
  <c r="H43" i="1"/>
  <c r="S10" i="5" s="1"/>
  <c r="I42" i="1"/>
  <c r="S11" i="4" s="1"/>
  <c r="I20" i="4" s="1"/>
  <c r="H42" i="1"/>
  <c r="I41" i="1"/>
  <c r="H41" i="1"/>
  <c r="I40" i="1"/>
  <c r="T10" i="13" l="1"/>
  <c r="T10" i="12"/>
  <c r="T11" i="13"/>
  <c r="T11" i="12"/>
  <c r="S10" i="11"/>
  <c r="S10" i="4"/>
  <c r="X28" i="10"/>
  <c r="D28" i="10" s="1"/>
  <c r="T30" i="5"/>
  <c r="C30" i="5" s="1"/>
  <c r="X24" i="4"/>
  <c r="D24" i="4" s="1"/>
  <c r="T28" i="5"/>
  <c r="C28" i="5" s="1"/>
  <c r="X34" i="10"/>
  <c r="D34" i="10" s="1"/>
  <c r="I20" i="5"/>
  <c r="I34" i="5"/>
  <c r="I32" i="5"/>
  <c r="I30" i="5"/>
  <c r="I28" i="5"/>
  <c r="I26" i="5"/>
  <c r="I24" i="5"/>
  <c r="I22" i="5"/>
  <c r="H34" i="5"/>
  <c r="H32" i="5"/>
  <c r="H30" i="5"/>
  <c r="H28" i="5"/>
  <c r="H26" i="5"/>
  <c r="H24" i="5"/>
  <c r="H22" i="5"/>
  <c r="H20" i="5"/>
  <c r="F34" i="5"/>
  <c r="G34" i="5" s="1"/>
  <c r="F26" i="5"/>
  <c r="G26" i="5" s="1"/>
  <c r="F20" i="5"/>
  <c r="G20" i="5" s="1"/>
  <c r="H30" i="11"/>
  <c r="H28" i="11"/>
  <c r="H32" i="11"/>
  <c r="H24" i="11"/>
  <c r="H20" i="11"/>
  <c r="H34" i="11"/>
  <c r="H26" i="11"/>
  <c r="H22" i="11"/>
  <c r="X22" i="11"/>
  <c r="D22" i="11" s="1"/>
  <c r="X30" i="3"/>
  <c r="D30" i="3" s="1"/>
  <c r="X28" i="3"/>
  <c r="D28" i="3" s="1"/>
  <c r="X26" i="4"/>
  <c r="D26" i="4" s="1"/>
  <c r="X26" i="11"/>
  <c r="D26" i="11" s="1"/>
  <c r="X22" i="3"/>
  <c r="D22" i="3" s="1"/>
  <c r="X28" i="5"/>
  <c r="D28" i="5" s="1"/>
  <c r="X24" i="10"/>
  <c r="D24" i="10" s="1"/>
  <c r="X30" i="10"/>
  <c r="D30" i="10" s="1"/>
  <c r="X30" i="5"/>
  <c r="D30" i="5" s="1"/>
  <c r="X32" i="5"/>
  <c r="D32" i="5" s="1"/>
  <c r="X28" i="11"/>
  <c r="D28" i="11" s="1"/>
  <c r="I22" i="2"/>
  <c r="I32" i="2"/>
  <c r="I28" i="2"/>
  <c r="I24" i="2"/>
  <c r="I34" i="2"/>
  <c r="I26" i="2"/>
  <c r="I30" i="2"/>
  <c r="I20" i="2"/>
  <c r="X32" i="11"/>
  <c r="D32" i="11" s="1"/>
  <c r="X26" i="3"/>
  <c r="D26" i="3" s="1"/>
  <c r="X32" i="4"/>
  <c r="D32" i="4" s="1"/>
  <c r="X24" i="5"/>
  <c r="D24" i="5" s="1"/>
  <c r="S11" i="3"/>
  <c r="S11" i="10"/>
  <c r="X22" i="5"/>
  <c r="D22" i="5" s="1"/>
  <c r="X34" i="3"/>
  <c r="D34" i="3" s="1"/>
  <c r="S11" i="11"/>
  <c r="G32" i="7"/>
  <c r="G22" i="7"/>
  <c r="G34" i="7"/>
  <c r="G30" i="7"/>
  <c r="G24" i="7"/>
  <c r="G20" i="7"/>
  <c r="G28" i="7"/>
  <c r="G26" i="7"/>
  <c r="H32" i="7"/>
  <c r="H22" i="7"/>
  <c r="H34" i="7"/>
  <c r="H24" i="7"/>
  <c r="H30" i="7"/>
  <c r="H28" i="7"/>
  <c r="H20" i="7"/>
  <c r="H26" i="7"/>
  <c r="S10" i="3"/>
  <c r="S10" i="10"/>
  <c r="X24" i="11"/>
  <c r="D24" i="11" s="1"/>
  <c r="H40" i="1"/>
  <c r="V20" i="2"/>
  <c r="V34" i="2" s="1"/>
  <c r="R20" i="2"/>
  <c r="R32" i="2" s="1"/>
  <c r="W18" i="2"/>
  <c r="W32" i="2" s="1"/>
  <c r="S18" i="2"/>
  <c r="S32" i="2" s="1"/>
  <c r="L34" i="3" l="1"/>
  <c r="L24" i="5"/>
  <c r="L26" i="3"/>
  <c r="I22" i="12"/>
  <c r="I24" i="12"/>
  <c r="I28" i="12"/>
  <c r="I26" i="12"/>
  <c r="I32" i="12"/>
  <c r="I34" i="12"/>
  <c r="I30" i="12"/>
  <c r="I20" i="12"/>
  <c r="L28" i="10"/>
  <c r="I34" i="13"/>
  <c r="I28" i="13"/>
  <c r="I20" i="13"/>
  <c r="I30" i="13"/>
  <c r="I22" i="13"/>
  <c r="I24" i="13"/>
  <c r="I26" i="13"/>
  <c r="I32" i="13"/>
  <c r="L22" i="5"/>
  <c r="M22" i="5" s="1"/>
  <c r="K22" i="5"/>
  <c r="L30" i="5"/>
  <c r="K30" i="5"/>
  <c r="M30" i="5" s="1"/>
  <c r="L32" i="5"/>
  <c r="M32" i="5" s="1"/>
  <c r="K32" i="5"/>
  <c r="L26" i="5"/>
  <c r="K26" i="5"/>
  <c r="L34" i="5"/>
  <c r="M34" i="5" s="1"/>
  <c r="K34" i="5"/>
  <c r="L28" i="5"/>
  <c r="K28" i="5"/>
  <c r="M28" i="5" s="1"/>
  <c r="L20" i="5"/>
  <c r="M20" i="5" s="1"/>
  <c r="K20" i="5"/>
  <c r="K24" i="5"/>
  <c r="M26" i="5"/>
  <c r="F24" i="5"/>
  <c r="G24" i="5" s="1"/>
  <c r="F32" i="5"/>
  <c r="G32" i="5" s="1"/>
  <c r="F28" i="5"/>
  <c r="G28" i="5" s="1"/>
  <c r="F22" i="5"/>
  <c r="G22" i="5" s="1"/>
  <c r="F30" i="5"/>
  <c r="G30" i="5" s="1"/>
  <c r="H34" i="4"/>
  <c r="H32" i="4"/>
  <c r="H30" i="4"/>
  <c r="H28" i="4"/>
  <c r="H26" i="4"/>
  <c r="H24" i="4"/>
  <c r="H22" i="4"/>
  <c r="H20" i="4"/>
  <c r="I32" i="4"/>
  <c r="I26" i="4"/>
  <c r="I22" i="4"/>
  <c r="I34" i="4"/>
  <c r="I30" i="4"/>
  <c r="I28" i="4"/>
  <c r="I24" i="4"/>
  <c r="I20" i="11"/>
  <c r="L20" i="11" s="1"/>
  <c r="I34" i="11"/>
  <c r="L34" i="11" s="1"/>
  <c r="I32" i="11"/>
  <c r="L32" i="11" s="1"/>
  <c r="I30" i="11"/>
  <c r="L30" i="11" s="1"/>
  <c r="I28" i="11"/>
  <c r="L28" i="11" s="1"/>
  <c r="I26" i="11"/>
  <c r="L26" i="11" s="1"/>
  <c r="I24" i="11"/>
  <c r="L24" i="11" s="1"/>
  <c r="I22" i="11"/>
  <c r="L22" i="11" s="1"/>
  <c r="H20" i="10"/>
  <c r="H34" i="10"/>
  <c r="L34" i="10" s="1"/>
  <c r="H32" i="10"/>
  <c r="H30" i="10"/>
  <c r="L30" i="10" s="1"/>
  <c r="H28" i="10"/>
  <c r="H26" i="10"/>
  <c r="H24" i="10"/>
  <c r="L24" i="10" s="1"/>
  <c r="H22" i="10"/>
  <c r="I20" i="10"/>
  <c r="I34" i="10"/>
  <c r="I32" i="10"/>
  <c r="I30" i="10"/>
  <c r="I28" i="10"/>
  <c r="I26" i="10"/>
  <c r="I24" i="10"/>
  <c r="I22" i="10"/>
  <c r="H24" i="3"/>
  <c r="L24" i="3" s="1"/>
  <c r="H34" i="3"/>
  <c r="H32" i="3"/>
  <c r="H30" i="3"/>
  <c r="L30" i="3" s="1"/>
  <c r="H26" i="3"/>
  <c r="H20" i="3"/>
  <c r="H28" i="3"/>
  <c r="L28" i="3" s="1"/>
  <c r="H22" i="3"/>
  <c r="I34" i="3"/>
  <c r="I32" i="3"/>
  <c r="I30" i="3"/>
  <c r="I28" i="3"/>
  <c r="I26" i="3"/>
  <c r="I24" i="3"/>
  <c r="I22" i="3"/>
  <c r="I20" i="3"/>
  <c r="J26" i="12"/>
  <c r="M26" i="12" s="1"/>
  <c r="J22" i="12"/>
  <c r="M22" i="12" s="1"/>
  <c r="J24" i="12"/>
  <c r="M24" i="12" s="1"/>
  <c r="J34" i="12"/>
  <c r="M34" i="12" s="1"/>
  <c r="J30" i="12"/>
  <c r="J32" i="12"/>
  <c r="M32" i="12" s="1"/>
  <c r="J28" i="12"/>
  <c r="J20" i="12"/>
  <c r="M20" i="12" s="1"/>
  <c r="S18" i="10"/>
  <c r="S18" i="3"/>
  <c r="T18" i="12"/>
  <c r="T18" i="13"/>
  <c r="J28" i="13"/>
  <c r="M28" i="13" s="1"/>
  <c r="J34" i="13"/>
  <c r="M34" i="13" s="1"/>
  <c r="J32" i="13"/>
  <c r="J30" i="13"/>
  <c r="J24" i="13"/>
  <c r="M24" i="13" s="1"/>
  <c r="J20" i="13"/>
  <c r="M20" i="13" s="1"/>
  <c r="J26" i="13"/>
  <c r="M26" i="13" s="1"/>
  <c r="J22" i="13"/>
  <c r="M22" i="13" s="1"/>
  <c r="S18" i="11"/>
  <c r="S18" i="4"/>
  <c r="H22" i="2"/>
  <c r="H30" i="2"/>
  <c r="H26" i="2"/>
  <c r="H32" i="2"/>
  <c r="H28" i="2"/>
  <c r="H24" i="2"/>
  <c r="H34" i="2"/>
  <c r="H20" i="2"/>
  <c r="J20" i="7"/>
  <c r="K20" i="7"/>
  <c r="K34" i="7"/>
  <c r="J34" i="7"/>
  <c r="J24" i="7"/>
  <c r="K24" i="7"/>
  <c r="J28" i="7"/>
  <c r="K28" i="7"/>
  <c r="K22" i="7"/>
  <c r="J22" i="7"/>
  <c r="J26" i="7"/>
  <c r="K26" i="7"/>
  <c r="J30" i="7"/>
  <c r="K30" i="7"/>
  <c r="J32" i="7"/>
  <c r="K32" i="7"/>
  <c r="W26" i="2"/>
  <c r="W34" i="2"/>
  <c r="X34" i="2" s="1"/>
  <c r="D34" i="2" s="1"/>
  <c r="L34" i="2" s="1"/>
  <c r="T32" i="2"/>
  <c r="C32" i="2" s="1"/>
  <c r="K32" i="2" s="1"/>
  <c r="W20" i="2"/>
  <c r="X20" i="2" s="1"/>
  <c r="D20" i="2" s="1"/>
  <c r="W28" i="2"/>
  <c r="R26" i="2"/>
  <c r="W30" i="2"/>
  <c r="R34" i="2"/>
  <c r="W24" i="2"/>
  <c r="V28" i="2"/>
  <c r="V22" i="2"/>
  <c r="V30" i="2"/>
  <c r="V24" i="2"/>
  <c r="V32" i="2"/>
  <c r="X32" i="2" s="1"/>
  <c r="D32" i="2" s="1"/>
  <c r="L32" i="2" s="1"/>
  <c r="V26" i="2"/>
  <c r="S26" i="2"/>
  <c r="S34" i="2"/>
  <c r="R28" i="2"/>
  <c r="S20" i="2"/>
  <c r="T20" i="2" s="1"/>
  <c r="C20" i="2" s="1"/>
  <c r="S28" i="2"/>
  <c r="R22" i="2"/>
  <c r="R30" i="2"/>
  <c r="S22" i="2"/>
  <c r="S30" i="2"/>
  <c r="R24" i="2"/>
  <c r="S24" i="2"/>
  <c r="M24" i="5" l="1"/>
  <c r="M30" i="12"/>
  <c r="L32" i="3"/>
  <c r="L32" i="10"/>
  <c r="M30" i="13"/>
  <c r="L20" i="3"/>
  <c r="L26" i="10"/>
  <c r="K20" i="2"/>
  <c r="F20" i="2"/>
  <c r="G20" i="2" s="1"/>
  <c r="L20" i="2"/>
  <c r="M32" i="13"/>
  <c r="M28" i="12"/>
  <c r="L20" i="10"/>
  <c r="L20" i="4"/>
  <c r="K20" i="4"/>
  <c r="L24" i="4"/>
  <c r="L22" i="4"/>
  <c r="L28" i="4"/>
  <c r="K28" i="4"/>
  <c r="L26" i="4"/>
  <c r="L30" i="4"/>
  <c r="L32" i="4"/>
  <c r="K32" i="4"/>
  <c r="L34" i="4"/>
  <c r="L22" i="10"/>
  <c r="L22" i="3"/>
  <c r="L34" i="7"/>
  <c r="M32" i="2"/>
  <c r="L32" i="7"/>
  <c r="L26" i="7"/>
  <c r="L28" i="7"/>
  <c r="S34" i="4"/>
  <c r="T34" i="4" s="1"/>
  <c r="C34" i="4" s="1"/>
  <c r="K34" i="4" s="1"/>
  <c r="S28" i="4"/>
  <c r="T28" i="4" s="1"/>
  <c r="C28" i="4" s="1"/>
  <c r="S26" i="4"/>
  <c r="T26" i="4" s="1"/>
  <c r="C26" i="4" s="1"/>
  <c r="F26" i="4" s="1"/>
  <c r="G26" i="4" s="1"/>
  <c r="S20" i="4"/>
  <c r="T20" i="4" s="1"/>
  <c r="C20" i="4" s="1"/>
  <c r="F20" i="4" s="1"/>
  <c r="G20" i="4" s="1"/>
  <c r="S22" i="4"/>
  <c r="T22" i="4" s="1"/>
  <c r="C22" i="4" s="1"/>
  <c r="F22" i="4" s="1"/>
  <c r="G22" i="4" s="1"/>
  <c r="S30" i="4"/>
  <c r="T30" i="4" s="1"/>
  <c r="C30" i="4" s="1"/>
  <c r="K30" i="4" s="1"/>
  <c r="S24" i="4"/>
  <c r="T24" i="4" s="1"/>
  <c r="C24" i="4" s="1"/>
  <c r="K24" i="4" s="1"/>
  <c r="S32" i="4"/>
  <c r="T32" i="4" s="1"/>
  <c r="C32" i="4" s="1"/>
  <c r="S34" i="3"/>
  <c r="T34" i="3" s="1"/>
  <c r="C34" i="3" s="1"/>
  <c r="K34" i="3" s="1"/>
  <c r="S20" i="3"/>
  <c r="T20" i="3" s="1"/>
  <c r="C20" i="3" s="1"/>
  <c r="S28" i="3"/>
  <c r="T28" i="3" s="1"/>
  <c r="C28" i="3" s="1"/>
  <c r="K28" i="3" s="1"/>
  <c r="S22" i="3"/>
  <c r="T22" i="3" s="1"/>
  <c r="C22" i="3" s="1"/>
  <c r="K22" i="3" s="1"/>
  <c r="S30" i="3"/>
  <c r="T30" i="3" s="1"/>
  <c r="C30" i="3" s="1"/>
  <c r="S24" i="3"/>
  <c r="T24" i="3" s="1"/>
  <c r="C24" i="3" s="1"/>
  <c r="K24" i="3" s="1"/>
  <c r="S32" i="3"/>
  <c r="T32" i="3" s="1"/>
  <c r="C32" i="3" s="1"/>
  <c r="K32" i="3" s="1"/>
  <c r="S26" i="3"/>
  <c r="T26" i="3" s="1"/>
  <c r="C26" i="3" s="1"/>
  <c r="K26" i="3" s="1"/>
  <c r="S20" i="11"/>
  <c r="T20" i="11" s="1"/>
  <c r="C20" i="11" s="1"/>
  <c r="K20" i="11" s="1"/>
  <c r="S24" i="11"/>
  <c r="T24" i="11" s="1"/>
  <c r="C24" i="11" s="1"/>
  <c r="K24" i="11" s="1"/>
  <c r="S32" i="11"/>
  <c r="T32" i="11" s="1"/>
  <c r="C32" i="11" s="1"/>
  <c r="K32" i="11" s="1"/>
  <c r="S26" i="11"/>
  <c r="T26" i="11" s="1"/>
  <c r="C26" i="11" s="1"/>
  <c r="K26" i="11" s="1"/>
  <c r="S22" i="11"/>
  <c r="T22" i="11" s="1"/>
  <c r="C22" i="11" s="1"/>
  <c r="K22" i="11" s="1"/>
  <c r="S34" i="11"/>
  <c r="T34" i="11" s="1"/>
  <c r="C34" i="11" s="1"/>
  <c r="K34" i="11" s="1"/>
  <c r="S30" i="11"/>
  <c r="T30" i="11" s="1"/>
  <c r="C30" i="11" s="1"/>
  <c r="K30" i="11" s="1"/>
  <c r="S28" i="11"/>
  <c r="T28" i="11" s="1"/>
  <c r="C28" i="11" s="1"/>
  <c r="K28" i="11" s="1"/>
  <c r="S20" i="10"/>
  <c r="T20" i="10" s="1"/>
  <c r="C20" i="10" s="1"/>
  <c r="K20" i="10" s="1"/>
  <c r="S22" i="10"/>
  <c r="T22" i="10" s="1"/>
  <c r="C22" i="10" s="1"/>
  <c r="K22" i="10" s="1"/>
  <c r="S30" i="10"/>
  <c r="T30" i="10" s="1"/>
  <c r="C30" i="10" s="1"/>
  <c r="K30" i="10" s="1"/>
  <c r="S28" i="10"/>
  <c r="T28" i="10" s="1"/>
  <c r="C28" i="10" s="1"/>
  <c r="K28" i="10" s="1"/>
  <c r="S34" i="10"/>
  <c r="T34" i="10" s="1"/>
  <c r="C34" i="10" s="1"/>
  <c r="K34" i="10" s="1"/>
  <c r="S24" i="10"/>
  <c r="T24" i="10" s="1"/>
  <c r="C24" i="10" s="1"/>
  <c r="K24" i="10" s="1"/>
  <c r="S32" i="10"/>
  <c r="T32" i="10" s="1"/>
  <c r="C32" i="10" s="1"/>
  <c r="K32" i="10" s="1"/>
  <c r="S26" i="10"/>
  <c r="T26" i="10" s="1"/>
  <c r="C26" i="10" s="1"/>
  <c r="K26" i="10" s="1"/>
  <c r="T20" i="12"/>
  <c r="V20" i="12" s="1"/>
  <c r="E20" i="12" s="1"/>
  <c r="T22" i="12"/>
  <c r="V22" i="12" s="1"/>
  <c r="E22" i="12" s="1"/>
  <c r="T30" i="12"/>
  <c r="V30" i="12" s="1"/>
  <c r="E30" i="12" s="1"/>
  <c r="T24" i="12"/>
  <c r="V24" i="12" s="1"/>
  <c r="E24" i="12" s="1"/>
  <c r="T32" i="12"/>
  <c r="V32" i="12" s="1"/>
  <c r="E32" i="12" s="1"/>
  <c r="T26" i="12"/>
  <c r="V26" i="12" s="1"/>
  <c r="E26" i="12" s="1"/>
  <c r="T34" i="12"/>
  <c r="V34" i="12" s="1"/>
  <c r="E34" i="12" s="1"/>
  <c r="T28" i="12"/>
  <c r="V28" i="12" s="1"/>
  <c r="E28" i="12" s="1"/>
  <c r="L30" i="7"/>
  <c r="L24" i="7"/>
  <c r="L20" i="7"/>
  <c r="T34" i="13"/>
  <c r="V34" i="13" s="1"/>
  <c r="E34" i="13" s="1"/>
  <c r="T20" i="13"/>
  <c r="T22" i="13"/>
  <c r="V22" i="13" s="1"/>
  <c r="E22" i="13" s="1"/>
  <c r="T30" i="13"/>
  <c r="V30" i="13" s="1"/>
  <c r="E30" i="13" s="1"/>
  <c r="T24" i="13"/>
  <c r="V24" i="13" s="1"/>
  <c r="E24" i="13" s="1"/>
  <c r="T26" i="13"/>
  <c r="V26" i="13" s="1"/>
  <c r="E26" i="13" s="1"/>
  <c r="T28" i="13"/>
  <c r="V28" i="13" s="1"/>
  <c r="E28" i="13" s="1"/>
  <c r="T32" i="13"/>
  <c r="V32" i="13" s="1"/>
  <c r="E32" i="13" s="1"/>
  <c r="L22" i="7"/>
  <c r="M20" i="2"/>
  <c r="X26" i="2"/>
  <c r="D26" i="2" s="1"/>
  <c r="L26" i="2" s="1"/>
  <c r="T34" i="2"/>
  <c r="C34" i="2" s="1"/>
  <c r="K34" i="2" s="1"/>
  <c r="X30" i="2"/>
  <c r="D30" i="2" s="1"/>
  <c r="L30" i="2" s="1"/>
  <c r="T30" i="2"/>
  <c r="C30" i="2" s="1"/>
  <c r="K30" i="2" s="1"/>
  <c r="T28" i="2"/>
  <c r="C28" i="2" s="1"/>
  <c r="K28" i="2" s="1"/>
  <c r="F32" i="2"/>
  <c r="G32" i="2" s="1"/>
  <c r="X28" i="2"/>
  <c r="D28" i="2" s="1"/>
  <c r="L28" i="2" s="1"/>
  <c r="T24" i="2"/>
  <c r="C24" i="2" s="1"/>
  <c r="K24" i="2" s="1"/>
  <c r="T22" i="2"/>
  <c r="C22" i="2" s="1"/>
  <c r="K22" i="2" s="1"/>
  <c r="D22" i="2"/>
  <c r="L22" i="2" s="1"/>
  <c r="X24" i="2"/>
  <c r="D24" i="2" s="1"/>
  <c r="L24" i="2" s="1"/>
  <c r="T26" i="2"/>
  <c r="C26" i="2" s="1"/>
  <c r="K26" i="2" s="1"/>
  <c r="F30" i="3" l="1"/>
  <c r="G30" i="3" s="1"/>
  <c r="K30" i="3"/>
  <c r="K26" i="4"/>
  <c r="K22" i="4"/>
  <c r="M22" i="4" s="1"/>
  <c r="K20" i="3"/>
  <c r="F20" i="3"/>
  <c r="G20" i="3" s="1"/>
  <c r="M26" i="4"/>
  <c r="M22" i="2"/>
  <c r="F22" i="2"/>
  <c r="G22" i="2" s="1"/>
  <c r="M30" i="4"/>
  <c r="F30" i="4"/>
  <c r="G30" i="4" s="1"/>
  <c r="M28" i="4"/>
  <c r="F28" i="4"/>
  <c r="G28" i="4" s="1"/>
  <c r="M34" i="4"/>
  <c r="F34" i="4"/>
  <c r="G34" i="4" s="1"/>
  <c r="M32" i="4"/>
  <c r="F32" i="4"/>
  <c r="G32" i="4" s="1"/>
  <c r="M20" i="4"/>
  <c r="M24" i="4"/>
  <c r="F24" i="4"/>
  <c r="G24" i="4" s="1"/>
  <c r="M30" i="11"/>
  <c r="F30" i="11"/>
  <c r="G30" i="11" s="1"/>
  <c r="M32" i="11"/>
  <c r="F32" i="11"/>
  <c r="G32" i="11" s="1"/>
  <c r="M34" i="11"/>
  <c r="F34" i="11"/>
  <c r="G34" i="11" s="1"/>
  <c r="M22" i="11"/>
  <c r="F22" i="11"/>
  <c r="G22" i="11" s="1"/>
  <c r="M20" i="11"/>
  <c r="F20" i="11"/>
  <c r="G20" i="11" s="1"/>
  <c r="M24" i="11"/>
  <c r="F24" i="11"/>
  <c r="G24" i="11" s="1"/>
  <c r="M28" i="11"/>
  <c r="F28" i="11"/>
  <c r="G28" i="11" s="1"/>
  <c r="M26" i="11"/>
  <c r="F26" i="11"/>
  <c r="G26" i="11" s="1"/>
  <c r="M34" i="10"/>
  <c r="F34" i="10"/>
  <c r="G34" i="10" s="1"/>
  <c r="F20" i="10"/>
  <c r="G20" i="10" s="1"/>
  <c r="F26" i="10"/>
  <c r="G26" i="10" s="1"/>
  <c r="M28" i="10"/>
  <c r="F28" i="10"/>
  <c r="G28" i="10" s="1"/>
  <c r="M26" i="10"/>
  <c r="M32" i="10"/>
  <c r="F32" i="10"/>
  <c r="G32" i="10" s="1"/>
  <c r="M30" i="10"/>
  <c r="F30" i="10"/>
  <c r="G30" i="10" s="1"/>
  <c r="M20" i="10"/>
  <c r="M24" i="10"/>
  <c r="F24" i="10"/>
  <c r="G24" i="10" s="1"/>
  <c r="M32" i="3"/>
  <c r="F32" i="3"/>
  <c r="G32" i="3" s="1"/>
  <c r="M26" i="3"/>
  <c r="F26" i="3"/>
  <c r="G26" i="3" s="1"/>
  <c r="M24" i="3"/>
  <c r="F24" i="3"/>
  <c r="G24" i="3" s="1"/>
  <c r="M20" i="3"/>
  <c r="M30" i="3"/>
  <c r="M28" i="3"/>
  <c r="F28" i="3"/>
  <c r="G28" i="3" s="1"/>
  <c r="M34" i="3"/>
  <c r="F34" i="3"/>
  <c r="G34" i="3" s="1"/>
  <c r="M22" i="10"/>
  <c r="F22" i="10"/>
  <c r="G22" i="10" s="1"/>
  <c r="M22" i="3"/>
  <c r="F22" i="3"/>
  <c r="G22" i="3" s="1"/>
  <c r="L26" i="13"/>
  <c r="N26" i="13" s="1"/>
  <c r="G26" i="13"/>
  <c r="H26" i="13" s="1"/>
  <c r="L24" i="12"/>
  <c r="N24" i="12" s="1"/>
  <c r="G24" i="12"/>
  <c r="H24" i="12" s="1"/>
  <c r="L24" i="13"/>
  <c r="N24" i="13" s="1"/>
  <c r="G24" i="13"/>
  <c r="H24" i="13" s="1"/>
  <c r="L30" i="12"/>
  <c r="N30" i="12" s="1"/>
  <c r="G30" i="12"/>
  <c r="H30" i="12" s="1"/>
  <c r="L32" i="13"/>
  <c r="N32" i="13" s="1"/>
  <c r="G32" i="13"/>
  <c r="H32" i="13" s="1"/>
  <c r="L30" i="13"/>
  <c r="N30" i="13" s="1"/>
  <c r="G30" i="13"/>
  <c r="H30" i="13" s="1"/>
  <c r="L26" i="12"/>
  <c r="N26" i="12" s="1"/>
  <c r="G26" i="12"/>
  <c r="H26" i="12" s="1"/>
  <c r="L22" i="12"/>
  <c r="N22" i="12" s="1"/>
  <c r="G22" i="12"/>
  <c r="H22" i="12" s="1"/>
  <c r="V20" i="13"/>
  <c r="E20" i="13" s="1"/>
  <c r="L28" i="12"/>
  <c r="N28" i="12" s="1"/>
  <c r="G28" i="12"/>
  <c r="H28" i="12" s="1"/>
  <c r="L34" i="13"/>
  <c r="N34" i="13" s="1"/>
  <c r="G34" i="13"/>
  <c r="H34" i="13" s="1"/>
  <c r="G34" i="12"/>
  <c r="H34" i="12" s="1"/>
  <c r="L34" i="12"/>
  <c r="N34" i="12" s="1"/>
  <c r="L28" i="13"/>
  <c r="N28" i="13" s="1"/>
  <c r="G28" i="13"/>
  <c r="H28" i="13" s="1"/>
  <c r="L22" i="13"/>
  <c r="N22" i="13" s="1"/>
  <c r="G22" i="13"/>
  <c r="H22" i="13" s="1"/>
  <c r="G32" i="12"/>
  <c r="H32" i="12" s="1"/>
  <c r="L32" i="12"/>
  <c r="N32" i="12" s="1"/>
  <c r="L20" i="12"/>
  <c r="N20" i="12" s="1"/>
  <c r="G20" i="12"/>
  <c r="H20" i="12" s="1"/>
  <c r="M30" i="2"/>
  <c r="M26" i="2"/>
  <c r="M34" i="2"/>
  <c r="F30" i="2"/>
  <c r="G30" i="2" s="1"/>
  <c r="F34" i="2"/>
  <c r="G34" i="2" s="1"/>
  <c r="M24" i="2"/>
  <c r="F24" i="2"/>
  <c r="G24" i="2" s="1"/>
  <c r="F28" i="2"/>
  <c r="G28" i="2" s="1"/>
  <c r="M28" i="2"/>
  <c r="F26" i="2"/>
  <c r="G26" i="2" s="1"/>
  <c r="L20" i="13" l="1"/>
  <c r="N20" i="13" s="1"/>
  <c r="G20" i="13"/>
  <c r="H20" i="13" s="1"/>
</calcChain>
</file>

<file path=xl/sharedStrings.xml><?xml version="1.0" encoding="utf-8"?>
<sst xmlns="http://schemas.openxmlformats.org/spreadsheetml/2006/main" count="917" uniqueCount="156">
  <si>
    <t>CURRENT</t>
  </si>
  <si>
    <t>Source:  Schedule D-2 F</t>
  </si>
  <si>
    <t>Difference</t>
  </si>
  <si>
    <t>REMOVE DSM MECHANISM</t>
  </si>
  <si>
    <t>REMOVE  GLT MECHANISM</t>
  </si>
  <si>
    <t>REMOVE GSC MECHANISM</t>
  </si>
  <si>
    <t>TOTAL SALES TO ULTIMATE CONSUMERS</t>
  </si>
  <si>
    <t>SALES FOR RESALE</t>
  </si>
  <si>
    <t xml:space="preserve">TOTAL  </t>
  </si>
  <si>
    <t>Distribution Charge</t>
  </si>
  <si>
    <t>Off-peak Distr Chg</t>
  </si>
  <si>
    <t>Admin Charge</t>
  </si>
  <si>
    <t>CGS</t>
  </si>
  <si>
    <t>IGS</t>
  </si>
  <si>
    <t>AAGS</t>
  </si>
  <si>
    <t>RGS/VFD</t>
  </si>
  <si>
    <t>FT</t>
  </si>
  <si>
    <t>DGGS</t>
  </si>
  <si>
    <t>(MCF)</t>
  </si>
  <si>
    <t>IntraCompany</t>
  </si>
  <si>
    <t>Sales Customers</t>
  </si>
  <si>
    <t>Current</t>
  </si>
  <si>
    <t>BSC</t>
  </si>
  <si>
    <t>BSC (meters &lt; 5000 cfh)</t>
  </si>
  <si>
    <t>BSC (meters 5000 cfh or &gt;)</t>
  </si>
  <si>
    <t>PROPOSED</t>
  </si>
  <si>
    <t>Total</t>
  </si>
  <si>
    <t xml:space="preserve">Proposed </t>
  </si>
  <si>
    <t>Billing Factors</t>
  </si>
  <si>
    <t>Bill</t>
  </si>
  <si>
    <t xml:space="preserve">Increase </t>
  </si>
  <si>
    <t>DSM</t>
  </si>
  <si>
    <t>($)</t>
  </si>
  <si>
    <t>(%)</t>
  </si>
  <si>
    <t>GSC</t>
  </si>
  <si>
    <t>GLT</t>
  </si>
  <si>
    <t>MCF</t>
  </si>
  <si>
    <t>Basic</t>
  </si>
  <si>
    <t>Service</t>
  </si>
  <si>
    <t>$</t>
  </si>
  <si>
    <t>%</t>
  </si>
  <si>
    <t>Charge</t>
  </si>
  <si>
    <t>Residential Gas Service - Rate RGS</t>
  </si>
  <si>
    <t>Commercial Gas Service - Rate CGS</t>
  </si>
  <si>
    <t>Industrial Gas Service - Rate IGS</t>
  </si>
  <si>
    <t>As-Available Gas Service - Rate AAGS</t>
  </si>
  <si>
    <t>Total Firm Transportation Service (Non-Standby) Rate FT</t>
  </si>
  <si>
    <t>Special Contract - Intra-Company Sales</t>
  </si>
  <si>
    <t>Revenue As Billed</t>
  </si>
  <si>
    <t>Volume</t>
  </si>
  <si>
    <t>GSC / MCF</t>
  </si>
  <si>
    <t>DSM / MCF</t>
  </si>
  <si>
    <t>GLT / MCF</t>
  </si>
  <si>
    <t>meters &lt; 5,000 cfh</t>
  </si>
  <si>
    <t>Commercial (Rate CGS)</t>
  </si>
  <si>
    <t>Residential (Rate RGS) / Volunteer Fire Dept (Rate VFD)</t>
  </si>
  <si>
    <t>meters &gt; 5,000 cfh</t>
  </si>
  <si>
    <t>Industrial (Rate IGS)</t>
  </si>
  <si>
    <t>As Available Gas Service (Rate AAGS)</t>
  </si>
  <si>
    <t>Distributed Generation Gas Service (Rate DGGS)</t>
  </si>
  <si>
    <t>Firm Transportation Service (Rate FT)</t>
  </si>
  <si>
    <t>Admin</t>
  </si>
  <si>
    <t>Source:  Billing Determinants file</t>
  </si>
  <si>
    <t>LOUISVILLE GAS AND ELECTRIC COMPANY</t>
  </si>
  <si>
    <t>Rate Case Constants</t>
  </si>
  <si>
    <t>Rate Case Constants:</t>
  </si>
  <si>
    <t>Company:</t>
  </si>
  <si>
    <t>PSC Case Number:</t>
  </si>
  <si>
    <t>Base Year:</t>
  </si>
  <si>
    <t>Forecasted Test Year:</t>
  </si>
  <si>
    <t>Types of Filing:</t>
  </si>
  <si>
    <t>Original:</t>
  </si>
  <si>
    <r>
      <t>TYPE OF FILING: __</t>
    </r>
    <r>
      <rPr>
        <u/>
        <sz val="10"/>
        <rFont val="Arial"/>
        <family val="2"/>
      </rPr>
      <t>X__</t>
    </r>
    <r>
      <rPr>
        <sz val="10"/>
        <rFont val="Arial"/>
        <family val="2"/>
      </rPr>
      <t xml:space="preserve"> ORIGINAL  _____ UPDATED  _____ REVISED</t>
    </r>
  </si>
  <si>
    <t>Updated: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</si>
  <si>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__X__ UPDATED  _____ REVISED</t>
    </r>
  </si>
  <si>
    <t>Revised: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</si>
  <si>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</si>
  <si>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WITNESS:</t>
  </si>
  <si>
    <t>System Average - use for Rate DGGS</t>
  </si>
  <si>
    <t>**Use calculated system average for Rate DGGS</t>
  </si>
  <si>
    <t>Schedule Description:</t>
  </si>
  <si>
    <t>Schedule Number:</t>
  </si>
  <si>
    <t>DATA: ____BASE PERIOD__X___FORECASTED PERIOD</t>
  </si>
  <si>
    <t>WORKPAPER REFERENCE NO(S):________</t>
  </si>
  <si>
    <t>A</t>
  </si>
  <si>
    <t>C</t>
  </si>
  <si>
    <t>D</t>
  </si>
  <si>
    <t>E</t>
  </si>
  <si>
    <t>F</t>
  </si>
  <si>
    <t>H</t>
  </si>
  <si>
    <t>I</t>
  </si>
  <si>
    <t>J</t>
  </si>
  <si>
    <t>B</t>
  </si>
  <si>
    <t>G</t>
  </si>
  <si>
    <t>CGS 1</t>
  </si>
  <si>
    <t>CGS 2</t>
  </si>
  <si>
    <t>IGS 1</t>
  </si>
  <si>
    <t>IGS 2</t>
  </si>
  <si>
    <t>DGGS 1</t>
  </si>
  <si>
    <t>DGGS 2</t>
  </si>
  <si>
    <t># OF CUSTOMERS</t>
  </si>
  <si>
    <t>GLT/Customer</t>
  </si>
  <si>
    <t>Assumptions:</t>
  </si>
  <si>
    <t>Billing Factors calculated as a unit charge based on forecast period revenues and volumes</t>
  </si>
  <si>
    <t>Typical Gas Bill Comparison under Present &amp; Proposed Rates</t>
  </si>
  <si>
    <t>Demand Charge (Mcfd)</t>
  </si>
  <si>
    <t>Demand</t>
  </si>
  <si>
    <t>per Mcfd</t>
  </si>
  <si>
    <t>MCFD</t>
  </si>
  <si>
    <t>MCFD is the monthly billing demand and shall not be less than 48 Mcf per the tariff.</t>
  </si>
  <si>
    <t>SCHEDULE N (Gas)</t>
  </si>
  <si>
    <t>Calculations may vary from other schedules due to rounding</t>
  </si>
  <si>
    <t>Base Rate</t>
  </si>
  <si>
    <t>Distribution</t>
  </si>
  <si>
    <t>per Mcf</t>
  </si>
  <si>
    <t xml:space="preserve">Distribution </t>
  </si>
  <si>
    <t>FEBRUARY 28, 2017</t>
  </si>
  <si>
    <t>For the 2016 Rate Case Filing</t>
  </si>
  <si>
    <t>AS OF FEBRUARY 28, 2017</t>
  </si>
  <si>
    <t>MARCH 2016 TO FEBRUARY 2017</t>
  </si>
  <si>
    <t>FROM MARCH 1, 2016 TO FEBRUARY 28, 2017</t>
  </si>
  <si>
    <t>BASE YEAR FOR THE 12 MONTHS ENDED FEBRUARY 28, 2017</t>
  </si>
  <si>
    <t>FOR THE 12 MONTHS ENDED FEBRUARY 28, 2017</t>
  </si>
  <si>
    <t>JUNE 30, 2018</t>
  </si>
  <si>
    <t>AS OF JUNE 30, 2018</t>
  </si>
  <si>
    <t>JULY 2017 TO JUNE 30, 2018</t>
  </si>
  <si>
    <t>FROM JULY 1, 2017 TO JUNE 30, 2018</t>
  </si>
  <si>
    <t>FORECAST PERIOD FOR THE 12 MONTHS ENDED JUNE 30, 2018</t>
  </si>
  <si>
    <t>FOR THE 12 MONTHS ENDED JUNE 30, 2018</t>
  </si>
  <si>
    <t>C. M. GARRETT</t>
  </si>
  <si>
    <t>CASE NO. 2016-00371</t>
  </si>
  <si>
    <t>Average Usage (mcf)</t>
  </si>
  <si>
    <t>Distributed Generation Gas Service - Rate DGGS</t>
  </si>
  <si>
    <t>Roll In</t>
  </si>
  <si>
    <t>Roll IN</t>
  </si>
  <si>
    <t>Base</t>
  </si>
  <si>
    <t>K</t>
  </si>
  <si>
    <t xml:space="preserve">GLT </t>
  </si>
  <si>
    <t xml:space="preserve">Substitute Gas Sales Service - Rate SGSS </t>
  </si>
  <si>
    <t>Substitue Gas</t>
  </si>
  <si>
    <t>Sales Service</t>
  </si>
  <si>
    <t>SGSS</t>
  </si>
  <si>
    <t>MCFd</t>
  </si>
  <si>
    <t>Source:  Schedule M-2.2 &amp; M-2.3</t>
  </si>
  <si>
    <t>Substitute Gas Sales Service (SGSS) (New Proposed Rate Schedule)</t>
  </si>
  <si>
    <t>(changed to $0 because it’s a new rate schedule)</t>
  </si>
  <si>
    <t>($0 is the current / base rate)</t>
  </si>
  <si>
    <t xml:space="preserve">New proposed rate schedule, one customer will transfer from rate schedule IGS to rate schedule SGSS. </t>
  </si>
  <si>
    <t>N/A</t>
  </si>
  <si>
    <t>Local Gas</t>
  </si>
  <si>
    <t>Distribution Service</t>
  </si>
  <si>
    <t>LGDS</t>
  </si>
  <si>
    <t>Local Gas Distribution Gas Service (LGDS) (New Proposed Rate Schedule)</t>
  </si>
  <si>
    <t xml:space="preserve">New proposed rate schedule. </t>
  </si>
  <si>
    <t>per tariff sheet JAB 11/4</t>
  </si>
  <si>
    <t>Basic Service and Admin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</si>
</sst>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\(&quot;$&quot;#,##0.00000\)"/>
    <numFmt numFmtId="165" formatCode="[$-409]mmm\-yy;@"/>
    <numFmt numFmtId="166" formatCode="0.0"/>
    <numFmt numFmtId="167" formatCode="&quot;$&quot;#,##0.00000"/>
    <numFmt numFmtId="168" formatCode="0.0%"/>
    <numFmt numFmtId="169" formatCode="#,##0.0"/>
    <numFmt numFmtId="170" formatCode="_(&quot;$&quot;* #,##0.0000000_);_(&quot;$&quot;* \(#,##0.0000000\);_(&quot;$&quot;* &quot;-&quot;??_);_(@_)"/>
    <numFmt numFmtId="171" formatCode="&quot;$&quot;#,##0.0000_);\(&quot;$&quot;#,##0.0000\)"/>
    <numFmt numFmtId="172" formatCode="_(&quot;$&quot;* #,##0_);_(&quot;$&quot;* \(#,##0\);_(&quot;$&quot;* &quot;-&quot;??_);_(@_)"/>
    <numFmt numFmtId="173" formatCode="&quot;$&quot;#,##0.0000_);[Red]\(&quot;$&quot;#,##0.0000\)"/>
    <numFmt numFmtId="174" formatCode="_(&quot;$&quot;* #,##0.0_);_(&quot;$&quot;* \(#,##0.0\);_(&quot;$&quot;* &quot;-&quot;_);_(@_)"/>
    <numFmt numFmtId="175" formatCode="_(&quot;$&quot;* #,##0.00000000_);_(&quot;$&quot;* \(#,##0.00000000\);_(&quot;$&quot;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10" fillId="0" borderId="0"/>
    <xf numFmtId="0" fontId="4" fillId="0" borderId="0"/>
    <xf numFmtId="41" fontId="1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/>
    <xf numFmtId="0" fontId="4" fillId="0" borderId="1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left"/>
    </xf>
    <xf numFmtId="0" fontId="4" fillId="0" borderId="0" xfId="2" quotePrefix="1" applyFont="1" applyFill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quotePrefix="1" applyNumberFormat="1" applyFont="1" applyFill="1" applyAlignment="1">
      <alignment horizontal="center" wrapText="1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/>
    <xf numFmtId="167" fontId="3" fillId="0" borderId="0" xfId="0" applyNumberFormat="1" applyFont="1" applyFill="1"/>
    <xf numFmtId="0" fontId="3" fillId="0" borderId="0" xfId="0" applyFont="1" applyFill="1" applyAlignme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69" fontId="0" fillId="0" borderId="1" xfId="0" applyNumberFormat="1" applyBorder="1"/>
    <xf numFmtId="170" fontId="0" fillId="0" borderId="1" xfId="0" applyNumberFormat="1" applyBorder="1"/>
    <xf numFmtId="0" fontId="7" fillId="0" borderId="0" xfId="0" applyFont="1"/>
    <xf numFmtId="0" fontId="7" fillId="0" borderId="0" xfId="0" applyFont="1" applyFill="1"/>
    <xf numFmtId="44" fontId="7" fillId="0" borderId="0" xfId="0" applyNumberFormat="1" applyFont="1" applyFill="1"/>
    <xf numFmtId="168" fontId="7" fillId="0" borderId="0" xfId="1" applyNumberFormat="1" applyFont="1" applyFill="1" applyAlignment="1">
      <alignment horizontal="center"/>
    </xf>
    <xf numFmtId="8" fontId="7" fillId="0" borderId="0" xfId="0" applyNumberFormat="1" applyFont="1"/>
    <xf numFmtId="44" fontId="7" fillId="0" borderId="0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4" fillId="0" borderId="0" xfId="3" applyFont="1"/>
    <xf numFmtId="0" fontId="3" fillId="0" borderId="1" xfId="3" applyFont="1" applyBorder="1"/>
    <xf numFmtId="49" fontId="4" fillId="0" borderId="0" xfId="3" applyNumberFormat="1" applyFont="1" applyAlignment="1">
      <alignment horizontal="left"/>
    </xf>
    <xf numFmtId="0" fontId="9" fillId="0" borderId="0" xfId="3" applyFont="1"/>
    <xf numFmtId="0" fontId="0" fillId="0" borderId="0" xfId="0" quotePrefix="1" applyAlignment="1">
      <alignment horizontal="right"/>
    </xf>
    <xf numFmtId="0" fontId="4" fillId="0" borderId="0" xfId="3" quotePrefix="1" applyFont="1" applyAlignment="1">
      <alignment horizontal="left"/>
    </xf>
    <xf numFmtId="0" fontId="4" fillId="0" borderId="0" xfId="4"/>
    <xf numFmtId="0" fontId="7" fillId="0" borderId="2" xfId="0" applyFont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7" fillId="0" borderId="0" xfId="0" applyFont="1" applyAlignment="1">
      <alignment horizontal="right"/>
    </xf>
    <xf numFmtId="169" fontId="7" fillId="0" borderId="0" xfId="0" applyNumberFormat="1" applyFont="1"/>
    <xf numFmtId="3" fontId="0" fillId="0" borderId="0" xfId="0" applyNumberFormat="1"/>
    <xf numFmtId="44" fontId="0" fillId="0" borderId="0" xfId="0" applyNumberFormat="1" applyFill="1" applyAlignment="1"/>
    <xf numFmtId="0" fontId="4" fillId="0" borderId="0" xfId="0" quotePrefix="1" applyFont="1" applyFill="1" applyAlignment="1">
      <alignment horizontal="left" indent="1"/>
    </xf>
    <xf numFmtId="169" fontId="0" fillId="2" borderId="0" xfId="0" applyNumberFormat="1" applyFill="1" applyAlignment="1">
      <alignment horizontal="center"/>
    </xf>
    <xf numFmtId="0" fontId="7" fillId="0" borderId="0" xfId="0" quotePrefix="1" applyFont="1" applyAlignment="1">
      <alignment horizontal="left" indent="1"/>
    </xf>
    <xf numFmtId="0" fontId="0" fillId="0" borderId="0" xfId="0" applyFill="1"/>
    <xf numFmtId="14" fontId="4" fillId="0" borderId="0" xfId="3" quotePrefix="1" applyNumberFormat="1" applyFont="1" applyAlignment="1">
      <alignment horizontal="left"/>
    </xf>
    <xf numFmtId="4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0" xfId="5"/>
    <xf numFmtId="0" fontId="3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71" fontId="0" fillId="0" borderId="0" xfId="0" applyNumberFormat="1" applyFill="1" applyAlignment="1">
      <alignment horizontal="center"/>
    </xf>
    <xf numFmtId="0" fontId="0" fillId="3" borderId="0" xfId="0" applyFill="1"/>
    <xf numFmtId="0" fontId="1" fillId="0" borderId="0" xfId="5" applyFont="1"/>
    <xf numFmtId="0" fontId="7" fillId="0" borderId="0" xfId="0" applyFont="1" applyAlignment="1">
      <alignment horizontal="left" indent="1"/>
    </xf>
    <xf numFmtId="0" fontId="4" fillId="0" borderId="0" xfId="4" quotePrefix="1" applyAlignment="1">
      <alignment horizontal="left"/>
    </xf>
    <xf numFmtId="0" fontId="12" fillId="0" borderId="0" xfId="5" applyFont="1" applyFill="1" applyAlignment="1">
      <alignment horizontal="center"/>
    </xf>
    <xf numFmtId="49" fontId="4" fillId="4" borderId="0" xfId="3" quotePrefix="1" applyNumberFormat="1" applyFont="1" applyFill="1" applyAlignment="1">
      <alignment horizontal="left"/>
    </xf>
    <xf numFmtId="37" fontId="13" fillId="0" borderId="0" xfId="9" applyNumberFormat="1" applyFont="1" applyFill="1"/>
    <xf numFmtId="172" fontId="1" fillId="0" borderId="1" xfId="10" applyNumberFormat="1" applyFont="1" applyFill="1" applyBorder="1"/>
    <xf numFmtId="169" fontId="0" fillId="0" borderId="0" xfId="0" applyNumberFormat="1" applyFill="1"/>
    <xf numFmtId="3" fontId="0" fillId="0" borderId="0" xfId="0" applyNumberFormat="1" applyFill="1"/>
    <xf numFmtId="7" fontId="7" fillId="0" borderId="0" xfId="0" applyNumberFormat="1" applyFont="1"/>
    <xf numFmtId="168" fontId="7" fillId="0" borderId="0" xfId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2" fontId="1" fillId="0" borderId="0" xfId="10" applyNumberFormat="1" applyFont="1" applyFill="1" applyBorder="1"/>
    <xf numFmtId="42" fontId="0" fillId="0" borderId="0" xfId="0" applyNumberFormat="1" applyBorder="1"/>
    <xf numFmtId="169" fontId="0" fillId="0" borderId="0" xfId="0" applyNumberFormat="1" applyBorder="1"/>
    <xf numFmtId="170" fontId="0" fillId="0" borderId="0" xfId="0" applyNumberFormat="1" applyBorder="1"/>
    <xf numFmtId="0" fontId="2" fillId="0" borderId="1" xfId="0" applyFont="1" applyFill="1" applyBorder="1" applyAlignment="1">
      <alignment horizontal="center"/>
    </xf>
    <xf numFmtId="169" fontId="0" fillId="2" borderId="0" xfId="0" applyNumberFormat="1" applyFill="1"/>
    <xf numFmtId="37" fontId="1" fillId="0" borderId="1" xfId="10" applyNumberFormat="1" applyFont="1" applyBorder="1"/>
    <xf numFmtId="0" fontId="7" fillId="0" borderId="0" xfId="0" applyFont="1" applyBorder="1"/>
    <xf numFmtId="0" fontId="2" fillId="0" borderId="0" xfId="0" applyFont="1" applyFill="1"/>
    <xf numFmtId="173" fontId="0" fillId="0" borderId="0" xfId="0" applyNumberFormat="1" applyFill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/>
    <xf numFmtId="44" fontId="7" fillId="0" borderId="0" xfId="10" applyFont="1" applyFill="1" applyAlignment="1">
      <alignment horizontal="center"/>
    </xf>
    <xf numFmtId="44" fontId="7" fillId="0" borderId="0" xfId="10" applyFont="1" applyFill="1"/>
    <xf numFmtId="0" fontId="12" fillId="0" borderId="0" xfId="0" applyFont="1"/>
    <xf numFmtId="0" fontId="3" fillId="0" borderId="0" xfId="4" applyFont="1"/>
    <xf numFmtId="14" fontId="12" fillId="0" borderId="0" xfId="0" applyNumberFormat="1" applyFont="1" applyAlignment="1">
      <alignment horizontal="right"/>
    </xf>
    <xf numFmtId="14" fontId="12" fillId="0" borderId="0" xfId="0" quotePrefix="1" applyNumberFormat="1" applyFont="1" applyAlignment="1">
      <alignment horizontal="right"/>
    </xf>
    <xf numFmtId="165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quotePrefix="1" applyNumberFormat="1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4" fillId="0" borderId="0" xfId="0" applyFont="1" applyFill="1" applyBorder="1"/>
    <xf numFmtId="0" fontId="12" fillId="0" borderId="0" xfId="0" applyFont="1" applyBorder="1"/>
    <xf numFmtId="14" fontId="12" fillId="0" borderId="0" xfId="0" applyNumberFormat="1" applyFont="1" applyBorder="1" applyAlignment="1">
      <alignment horizontal="right"/>
    </xf>
    <xf numFmtId="14" fontId="7" fillId="0" borderId="0" xfId="0" applyNumberFormat="1" applyFont="1" applyBorder="1" applyAlignment="1">
      <alignment horizontal="right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7" fillId="0" borderId="3" xfId="0" applyNumberFormat="1" applyFont="1" applyBorder="1"/>
    <xf numFmtId="0" fontId="7" fillId="0" borderId="3" xfId="0" applyFont="1" applyBorder="1"/>
    <xf numFmtId="44" fontId="7" fillId="0" borderId="3" xfId="0" applyNumberFormat="1" applyFont="1" applyFill="1" applyBorder="1"/>
    <xf numFmtId="44" fontId="7" fillId="0" borderId="3" xfId="10" applyFont="1" applyFill="1" applyBorder="1"/>
    <xf numFmtId="168" fontId="7" fillId="0" borderId="3" xfId="1" applyNumberFormat="1" applyFont="1" applyFill="1" applyBorder="1" applyAlignment="1">
      <alignment horizontal="center"/>
    </xf>
    <xf numFmtId="8" fontId="7" fillId="0" borderId="0" xfId="0" applyNumberFormat="1" applyFont="1" applyFill="1"/>
    <xf numFmtId="7" fontId="15" fillId="0" borderId="0" xfId="0" applyNumberFormat="1" applyFont="1"/>
    <xf numFmtId="37" fontId="1" fillId="0" borderId="0" xfId="10" applyNumberFormat="1" applyFont="1" applyBorder="1"/>
    <xf numFmtId="174" fontId="0" fillId="0" borderId="0" xfId="0" applyNumberFormat="1"/>
    <xf numFmtId="175" fontId="0" fillId="0" borderId="0" xfId="0" applyNumberFormat="1"/>
    <xf numFmtId="169" fontId="7" fillId="0" borderId="0" xfId="0" applyNumberFormat="1" applyFont="1" applyBorder="1"/>
    <xf numFmtId="44" fontId="7" fillId="0" borderId="0" xfId="10" applyFont="1" applyFill="1" applyBorder="1"/>
    <xf numFmtId="0" fontId="15" fillId="4" borderId="0" xfId="0" applyFont="1" applyFill="1"/>
    <xf numFmtId="0" fontId="3" fillId="0" borderId="1" xfId="0" applyFont="1" applyFill="1" applyBorder="1" applyAlignment="1">
      <alignment horizontal="center"/>
    </xf>
    <xf numFmtId="8" fontId="1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44" fontId="4" fillId="0" borderId="0" xfId="0" applyNumberFormat="1" applyFont="1" applyFill="1"/>
    <xf numFmtId="44" fontId="0" fillId="0" borderId="0" xfId="10" applyFont="1" applyFill="1"/>
    <xf numFmtId="42" fontId="13" fillId="0" borderId="0" xfId="0" applyNumberFormat="1" applyFont="1" applyFill="1"/>
    <xf numFmtId="42" fontId="13" fillId="0" borderId="1" xfId="0" applyNumberFormat="1" applyFont="1" applyFill="1" applyBorder="1"/>
    <xf numFmtId="0" fontId="8" fillId="0" borderId="0" xfId="3" applyFont="1" applyAlignment="1">
      <alignment horizontal="center"/>
    </xf>
    <xf numFmtId="0" fontId="3" fillId="0" borderId="0" xfId="0" quotePrefix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</cellXfs>
  <cellStyles count="11">
    <cellStyle name="Comma" xfId="9" builtinId="3"/>
    <cellStyle name="Currency" xfId="10" builtinId="4"/>
    <cellStyle name="Normal" xfId="0" builtinId="0"/>
    <cellStyle name="Normal 10 2" xfId="4"/>
    <cellStyle name="Normal 13" xfId="6"/>
    <cellStyle name="Normal 2" xfId="5"/>
    <cellStyle name="Normal 2 19" xfId="7"/>
    <cellStyle name="Normal 47" xfId="3"/>
    <cellStyle name="Normal 48" xfId="2"/>
    <cellStyle name="Percent" xfId="1" builtinId="5"/>
    <cellStyle name="Percent 2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60"/>
  <sheetViews>
    <sheetView tabSelected="1" zoomScale="80" zoomScaleNormal="80" workbookViewId="0">
      <pane xSplit="1" ySplit="3" topLeftCell="B4" activePane="bottomRight" state="frozen"/>
      <selection activeCell="D45" sqref="D45"/>
      <selection pane="topRight" activeCell="D45" sqref="D45"/>
      <selection pane="bottomLeft" activeCell="D45" sqref="D45"/>
      <selection pane="bottomRight" activeCell="C49" sqref="C49"/>
    </sheetView>
  </sheetViews>
  <sheetFormatPr defaultRowHeight="14.4" x14ac:dyDescent="0.3"/>
  <cols>
    <col min="1" max="1" width="52" customWidth="1"/>
    <col min="3" max="3" width="18.109375" customWidth="1"/>
    <col min="4" max="4" width="14.5546875" bestFit="1" customWidth="1"/>
    <col min="5" max="5" width="14.109375" customWidth="1"/>
    <col min="6" max="6" width="14.44140625" customWidth="1"/>
    <col min="7" max="8" width="15.5546875" customWidth="1"/>
    <col min="9" max="9" width="15.88671875" bestFit="1" customWidth="1"/>
    <col min="10" max="10" width="17" bestFit="1" customWidth="1"/>
    <col min="11" max="11" width="19.5546875" customWidth="1"/>
    <col min="12" max="12" width="13.88671875" bestFit="1" customWidth="1"/>
  </cols>
  <sheetData>
    <row r="1" spans="1:13" x14ac:dyDescent="0.3">
      <c r="A1" s="1"/>
      <c r="C1" s="11"/>
      <c r="D1" s="12"/>
      <c r="E1" s="12"/>
      <c r="F1" s="12"/>
      <c r="G1" s="12"/>
      <c r="H1" s="12"/>
      <c r="I1" s="12" t="s">
        <v>19</v>
      </c>
      <c r="J1" s="12" t="s">
        <v>139</v>
      </c>
      <c r="K1" s="12" t="s">
        <v>149</v>
      </c>
      <c r="L1" s="12"/>
    </row>
    <row r="2" spans="1:13" x14ac:dyDescent="0.3">
      <c r="A2" s="1" t="s">
        <v>0</v>
      </c>
      <c r="C2" s="11" t="s">
        <v>15</v>
      </c>
      <c r="D2" s="12" t="s">
        <v>12</v>
      </c>
      <c r="E2" s="12" t="s">
        <v>13</v>
      </c>
      <c r="F2" s="12" t="s">
        <v>14</v>
      </c>
      <c r="G2" s="12" t="s">
        <v>17</v>
      </c>
      <c r="H2" s="12" t="s">
        <v>16</v>
      </c>
      <c r="I2" s="12" t="s">
        <v>20</v>
      </c>
      <c r="J2" s="12" t="s">
        <v>140</v>
      </c>
      <c r="K2" s="12" t="s">
        <v>150</v>
      </c>
    </row>
    <row r="3" spans="1:13" x14ac:dyDescent="0.3">
      <c r="A3" s="1"/>
      <c r="C3" s="15" t="s">
        <v>18</v>
      </c>
      <c r="D3" s="15" t="s">
        <v>18</v>
      </c>
      <c r="E3" s="15" t="s">
        <v>18</v>
      </c>
      <c r="F3" s="15" t="s">
        <v>18</v>
      </c>
      <c r="G3" s="15" t="s">
        <v>18</v>
      </c>
      <c r="H3" s="15" t="s">
        <v>18</v>
      </c>
      <c r="I3" s="15" t="s">
        <v>18</v>
      </c>
      <c r="J3" s="93" t="s">
        <v>18</v>
      </c>
      <c r="K3" s="93" t="s">
        <v>18</v>
      </c>
    </row>
    <row r="4" spans="1:13" x14ac:dyDescent="0.3">
      <c r="C4" s="12"/>
      <c r="D4" s="12"/>
      <c r="E4" s="12"/>
      <c r="F4" s="12"/>
      <c r="G4" s="12"/>
      <c r="H4" s="11"/>
      <c r="I4" s="11"/>
    </row>
    <row r="5" spans="1:13" x14ac:dyDescent="0.3">
      <c r="A5" t="s">
        <v>22</v>
      </c>
      <c r="C5" s="13">
        <v>13.5</v>
      </c>
      <c r="D5" s="13"/>
      <c r="E5" s="13"/>
      <c r="F5" s="13">
        <v>400</v>
      </c>
      <c r="G5" s="13"/>
      <c r="H5" s="13"/>
      <c r="I5" s="13">
        <v>180</v>
      </c>
      <c r="J5" s="13">
        <v>0</v>
      </c>
      <c r="K5" s="13">
        <v>0</v>
      </c>
      <c r="L5" t="s">
        <v>145</v>
      </c>
    </row>
    <row r="6" spans="1:13" x14ac:dyDescent="0.3">
      <c r="A6" t="s">
        <v>23</v>
      </c>
      <c r="C6" s="13"/>
      <c r="D6" s="13">
        <v>40</v>
      </c>
      <c r="E6" s="13">
        <v>40</v>
      </c>
      <c r="F6" s="13"/>
      <c r="G6" s="13">
        <v>40</v>
      </c>
      <c r="H6" s="13"/>
      <c r="I6" s="62"/>
      <c r="J6" s="62"/>
      <c r="K6" s="62"/>
      <c r="L6" t="s">
        <v>146</v>
      </c>
    </row>
    <row r="7" spans="1:13" x14ac:dyDescent="0.3">
      <c r="A7" t="s">
        <v>24</v>
      </c>
      <c r="C7" s="13"/>
      <c r="D7" s="13">
        <v>180</v>
      </c>
      <c r="E7" s="13">
        <v>180</v>
      </c>
      <c r="F7" s="13"/>
      <c r="G7" s="13"/>
      <c r="H7" s="13"/>
      <c r="I7" s="62"/>
      <c r="J7" s="62"/>
      <c r="K7" s="62"/>
    </row>
    <row r="8" spans="1:13" x14ac:dyDescent="0.3">
      <c r="C8" s="13"/>
      <c r="D8" s="13"/>
      <c r="E8" s="13"/>
      <c r="F8" s="13"/>
      <c r="G8" s="13"/>
      <c r="H8" s="13"/>
      <c r="I8" s="62"/>
      <c r="J8" s="62"/>
      <c r="K8" s="62"/>
    </row>
    <row r="9" spans="1:13" x14ac:dyDescent="0.3">
      <c r="A9" t="s">
        <v>9</v>
      </c>
      <c r="C9" s="14">
        <v>2.8693</v>
      </c>
      <c r="D9" s="14">
        <f>0.21504*10</f>
        <v>2.1504000000000003</v>
      </c>
      <c r="E9" s="14">
        <f>0.22779*10</f>
        <v>2.2778999999999998</v>
      </c>
      <c r="F9" s="14">
        <v>0.70089999999999997</v>
      </c>
      <c r="G9" s="14">
        <f>0.03329*10</f>
        <v>0.33289999999999997</v>
      </c>
      <c r="H9" s="14">
        <v>0.43020000000000003</v>
      </c>
      <c r="I9" s="14">
        <v>0.33289999999999997</v>
      </c>
      <c r="J9" s="14">
        <v>0</v>
      </c>
      <c r="K9" s="14">
        <v>0</v>
      </c>
      <c r="L9" t="s">
        <v>145</v>
      </c>
      <c r="M9" t="s">
        <v>145</v>
      </c>
    </row>
    <row r="10" spans="1:13" x14ac:dyDescent="0.3">
      <c r="A10" s="9" t="s">
        <v>10</v>
      </c>
      <c r="C10" s="14"/>
      <c r="D10" s="14">
        <f>0.16504*10</f>
        <v>1.6503999999999999</v>
      </c>
      <c r="E10" s="14">
        <f>0.17779*10</f>
        <v>1.7779</v>
      </c>
      <c r="F10" s="14"/>
      <c r="G10" s="14"/>
      <c r="H10" s="14"/>
      <c r="I10" s="62"/>
      <c r="L10" t="s">
        <v>146</v>
      </c>
      <c r="M10" t="s">
        <v>146</v>
      </c>
    </row>
    <row r="11" spans="1:13" x14ac:dyDescent="0.3">
      <c r="C11" s="13"/>
      <c r="D11" s="13"/>
      <c r="E11" s="13"/>
      <c r="F11" s="13"/>
      <c r="G11" s="13"/>
      <c r="H11" s="13"/>
      <c r="I11" s="62"/>
    </row>
    <row r="12" spans="1:13" x14ac:dyDescent="0.3">
      <c r="A12" s="73" t="s">
        <v>105</v>
      </c>
      <c r="C12" s="13"/>
      <c r="D12" s="13"/>
      <c r="E12" s="13"/>
      <c r="F12" s="13"/>
      <c r="G12" s="14">
        <v>11.263</v>
      </c>
      <c r="H12" s="13"/>
      <c r="I12" s="98">
        <v>11.2629</v>
      </c>
    </row>
    <row r="13" spans="1:13" x14ac:dyDescent="0.3">
      <c r="I13" s="62"/>
    </row>
    <row r="14" spans="1:13" x14ac:dyDescent="0.3">
      <c r="A14" t="s">
        <v>11</v>
      </c>
      <c r="C14" s="14"/>
      <c r="D14" s="14"/>
      <c r="E14" s="14"/>
      <c r="F14" s="14"/>
      <c r="G14" s="14"/>
      <c r="H14" s="13">
        <v>550</v>
      </c>
      <c r="I14" s="62"/>
    </row>
    <row r="16" spans="1:13" x14ac:dyDescent="0.3">
      <c r="A16" s="41" t="s">
        <v>62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2" x14ac:dyDescent="0.3">
      <c r="A17" s="41" t="s">
        <v>131</v>
      </c>
      <c r="B17" s="43"/>
      <c r="C17" s="44">
        <v>5.4870000000000001</v>
      </c>
      <c r="D17" s="44">
        <v>33.9</v>
      </c>
      <c r="E17" s="44">
        <v>609.4</v>
      </c>
      <c r="F17" s="60">
        <v>5334.9</v>
      </c>
      <c r="G17" s="44">
        <v>0.6</v>
      </c>
      <c r="H17" s="60">
        <v>14057</v>
      </c>
      <c r="I17" s="43"/>
      <c r="J17" s="94">
        <v>0</v>
      </c>
      <c r="K17" s="94">
        <v>0</v>
      </c>
    </row>
    <row r="19" spans="1:12" x14ac:dyDescent="0.3">
      <c r="A19" s="1"/>
      <c r="C19" s="11"/>
      <c r="D19" s="12"/>
      <c r="E19" s="12"/>
      <c r="F19" s="12"/>
      <c r="G19" s="12"/>
      <c r="H19" s="12"/>
      <c r="I19" s="12" t="s">
        <v>19</v>
      </c>
      <c r="J19" s="12" t="s">
        <v>139</v>
      </c>
      <c r="K19" s="69" t="s">
        <v>149</v>
      </c>
    </row>
    <row r="20" spans="1:12" x14ac:dyDescent="0.3">
      <c r="A20" s="1" t="s">
        <v>25</v>
      </c>
      <c r="C20" s="11" t="s">
        <v>15</v>
      </c>
      <c r="D20" s="12" t="s">
        <v>12</v>
      </c>
      <c r="E20" s="12" t="s">
        <v>13</v>
      </c>
      <c r="F20" s="12" t="s">
        <v>14</v>
      </c>
      <c r="G20" s="12" t="s">
        <v>17</v>
      </c>
      <c r="H20" s="12" t="s">
        <v>16</v>
      </c>
      <c r="I20" s="12" t="s">
        <v>20</v>
      </c>
      <c r="J20" s="12" t="s">
        <v>140</v>
      </c>
      <c r="K20" s="69" t="s">
        <v>150</v>
      </c>
    </row>
    <row r="21" spans="1:12" x14ac:dyDescent="0.3">
      <c r="C21" s="15" t="s">
        <v>18</v>
      </c>
      <c r="D21" s="15" t="s">
        <v>18</v>
      </c>
      <c r="E21" s="15" t="s">
        <v>18</v>
      </c>
      <c r="F21" s="15" t="s">
        <v>18</v>
      </c>
      <c r="G21" s="15" t="s">
        <v>18</v>
      </c>
      <c r="H21" s="15" t="s">
        <v>18</v>
      </c>
      <c r="I21" s="15" t="s">
        <v>18</v>
      </c>
      <c r="J21" s="93" t="s">
        <v>18</v>
      </c>
      <c r="K21" s="93" t="s">
        <v>18</v>
      </c>
    </row>
    <row r="22" spans="1:12" x14ac:dyDescent="0.3">
      <c r="A22" s="62"/>
      <c r="B22" s="62"/>
      <c r="C22" s="69"/>
      <c r="D22" s="69"/>
      <c r="E22" s="69"/>
      <c r="F22" s="69"/>
      <c r="G22" s="69"/>
      <c r="H22" s="70"/>
      <c r="I22" s="70"/>
      <c r="J22" s="62"/>
      <c r="K22" s="62"/>
    </row>
    <row r="23" spans="1:12" x14ac:dyDescent="0.3">
      <c r="A23" s="62" t="s">
        <v>22</v>
      </c>
      <c r="B23" s="62"/>
      <c r="C23" s="13">
        <v>24</v>
      </c>
      <c r="D23" s="13"/>
      <c r="E23" s="13"/>
      <c r="F23" s="13">
        <v>500</v>
      </c>
      <c r="G23" s="13"/>
      <c r="H23" s="13"/>
      <c r="I23" s="13">
        <v>750</v>
      </c>
      <c r="J23" s="13">
        <v>285</v>
      </c>
      <c r="K23" s="135">
        <v>1310</v>
      </c>
    </row>
    <row r="24" spans="1:12" x14ac:dyDescent="0.3">
      <c r="A24" s="62" t="s">
        <v>23</v>
      </c>
      <c r="B24" s="62"/>
      <c r="C24" s="13"/>
      <c r="D24" s="13">
        <v>60</v>
      </c>
      <c r="E24" s="13">
        <v>165</v>
      </c>
      <c r="F24" s="13"/>
      <c r="G24" s="13">
        <v>165</v>
      </c>
      <c r="H24" s="13"/>
      <c r="I24" s="62"/>
      <c r="J24" s="62"/>
      <c r="K24" s="62"/>
    </row>
    <row r="25" spans="1:12" x14ac:dyDescent="0.3">
      <c r="A25" s="62" t="s">
        <v>24</v>
      </c>
      <c r="B25" s="62"/>
      <c r="C25" s="13"/>
      <c r="D25" s="13">
        <v>285</v>
      </c>
      <c r="E25" s="13">
        <v>750</v>
      </c>
      <c r="F25" s="13"/>
      <c r="G25" s="13"/>
      <c r="H25" s="13"/>
      <c r="I25" s="62"/>
      <c r="J25" s="62"/>
      <c r="K25" s="62"/>
    </row>
    <row r="26" spans="1:12" x14ac:dyDescent="0.3">
      <c r="A26" s="62"/>
      <c r="B26" s="62"/>
      <c r="C26" s="13"/>
      <c r="D26" s="13"/>
      <c r="E26" s="13"/>
      <c r="F26" s="13"/>
      <c r="G26" s="13"/>
      <c r="H26" s="13"/>
      <c r="I26" s="62"/>
      <c r="J26" s="62"/>
      <c r="K26" s="62"/>
    </row>
    <row r="27" spans="1:12" x14ac:dyDescent="0.3">
      <c r="A27" s="62" t="s">
        <v>9</v>
      </c>
      <c r="B27" s="62"/>
      <c r="C27" s="14">
        <v>2.5385</v>
      </c>
      <c r="D27" s="71">
        <v>2.6267</v>
      </c>
      <c r="E27" s="71">
        <v>2.1928999999999998</v>
      </c>
      <c r="F27" s="14">
        <v>1.0644</v>
      </c>
      <c r="G27" s="14">
        <v>0.29920000000000002</v>
      </c>
      <c r="H27" s="14">
        <v>0.44280000000000003</v>
      </c>
      <c r="I27" s="14">
        <v>0.29920000000000002</v>
      </c>
      <c r="J27" s="14">
        <v>0.37669999999999998</v>
      </c>
      <c r="K27" s="136">
        <v>3.8800000000000001E-2</v>
      </c>
    </row>
    <row r="28" spans="1:12" x14ac:dyDescent="0.3">
      <c r="A28" s="72" t="s">
        <v>10</v>
      </c>
      <c r="B28" s="62"/>
      <c r="C28" s="14"/>
      <c r="D28" s="71">
        <v>2.1267</v>
      </c>
      <c r="E28" s="71">
        <v>1.6929000000000001</v>
      </c>
      <c r="F28" s="14"/>
      <c r="G28" s="14"/>
      <c r="H28" s="14"/>
      <c r="I28" s="62"/>
      <c r="J28" s="62"/>
      <c r="K28" s="62"/>
    </row>
    <row r="29" spans="1:12" x14ac:dyDescent="0.3">
      <c r="A29" s="62"/>
      <c r="B29" s="62"/>
      <c r="C29" s="13"/>
      <c r="D29" s="13"/>
      <c r="E29" s="13"/>
      <c r="F29" s="13"/>
      <c r="G29" s="13"/>
      <c r="H29" s="13"/>
      <c r="I29" s="62"/>
      <c r="J29" s="62"/>
      <c r="K29" s="62"/>
    </row>
    <row r="30" spans="1:12" x14ac:dyDescent="0.3">
      <c r="A30" s="73" t="s">
        <v>105</v>
      </c>
      <c r="B30" s="62"/>
      <c r="C30" s="13"/>
      <c r="D30" s="13"/>
      <c r="E30" s="13"/>
      <c r="F30" s="13"/>
      <c r="G30" s="74">
        <v>10.8978</v>
      </c>
      <c r="H30" s="13"/>
      <c r="I30" s="98">
        <v>10.8978</v>
      </c>
      <c r="J30" s="13">
        <v>6.27</v>
      </c>
      <c r="K30" s="136">
        <v>2.57</v>
      </c>
      <c r="L30" t="s">
        <v>154</v>
      </c>
    </row>
    <row r="31" spans="1:12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2" x14ac:dyDescent="0.3">
      <c r="A32" s="62" t="s">
        <v>11</v>
      </c>
      <c r="B32" s="62"/>
      <c r="C32" s="14"/>
      <c r="D32" s="14"/>
      <c r="E32" s="14"/>
      <c r="F32" s="14"/>
      <c r="G32" s="14"/>
      <c r="H32" s="13">
        <v>550</v>
      </c>
      <c r="I32" s="62"/>
      <c r="J32" s="62"/>
      <c r="K32" s="139">
        <v>550</v>
      </c>
    </row>
    <row r="33" spans="1:15" x14ac:dyDescent="0.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5" x14ac:dyDescent="0.3">
      <c r="A34" s="62"/>
      <c r="B34" s="62"/>
      <c r="C34" s="62"/>
      <c r="D34" s="62"/>
      <c r="E34" s="62"/>
      <c r="F34" s="62"/>
      <c r="G34" s="62"/>
      <c r="H34" s="14"/>
      <c r="I34" s="62"/>
      <c r="J34" s="14"/>
      <c r="K34" s="14"/>
      <c r="L34" s="62"/>
      <c r="M34" s="62"/>
    </row>
    <row r="35" spans="1:15" x14ac:dyDescent="0.3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8" spans="1:15" x14ac:dyDescent="0.3">
      <c r="A38" s="97" t="s">
        <v>143</v>
      </c>
      <c r="C38" s="12" t="s">
        <v>48</v>
      </c>
      <c r="D38" s="12" t="s">
        <v>34</v>
      </c>
      <c r="E38" s="12" t="s">
        <v>31</v>
      </c>
      <c r="F38" s="12" t="s">
        <v>35</v>
      </c>
      <c r="G38" s="27" t="s">
        <v>49</v>
      </c>
      <c r="H38" s="27" t="s">
        <v>50</v>
      </c>
      <c r="I38" s="28" t="s">
        <v>51</v>
      </c>
      <c r="J38" s="28" t="s">
        <v>52</v>
      </c>
      <c r="K38" s="1" t="s">
        <v>100</v>
      </c>
      <c r="L38" s="1" t="s">
        <v>101</v>
      </c>
    </row>
    <row r="39" spans="1:15" x14ac:dyDescent="0.3">
      <c r="C39" s="12"/>
      <c r="D39" s="12"/>
      <c r="E39" s="12"/>
      <c r="F39" s="12"/>
      <c r="G39" s="27" t="s">
        <v>36</v>
      </c>
      <c r="H39" s="27"/>
      <c r="I39" s="27"/>
      <c r="J39" s="27"/>
    </row>
    <row r="40" spans="1:15" x14ac:dyDescent="0.3">
      <c r="A40" s="6" t="s">
        <v>42</v>
      </c>
      <c r="C40" s="7">
        <v>214163791.26607656</v>
      </c>
      <c r="D40" s="7">
        <v>84917418.250368789</v>
      </c>
      <c r="E40" s="7">
        <v>2013223.6865790721</v>
      </c>
      <c r="F40" s="7">
        <v>2965728</v>
      </c>
      <c r="G40" s="29">
        <v>19516321.910371594</v>
      </c>
      <c r="H40" s="30">
        <f>+D40/$G40</f>
        <v>4.3510974373322346</v>
      </c>
      <c r="I40" s="30">
        <f t="shared" ref="I40" si="0">+E40/$G40</f>
        <v>0.10315589668098173</v>
      </c>
      <c r="J40" s="30">
        <f>+F40/G40</f>
        <v>0.15196142047769348</v>
      </c>
      <c r="K40" s="81">
        <v>3556511</v>
      </c>
      <c r="L40" s="58">
        <f>+F40/K40</f>
        <v>0.83388691894949851</v>
      </c>
      <c r="M40" s="62"/>
    </row>
    <row r="41" spans="1:15" x14ac:dyDescent="0.3">
      <c r="A41" s="6" t="s">
        <v>43</v>
      </c>
      <c r="C41" s="7">
        <v>90227772</v>
      </c>
      <c r="D41" s="7">
        <v>43699222.094499528</v>
      </c>
      <c r="E41" s="7">
        <v>1178151.7942125057</v>
      </c>
      <c r="F41" s="7">
        <v>1272072</v>
      </c>
      <c r="G41" s="83">
        <v>10134935.62608517</v>
      </c>
      <c r="H41" s="30">
        <f t="shared" ref="H41:H46" si="1">+D41/$G41</f>
        <v>4.3117414561595258</v>
      </c>
      <c r="I41" s="30">
        <f t="shared" ref="I41:I46" si="2">+E41/$G41</f>
        <v>0.11624659866414873</v>
      </c>
      <c r="J41" s="30">
        <f t="shared" ref="J41:J43" si="3">+F41/G41</f>
        <v>0.12551357472127964</v>
      </c>
      <c r="K41" s="57">
        <v>299348</v>
      </c>
      <c r="L41" s="58">
        <f t="shared" ref="L41:L43" si="4">+F41/K41</f>
        <v>4.2494755268116036</v>
      </c>
      <c r="M41" s="62"/>
    </row>
    <row r="42" spans="1:15" x14ac:dyDescent="0.3">
      <c r="A42" s="6" t="s">
        <v>44</v>
      </c>
      <c r="C42" s="7">
        <v>11713010.586928273</v>
      </c>
      <c r="D42" s="7">
        <v>6139166.1253399272</v>
      </c>
      <c r="E42" s="7">
        <v>0</v>
      </c>
      <c r="F42" s="7">
        <v>127900</v>
      </c>
      <c r="G42" s="83">
        <v>1948733</v>
      </c>
      <c r="H42" s="30">
        <f t="shared" si="1"/>
        <v>3.1503372321092358</v>
      </c>
      <c r="I42" s="30">
        <f t="shared" si="2"/>
        <v>0</v>
      </c>
      <c r="J42" s="30">
        <f t="shared" si="3"/>
        <v>6.563238781300465E-2</v>
      </c>
      <c r="K42" s="57">
        <v>3198</v>
      </c>
      <c r="L42" s="58">
        <f t="shared" si="4"/>
        <v>39.993746091307067</v>
      </c>
      <c r="M42" s="62"/>
    </row>
    <row r="43" spans="1:15" x14ac:dyDescent="0.3">
      <c r="A43" s="6" t="s">
        <v>45</v>
      </c>
      <c r="C43" s="7">
        <v>1076927.4693100373</v>
      </c>
      <c r="D43" s="7">
        <v>504944.4958231686</v>
      </c>
      <c r="E43" s="7">
        <v>10394.581739040445</v>
      </c>
      <c r="F43" s="7">
        <v>31974</v>
      </c>
      <c r="G43" s="83">
        <v>384116</v>
      </c>
      <c r="H43" s="30">
        <f t="shared" si="1"/>
        <v>1.3145625171124571</v>
      </c>
      <c r="I43" s="30">
        <f t="shared" si="2"/>
        <v>2.7061048586990506E-2</v>
      </c>
      <c r="J43" s="30">
        <f t="shared" si="3"/>
        <v>8.3240479438502948E-2</v>
      </c>
      <c r="K43" s="57">
        <v>72</v>
      </c>
      <c r="L43" s="58">
        <f t="shared" si="4"/>
        <v>444.08333333333331</v>
      </c>
      <c r="M43" s="62"/>
    </row>
    <row r="44" spans="1:15" x14ac:dyDescent="0.3">
      <c r="A44" s="6" t="s">
        <v>46</v>
      </c>
      <c r="C44" s="7">
        <v>7771455.0937248711</v>
      </c>
      <c r="D44" s="7">
        <v>0</v>
      </c>
      <c r="E44" s="7">
        <v>1930120.2622383344</v>
      </c>
      <c r="F44" s="7">
        <v>0</v>
      </c>
      <c r="G44" s="29">
        <v>12313888.497179303</v>
      </c>
      <c r="H44" s="30">
        <f t="shared" si="1"/>
        <v>0</v>
      </c>
      <c r="I44" s="30">
        <f t="shared" si="2"/>
        <v>0.15674336036747935</v>
      </c>
      <c r="J44" s="30"/>
      <c r="K44" s="84"/>
      <c r="L44" s="62"/>
      <c r="M44" s="62"/>
    </row>
    <row r="45" spans="1:15" x14ac:dyDescent="0.3">
      <c r="A45" s="6" t="s">
        <v>47</v>
      </c>
      <c r="C45" s="7">
        <v>2922300.5552032688</v>
      </c>
      <c r="D45" s="7">
        <v>630517.45178326871</v>
      </c>
      <c r="E45" s="7">
        <v>0</v>
      </c>
      <c r="F45" s="7">
        <v>0</v>
      </c>
      <c r="G45" s="29">
        <v>154579.79999999999</v>
      </c>
      <c r="H45" s="30">
        <f t="shared" si="1"/>
        <v>4.0789123273756909</v>
      </c>
      <c r="I45" s="30">
        <f t="shared" si="2"/>
        <v>0</v>
      </c>
      <c r="J45" s="30"/>
      <c r="K45" s="84"/>
    </row>
    <row r="46" spans="1:15" x14ac:dyDescent="0.3">
      <c r="A46" s="6" t="s">
        <v>132</v>
      </c>
      <c r="C46" s="89">
        <v>7041.3588978934076</v>
      </c>
      <c r="D46" s="90">
        <v>29.58996422013707</v>
      </c>
      <c r="E46" s="90">
        <v>1.3341336732703244</v>
      </c>
      <c r="F46" s="90">
        <v>0</v>
      </c>
      <c r="G46" s="91">
        <v>7.1999999999999993</v>
      </c>
      <c r="H46" s="92">
        <f t="shared" si="1"/>
        <v>4.1097172527968153</v>
      </c>
      <c r="I46" s="92">
        <f t="shared" si="2"/>
        <v>0.18529634350976729</v>
      </c>
      <c r="J46" s="30"/>
      <c r="K46" s="84">
        <v>12</v>
      </c>
    </row>
    <row r="47" spans="1:15" x14ac:dyDescent="0.3">
      <c r="A47" s="6" t="s">
        <v>138</v>
      </c>
      <c r="C47" s="89">
        <v>19209</v>
      </c>
      <c r="D47" s="128">
        <v>10099.84</v>
      </c>
      <c r="E47" s="90">
        <v>16.079999999999998</v>
      </c>
      <c r="F47" s="90">
        <v>70</v>
      </c>
      <c r="G47" s="91">
        <v>2970.2</v>
      </c>
      <c r="H47" s="92">
        <f t="shared" ref="H47" si="5">+D47/$G47</f>
        <v>3.4003905460911725</v>
      </c>
      <c r="I47" s="92">
        <f t="shared" ref="I47" si="6">+E47/$G47</f>
        <v>5.4137768500437675E-3</v>
      </c>
      <c r="J47" s="30">
        <f t="shared" ref="J47" si="7">+F47/G47</f>
        <v>2.3567436536260186E-2</v>
      </c>
      <c r="K47" s="57">
        <v>12</v>
      </c>
      <c r="L47" s="58">
        <f t="shared" ref="L47" si="8">+F47/K47</f>
        <v>5.833333333333333</v>
      </c>
    </row>
    <row r="48" spans="1:15" x14ac:dyDescent="0.3">
      <c r="A48" s="6"/>
      <c r="C48" s="82"/>
      <c r="D48" s="95"/>
      <c r="E48" s="8"/>
      <c r="F48" s="8"/>
      <c r="G48" s="31"/>
      <c r="H48" s="32"/>
      <c r="I48" s="32"/>
      <c r="J48" s="30"/>
      <c r="K48" s="57"/>
      <c r="L48" s="58"/>
    </row>
    <row r="49" spans="1:10" x14ac:dyDescent="0.3">
      <c r="C49" s="7">
        <f>SUM(C40:C48)</f>
        <v>327901507.33014083</v>
      </c>
      <c r="D49" s="7">
        <f t="shared" ref="D49:I49" si="9">SUM(D40:D48)</f>
        <v>135901397.84777892</v>
      </c>
      <c r="E49" s="7">
        <f t="shared" si="9"/>
        <v>5131907.7389026266</v>
      </c>
      <c r="F49" s="7">
        <f t="shared" si="9"/>
        <v>4397744</v>
      </c>
      <c r="G49" s="129">
        <f t="shared" si="9"/>
        <v>44455552.233636066</v>
      </c>
      <c r="H49" s="130">
        <f t="shared" si="9"/>
        <v>24.716758768977133</v>
      </c>
      <c r="I49" s="130">
        <f t="shared" si="9"/>
        <v>0.59391702465941132</v>
      </c>
      <c r="J49" s="30"/>
    </row>
    <row r="50" spans="1:10" x14ac:dyDescent="0.3">
      <c r="J50" s="26"/>
    </row>
    <row r="51" spans="1:10" ht="27" x14ac:dyDescent="0.3">
      <c r="D51" s="4" t="s">
        <v>5</v>
      </c>
      <c r="E51" s="4" t="s">
        <v>3</v>
      </c>
      <c r="F51" s="4" t="s">
        <v>4</v>
      </c>
      <c r="J51" s="26"/>
    </row>
    <row r="52" spans="1:10" x14ac:dyDescent="0.3">
      <c r="A52" s="2" t="s">
        <v>1</v>
      </c>
      <c r="J52" s="26"/>
    </row>
    <row r="53" spans="1:10" x14ac:dyDescent="0.3">
      <c r="A53" s="6" t="s">
        <v>6</v>
      </c>
      <c r="D53" s="140">
        <v>0</v>
      </c>
      <c r="E53" s="140">
        <v>0</v>
      </c>
      <c r="F53" s="140">
        <v>0</v>
      </c>
      <c r="J53" s="26"/>
    </row>
    <row r="54" spans="1:10" x14ac:dyDescent="0.3">
      <c r="A54" s="5" t="s">
        <v>7</v>
      </c>
      <c r="D54" s="141">
        <v>0</v>
      </c>
      <c r="E54" s="141"/>
      <c r="F54" s="141"/>
      <c r="J54" s="26"/>
    </row>
    <row r="55" spans="1:10" x14ac:dyDescent="0.3">
      <c r="A55" t="s">
        <v>8</v>
      </c>
      <c r="D55" s="140">
        <f>SUM(D53:D54)</f>
        <v>0</v>
      </c>
      <c r="E55" s="140">
        <f>SUM(E53:E54)</f>
        <v>0</v>
      </c>
      <c r="F55" s="140">
        <f t="shared" ref="F55" si="10">SUM(F53:F54)</f>
        <v>0</v>
      </c>
    </row>
    <row r="56" spans="1:10" x14ac:dyDescent="0.3">
      <c r="A56" s="3"/>
      <c r="D56" s="7"/>
      <c r="E56" s="7"/>
      <c r="G56" s="7"/>
    </row>
    <row r="57" spans="1:10" x14ac:dyDescent="0.3">
      <c r="A57" s="3" t="s">
        <v>2</v>
      </c>
      <c r="D57" s="7">
        <f>+D49-D55</f>
        <v>135901397.84777892</v>
      </c>
      <c r="E57" s="7">
        <f t="shared" ref="E57:F57" si="11">+E49-E55</f>
        <v>5131907.7389026266</v>
      </c>
      <c r="F57" s="7">
        <f t="shared" si="11"/>
        <v>4397744</v>
      </c>
    </row>
    <row r="58" spans="1:10" x14ac:dyDescent="0.3">
      <c r="A58" s="3"/>
    </row>
    <row r="60" spans="1:10" x14ac:dyDescent="0.3">
      <c r="A60" s="49" t="s">
        <v>78</v>
      </c>
      <c r="D60" s="7">
        <f>+D40+D41+D42+D43+D45</f>
        <v>135891268.4178147</v>
      </c>
      <c r="E60" s="7"/>
      <c r="G60" s="29">
        <f>+G40+G41+G42+G43+G45</f>
        <v>32138686.336456764</v>
      </c>
      <c r="H60" s="30">
        <f>+D60/$G60</f>
        <v>4.228277005325678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B40"/>
  <sheetViews>
    <sheetView view="pageBreakPreview" topLeftCell="L1" zoomScaleNormal="100" zoomScaleSheetLayoutView="100" workbookViewId="0">
      <selection activeCell="A22" sqref="A22"/>
    </sheetView>
  </sheetViews>
  <sheetFormatPr defaultColWidth="9.109375" defaultRowHeight="13.2" x14ac:dyDescent="0.25"/>
  <cols>
    <col min="1" max="1" width="9.33203125" style="33" bestFit="1" customWidth="1"/>
    <col min="2" max="2" width="2.109375" style="33" customWidth="1"/>
    <col min="3" max="3" width="9.33203125" style="33" customWidth="1"/>
    <col min="4" max="4" width="1.5546875" style="33" customWidth="1"/>
    <col min="5" max="5" width="10" style="33" customWidth="1"/>
    <col min="6" max="6" width="10.109375" style="33" customWidth="1"/>
    <col min="7" max="7" width="11" style="33" customWidth="1"/>
    <col min="8" max="8" width="9.44140625" style="33" customWidth="1"/>
    <col min="9" max="9" width="8.6640625" style="33" bestFit="1" customWidth="1"/>
    <col min="10" max="10" width="8.33203125" style="33" customWidth="1"/>
    <col min="11" max="11" width="7.44140625" style="33" customWidth="1"/>
    <col min="12" max="12" width="11.5546875" style="33" customWidth="1"/>
    <col min="13" max="14" width="12" style="33" customWidth="1"/>
    <col min="15" max="18" width="4.88671875" style="33" customWidth="1"/>
    <col min="19" max="20" width="9.109375" style="33"/>
    <col min="21" max="21" width="9.5546875" style="33" bestFit="1" customWidth="1"/>
    <col min="22" max="25" width="9.109375" style="33"/>
    <col min="26" max="26" width="9.5546875" style="33" bestFit="1" customWidth="1"/>
    <col min="27" max="16384" width="9.109375" style="33"/>
  </cols>
  <sheetData>
    <row r="1" spans="1:28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28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28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28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28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28" x14ac:dyDescent="0.25">
      <c r="A6" s="105"/>
      <c r="B6" s="105"/>
      <c r="C6" s="105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28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6" t="str">
        <f>+'Rate Case Constants'!C25</f>
        <v>SCHEDULE N (Gas)</v>
      </c>
    </row>
    <row r="8" spans="1:28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7" t="str">
        <f>+'Rate Case Constants'!I14</f>
        <v>PAGE 7 OF 11</v>
      </c>
    </row>
    <row r="9" spans="1:28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6" t="str">
        <f>+'Rate Case Constants'!C36</f>
        <v>WITNESS:   C. M. GARRETT</v>
      </c>
    </row>
    <row r="10" spans="1:28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7"/>
      <c r="S10" s="25" t="s">
        <v>34</v>
      </c>
      <c r="T10" s="21">
        <f>+INPUT!$H$46</f>
        <v>4.1097172527968153</v>
      </c>
      <c r="U10" s="21"/>
      <c r="V10" s="34" t="s">
        <v>79</v>
      </c>
      <c r="W10" s="34"/>
      <c r="X10" s="34"/>
      <c r="Y10" s="34"/>
      <c r="Z10" s="34"/>
      <c r="AA10" s="34"/>
      <c r="AB10" s="34"/>
    </row>
    <row r="11" spans="1:28" x14ac:dyDescent="0.25">
      <c r="A11" s="113" t="s">
        <v>59</v>
      </c>
      <c r="B11" s="114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52"/>
      <c r="P11" s="52"/>
      <c r="Q11" s="52"/>
      <c r="R11" s="52"/>
      <c r="S11" s="53" t="s">
        <v>31</v>
      </c>
      <c r="T11" s="54">
        <f>+INPUT!$I$46</f>
        <v>0.18529634350976729</v>
      </c>
      <c r="U11" s="68"/>
      <c r="V11" s="16"/>
      <c r="W11" s="16"/>
      <c r="X11" s="22"/>
      <c r="Y11" s="16"/>
      <c r="Z11" s="16"/>
      <c r="AA11" s="16"/>
      <c r="AB11" s="34"/>
    </row>
    <row r="12" spans="1:28" x14ac:dyDescent="0.25">
      <c r="A12" s="16" t="s">
        <v>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S12" s="25" t="s">
        <v>35</v>
      </c>
      <c r="T12" s="54">
        <f>+INPUT!$J$46</f>
        <v>0</v>
      </c>
      <c r="U12" s="21"/>
      <c r="V12" s="16"/>
      <c r="W12" s="16"/>
      <c r="X12" s="16"/>
      <c r="Y12" s="16"/>
      <c r="Z12" s="16"/>
      <c r="AA12" s="16"/>
      <c r="AB12" s="34"/>
    </row>
    <row r="13" spans="1:28" x14ac:dyDescent="0.25">
      <c r="A13" s="16"/>
      <c r="B13" s="16"/>
      <c r="C13" s="16"/>
      <c r="D13" s="16"/>
      <c r="E13" s="17" t="s">
        <v>84</v>
      </c>
      <c r="F13" s="18" t="s">
        <v>92</v>
      </c>
      <c r="G13" s="18" t="s">
        <v>85</v>
      </c>
      <c r="H13" s="17" t="s">
        <v>86</v>
      </c>
      <c r="I13" s="17" t="s">
        <v>87</v>
      </c>
      <c r="J13" s="17" t="s">
        <v>88</v>
      </c>
      <c r="K13" s="18" t="s">
        <v>93</v>
      </c>
      <c r="L13" s="17" t="s">
        <v>89</v>
      </c>
      <c r="M13" s="17" t="s">
        <v>90</v>
      </c>
      <c r="N13" s="17" t="s">
        <v>91</v>
      </c>
      <c r="S13" s="16"/>
      <c r="T13" s="16"/>
      <c r="U13" s="16"/>
      <c r="V13" s="16"/>
      <c r="W13" s="16"/>
      <c r="X13" s="16"/>
      <c r="Y13" s="16"/>
      <c r="Z13" s="16"/>
      <c r="AA13" s="16"/>
      <c r="AB13" s="34"/>
    </row>
    <row r="14" spans="1:28" x14ac:dyDescent="0.25">
      <c r="A14" s="34"/>
      <c r="B14" s="34"/>
      <c r="C14" s="34"/>
      <c r="D14" s="34"/>
      <c r="E14" s="79" t="s">
        <v>112</v>
      </c>
      <c r="F14" s="79" t="s">
        <v>112</v>
      </c>
      <c r="G14" s="34"/>
      <c r="H14" s="34"/>
      <c r="I14" s="34"/>
      <c r="J14" s="34"/>
      <c r="K14" s="34"/>
      <c r="L14" s="17" t="s">
        <v>26</v>
      </c>
      <c r="M14" s="17" t="s">
        <v>26</v>
      </c>
      <c r="N14" s="34"/>
      <c r="S14" s="23" t="s">
        <v>0</v>
      </c>
      <c r="T14" s="23"/>
      <c r="U14" s="23"/>
      <c r="V14" s="23"/>
      <c r="W14" s="34"/>
      <c r="X14" s="23" t="s">
        <v>25</v>
      </c>
      <c r="Y14" s="23"/>
      <c r="Z14" s="23"/>
      <c r="AA14" s="23"/>
      <c r="AB14" s="34"/>
    </row>
    <row r="15" spans="1:28" x14ac:dyDescent="0.25">
      <c r="A15" s="34"/>
      <c r="B15" s="34"/>
      <c r="C15" s="34"/>
      <c r="D15" s="34"/>
      <c r="E15" s="17" t="s">
        <v>21</v>
      </c>
      <c r="F15" s="17" t="s">
        <v>27</v>
      </c>
      <c r="G15" s="17"/>
      <c r="H15" s="17"/>
      <c r="I15" s="145" t="s">
        <v>28</v>
      </c>
      <c r="J15" s="145"/>
      <c r="K15" s="146"/>
      <c r="L15" s="17" t="s">
        <v>21</v>
      </c>
      <c r="M15" s="17" t="s">
        <v>27</v>
      </c>
      <c r="N15" s="17"/>
      <c r="S15" s="18" t="s">
        <v>37</v>
      </c>
      <c r="T15" s="17"/>
      <c r="U15" s="17"/>
      <c r="V15" s="18"/>
      <c r="W15" s="34"/>
      <c r="X15" s="18" t="s">
        <v>37</v>
      </c>
      <c r="Y15" s="17"/>
      <c r="Z15" s="17"/>
      <c r="AA15" s="18"/>
      <c r="AB15" s="34"/>
    </row>
    <row r="16" spans="1:28" x14ac:dyDescent="0.25">
      <c r="A16" s="17"/>
      <c r="B16" s="17"/>
      <c r="C16" s="17"/>
      <c r="D16" s="17"/>
      <c r="E16" s="17" t="s">
        <v>29</v>
      </c>
      <c r="F16" s="17" t="s">
        <v>29</v>
      </c>
      <c r="G16" s="17" t="s">
        <v>30</v>
      </c>
      <c r="H16" s="17" t="s">
        <v>30</v>
      </c>
      <c r="I16" s="17" t="s">
        <v>34</v>
      </c>
      <c r="J16" s="17" t="s">
        <v>31</v>
      </c>
      <c r="K16" s="17" t="s">
        <v>35</v>
      </c>
      <c r="L16" s="17" t="s">
        <v>29</v>
      </c>
      <c r="M16" s="17" t="s">
        <v>29</v>
      </c>
      <c r="N16" s="17" t="s">
        <v>30</v>
      </c>
      <c r="S16" s="18" t="s">
        <v>38</v>
      </c>
      <c r="T16" s="17" t="s">
        <v>113</v>
      </c>
      <c r="U16" s="17" t="s">
        <v>106</v>
      </c>
      <c r="V16" s="18" t="s">
        <v>26</v>
      </c>
      <c r="W16" s="34"/>
      <c r="X16" s="18" t="s">
        <v>38</v>
      </c>
      <c r="Y16" s="17" t="s">
        <v>113</v>
      </c>
      <c r="Z16" s="17" t="s">
        <v>106</v>
      </c>
      <c r="AA16" s="18" t="s">
        <v>26</v>
      </c>
      <c r="AB16" s="34"/>
    </row>
    <row r="17" spans="1:28" x14ac:dyDescent="0.25">
      <c r="A17" s="17" t="s">
        <v>36</v>
      </c>
      <c r="B17" s="17"/>
      <c r="C17" s="17" t="s">
        <v>108</v>
      </c>
      <c r="D17" s="17"/>
      <c r="E17" s="17"/>
      <c r="F17" s="17"/>
      <c r="G17" s="17" t="s">
        <v>32</v>
      </c>
      <c r="H17" s="18" t="s">
        <v>33</v>
      </c>
      <c r="I17" s="19"/>
      <c r="J17" s="19"/>
      <c r="K17" s="20"/>
      <c r="L17" s="17" t="s">
        <v>32</v>
      </c>
      <c r="M17" s="17" t="s">
        <v>32</v>
      </c>
      <c r="N17" s="18" t="s">
        <v>33</v>
      </c>
      <c r="S17" s="39" t="s">
        <v>41</v>
      </c>
      <c r="T17" s="40" t="s">
        <v>41</v>
      </c>
      <c r="U17" s="66" t="s">
        <v>41</v>
      </c>
      <c r="V17" s="39" t="s">
        <v>29</v>
      </c>
      <c r="W17" s="34"/>
      <c r="X17" s="39" t="s">
        <v>41</v>
      </c>
      <c r="Y17" s="40" t="s">
        <v>41</v>
      </c>
      <c r="Z17" s="66" t="s">
        <v>41</v>
      </c>
      <c r="AA17" s="39" t="s">
        <v>29</v>
      </c>
      <c r="AB17" s="34"/>
    </row>
    <row r="18" spans="1:28" x14ac:dyDescent="0.25">
      <c r="A18" s="100"/>
      <c r="B18" s="100"/>
      <c r="C18" s="100"/>
      <c r="D18" s="100"/>
      <c r="E18" s="100"/>
      <c r="F18" s="100"/>
      <c r="G18" s="100" t="str">
        <f>("[ "&amp;F13&amp;" - "&amp;E13&amp;" ]")</f>
        <v>[ B - A ]</v>
      </c>
      <c r="H18" s="100" t="str">
        <f>("[ "&amp;G13&amp;" / "&amp;E13&amp;" ]")</f>
        <v>[ C / A ]</v>
      </c>
      <c r="I18" s="108"/>
      <c r="J18" s="108"/>
      <c r="K18" s="108"/>
      <c r="L18" s="99" t="str">
        <f>("["&amp;E13&amp;"+"&amp;$I$13&amp;"+"&amp;$J$13&amp;"+"&amp;$K$13&amp;"]")</f>
        <v>[A+E+F+G]</v>
      </c>
      <c r="M18" s="100" t="str">
        <f>("["&amp;F13&amp;"+"&amp;$I$13&amp;"+"&amp;$J$13&amp;"+"&amp;$K$13&amp;"]")</f>
        <v>[B+E+F+G]</v>
      </c>
      <c r="N18" s="100" t="str">
        <f>("[("&amp;M13&amp;" - "&amp;L13&amp;") / "&amp;L13&amp;"]")</f>
        <v>[(I - H) / H]</v>
      </c>
      <c r="S18" s="18"/>
      <c r="T18" s="24">
        <f>+INPUT!$G$9</f>
        <v>0.33289999999999997</v>
      </c>
      <c r="U18" s="24">
        <f>+INPUT!$G$12</f>
        <v>11.263</v>
      </c>
      <c r="V18" s="18"/>
      <c r="W18" s="34"/>
      <c r="X18" s="18"/>
      <c r="Y18" s="24">
        <f>+INPUT!$G$27</f>
        <v>0.29920000000000002</v>
      </c>
      <c r="Z18" s="24">
        <f>+INPUT!$G$30</f>
        <v>10.8978</v>
      </c>
      <c r="AA18" s="18"/>
      <c r="AB18" s="34"/>
    </row>
    <row r="19" spans="1:28" x14ac:dyDescent="0.25">
      <c r="A19" s="17"/>
      <c r="B19" s="17"/>
      <c r="C19" s="17"/>
      <c r="D19" s="17"/>
      <c r="E19" s="17"/>
      <c r="F19" s="17"/>
      <c r="H19" s="17"/>
      <c r="I19" s="17"/>
      <c r="J19" s="17"/>
      <c r="K19" s="17"/>
      <c r="L19" s="18"/>
      <c r="M19" s="18"/>
      <c r="N19" s="18"/>
      <c r="S19" s="18"/>
      <c r="T19" s="18" t="s">
        <v>114</v>
      </c>
      <c r="U19" s="17" t="s">
        <v>107</v>
      </c>
      <c r="V19" s="18"/>
      <c r="W19" s="34"/>
      <c r="X19" s="18"/>
      <c r="Y19" s="18" t="s">
        <v>114</v>
      </c>
      <c r="Z19" s="17" t="s">
        <v>107</v>
      </c>
      <c r="AA19" s="18"/>
      <c r="AB19" s="34"/>
    </row>
    <row r="20" spans="1:28" x14ac:dyDescent="0.25">
      <c r="A20" s="56">
        <v>3</v>
      </c>
      <c r="B20" s="56"/>
      <c r="C20" s="56">
        <v>48</v>
      </c>
      <c r="E20" s="35">
        <f>+V20</f>
        <v>581.62</v>
      </c>
      <c r="F20" s="35">
        <f>+AA20</f>
        <v>688.99</v>
      </c>
      <c r="G20" s="35">
        <f>+F20-E20</f>
        <v>107.37</v>
      </c>
      <c r="H20" s="36">
        <f>ROUND(+G20/E20,4)</f>
        <v>0.18459999999999999</v>
      </c>
      <c r="I20" s="35">
        <f>ROUND($A20*$T$10,2)</f>
        <v>12.33</v>
      </c>
      <c r="J20" s="35">
        <f>ROUND($A20*$T$11,2)</f>
        <v>0.56000000000000005</v>
      </c>
      <c r="K20" s="35">
        <f>ROUND($A20*$T$12,2)</f>
        <v>0</v>
      </c>
      <c r="L20" s="35">
        <f>+E20+I20+J20+K20</f>
        <v>594.51</v>
      </c>
      <c r="M20" s="35">
        <f>+F20+I20+J20+K20</f>
        <v>701.88</v>
      </c>
      <c r="N20" s="36">
        <f>ROUND((M20-L20)/L20,4)</f>
        <v>0.18060000000000001</v>
      </c>
      <c r="S20" s="37">
        <f>+INPUT!$G$6</f>
        <v>40</v>
      </c>
      <c r="T20" s="37">
        <f>ROUND($T$18*$A20,2)</f>
        <v>1</v>
      </c>
      <c r="U20" s="37">
        <f>ROUND($U$18*$C20,2)</f>
        <v>540.62</v>
      </c>
      <c r="V20" s="37">
        <f>SUM(S20:U20)</f>
        <v>581.62</v>
      </c>
      <c r="X20" s="37">
        <f>+INPUT!$G$24</f>
        <v>165</v>
      </c>
      <c r="Y20" s="37">
        <f>ROUND($Y$18*$A20,2)</f>
        <v>0.9</v>
      </c>
      <c r="Z20" s="37">
        <f>ROUND($Z$18*$C20,2)</f>
        <v>523.09</v>
      </c>
      <c r="AA20" s="37">
        <f>SUM(X20:Z20)</f>
        <v>688.99</v>
      </c>
    </row>
    <row r="21" spans="1:28" x14ac:dyDescent="0.25">
      <c r="A21" s="56"/>
      <c r="B21" s="56"/>
      <c r="C21" s="56"/>
      <c r="E21" s="34"/>
      <c r="F21" s="34"/>
      <c r="L21" s="34"/>
      <c r="M21" s="34"/>
      <c r="N21" s="34"/>
    </row>
    <row r="22" spans="1:28" x14ac:dyDescent="0.25">
      <c r="A22" s="56">
        <v>5</v>
      </c>
      <c r="B22" s="56"/>
      <c r="C22" s="56">
        <v>48</v>
      </c>
      <c r="E22" s="35">
        <f>+V22</f>
        <v>582.28</v>
      </c>
      <c r="F22" s="35">
        <f>+AA22</f>
        <v>689.59</v>
      </c>
      <c r="G22" s="35">
        <f>+F22-E22</f>
        <v>107.31000000000006</v>
      </c>
      <c r="H22" s="36">
        <f>ROUND(+G22/E22,4)</f>
        <v>0.18429999999999999</v>
      </c>
      <c r="I22" s="35">
        <f>ROUND($A22*$T$10,2)</f>
        <v>20.55</v>
      </c>
      <c r="J22" s="35">
        <f>ROUND($A22*$T$11,2)</f>
        <v>0.93</v>
      </c>
      <c r="K22" s="35">
        <f>ROUND($A22*$T$12,2)</f>
        <v>0</v>
      </c>
      <c r="L22" s="35">
        <f>+E22+I22+J22+K22</f>
        <v>603.75999999999988</v>
      </c>
      <c r="M22" s="35">
        <f>+F22+I22+J22+K22</f>
        <v>711.06999999999994</v>
      </c>
      <c r="N22" s="36">
        <f>ROUND((M22-L22)/L22,4)</f>
        <v>0.1777</v>
      </c>
      <c r="S22" s="37">
        <f>+$S$20</f>
        <v>40</v>
      </c>
      <c r="T22" s="37">
        <f>ROUND($T$18*$A22,2)</f>
        <v>1.66</v>
      </c>
      <c r="U22" s="37">
        <f>ROUND($U$18*$C22,2)</f>
        <v>540.62</v>
      </c>
      <c r="V22" s="37">
        <f>SUM(S22:U22)</f>
        <v>582.28</v>
      </c>
      <c r="X22" s="37">
        <f>+$X$20</f>
        <v>165</v>
      </c>
      <c r="Y22" s="37">
        <f>ROUND($Y$18*$A22,2)</f>
        <v>1.5</v>
      </c>
      <c r="Z22" s="37">
        <f>ROUND($Z$18*$C22,2)</f>
        <v>523.09</v>
      </c>
      <c r="AA22" s="37">
        <f>SUM(X22:Z22)</f>
        <v>689.59</v>
      </c>
    </row>
    <row r="23" spans="1:28" x14ac:dyDescent="0.25">
      <c r="A23" s="56"/>
      <c r="B23" s="56"/>
      <c r="C23" s="56"/>
      <c r="E23" s="35"/>
      <c r="F23" s="35"/>
      <c r="L23" s="35"/>
      <c r="M23" s="35"/>
      <c r="N23" s="36"/>
    </row>
    <row r="24" spans="1:28" x14ac:dyDescent="0.25">
      <c r="A24" s="56">
        <v>10</v>
      </c>
      <c r="B24" s="56"/>
      <c r="C24" s="56">
        <v>48</v>
      </c>
      <c r="E24" s="35">
        <f>+V24</f>
        <v>583.95000000000005</v>
      </c>
      <c r="F24" s="35">
        <f>+AA24</f>
        <v>691.08</v>
      </c>
      <c r="G24" s="35">
        <f>+F24-E24</f>
        <v>107.13</v>
      </c>
      <c r="H24" s="36">
        <f>ROUND(+G24/E24,4)</f>
        <v>0.1835</v>
      </c>
      <c r="I24" s="35">
        <f>ROUND($A24*$T$10,2)</f>
        <v>41.1</v>
      </c>
      <c r="J24" s="35">
        <f>ROUND($A24*$T$11,2)</f>
        <v>1.85</v>
      </c>
      <c r="K24" s="35">
        <f>ROUND($A24*$T$12,2)</f>
        <v>0</v>
      </c>
      <c r="L24" s="35">
        <f>+E24+I24+J24+K24</f>
        <v>626.90000000000009</v>
      </c>
      <c r="M24" s="35">
        <f>+F24+I24+J24+K24</f>
        <v>734.03000000000009</v>
      </c>
      <c r="N24" s="36">
        <f>ROUND((M24-L24)/L24,4)</f>
        <v>0.1709</v>
      </c>
      <c r="S24" s="37">
        <f>+$S$20</f>
        <v>40</v>
      </c>
      <c r="T24" s="37">
        <f>ROUND($T$18*$A24,2)</f>
        <v>3.33</v>
      </c>
      <c r="U24" s="37">
        <f>ROUND($U$18*$C24,2)</f>
        <v>540.62</v>
      </c>
      <c r="V24" s="37">
        <f>SUM(S24:U24)</f>
        <v>583.95000000000005</v>
      </c>
      <c r="X24" s="37">
        <f>+$X$20</f>
        <v>165</v>
      </c>
      <c r="Y24" s="37">
        <f>ROUND($Y$18*$A24,2)</f>
        <v>2.99</v>
      </c>
      <c r="Z24" s="37">
        <f>ROUND($Z$18*$C24,2)</f>
        <v>523.09</v>
      </c>
      <c r="AA24" s="37">
        <f>SUM(X24:Z24)</f>
        <v>691.08</v>
      </c>
    </row>
    <row r="25" spans="1:28" x14ac:dyDescent="0.25">
      <c r="A25" s="56"/>
      <c r="B25" s="56"/>
      <c r="C25" s="56"/>
      <c r="E25" s="34"/>
      <c r="F25" s="34"/>
      <c r="L25" s="34"/>
      <c r="M25" s="34"/>
      <c r="N25" s="34"/>
    </row>
    <row r="26" spans="1:28" x14ac:dyDescent="0.25">
      <c r="A26" s="56">
        <v>20</v>
      </c>
      <c r="B26" s="56"/>
      <c r="C26" s="56">
        <v>48</v>
      </c>
      <c r="E26" s="38">
        <f>+V26</f>
        <v>587.28</v>
      </c>
      <c r="F26" s="38">
        <f>+AA26</f>
        <v>694.07</v>
      </c>
      <c r="G26" s="35">
        <f>+F26-E26</f>
        <v>106.79000000000008</v>
      </c>
      <c r="H26" s="36">
        <f>ROUND(+G26/E26,4)</f>
        <v>0.18179999999999999</v>
      </c>
      <c r="I26" s="35">
        <f>ROUND($A26*$T$10,2)</f>
        <v>82.19</v>
      </c>
      <c r="J26" s="35">
        <f>ROUND($A26*$T$11,2)</f>
        <v>3.71</v>
      </c>
      <c r="K26" s="35">
        <f>ROUND($A26*$T$12,2)</f>
        <v>0</v>
      </c>
      <c r="L26" s="38">
        <f>+E26+I26+J26+K26</f>
        <v>673.18000000000006</v>
      </c>
      <c r="M26" s="38">
        <f>+F26+I26+J26+K26</f>
        <v>779.97</v>
      </c>
      <c r="N26" s="36">
        <f>ROUND((M26-L26)/L26,4)</f>
        <v>0.15859999999999999</v>
      </c>
      <c r="S26" s="37">
        <f>+$S$20</f>
        <v>40</v>
      </c>
      <c r="T26" s="37">
        <f>ROUND($T$18*$A26,2)</f>
        <v>6.66</v>
      </c>
      <c r="U26" s="37">
        <f>ROUND($U$18*$C26,2)</f>
        <v>540.62</v>
      </c>
      <c r="V26" s="37">
        <f>SUM(S26:U26)</f>
        <v>587.28</v>
      </c>
      <c r="X26" s="37">
        <f>+$X$20</f>
        <v>165</v>
      </c>
      <c r="Y26" s="37">
        <f>ROUND($Y$18*$A26,2)</f>
        <v>5.98</v>
      </c>
      <c r="Z26" s="37">
        <f>ROUND($Z$18*$C26,2)</f>
        <v>523.09</v>
      </c>
      <c r="AA26" s="37">
        <f>SUM(X26:Z26)</f>
        <v>694.07</v>
      </c>
    </row>
    <row r="27" spans="1:28" x14ac:dyDescent="0.25">
      <c r="A27" s="56"/>
      <c r="B27" s="56"/>
      <c r="C27" s="56"/>
      <c r="E27" s="34"/>
      <c r="F27" s="34"/>
      <c r="L27" s="34"/>
      <c r="M27" s="34"/>
      <c r="N27" s="34"/>
    </row>
    <row r="28" spans="1:28" x14ac:dyDescent="0.25">
      <c r="A28" s="56">
        <v>40</v>
      </c>
      <c r="B28" s="56"/>
      <c r="C28" s="56">
        <v>48</v>
      </c>
      <c r="E28" s="35">
        <f>+V28</f>
        <v>593.94000000000005</v>
      </c>
      <c r="F28" s="35">
        <f>+AA28</f>
        <v>700.06000000000006</v>
      </c>
      <c r="G28" s="35">
        <f>+F28-E28</f>
        <v>106.12</v>
      </c>
      <c r="H28" s="36">
        <f>ROUND(+G28/E28,4)</f>
        <v>0.1787</v>
      </c>
      <c r="I28" s="35">
        <f>ROUND($A28*$T$10,2)</f>
        <v>164.39</v>
      </c>
      <c r="J28" s="35">
        <f>ROUND($A28*$T$11,2)</f>
        <v>7.41</v>
      </c>
      <c r="K28" s="35">
        <f>ROUND($A28*$T$12,2)</f>
        <v>0</v>
      </c>
      <c r="L28" s="35">
        <f>+E28+I28+J28+K28</f>
        <v>765.74</v>
      </c>
      <c r="M28" s="35">
        <f>+F28+I28+J28+K28</f>
        <v>871.86</v>
      </c>
      <c r="N28" s="36">
        <f>ROUND((M28-L28)/L28,4)</f>
        <v>0.1386</v>
      </c>
      <c r="S28" s="37">
        <f>+$S$20</f>
        <v>40</v>
      </c>
      <c r="T28" s="37">
        <f>ROUND($T$18*$A28,2)</f>
        <v>13.32</v>
      </c>
      <c r="U28" s="37">
        <f>ROUND($U$18*$C28,2)</f>
        <v>540.62</v>
      </c>
      <c r="V28" s="37">
        <f>SUM(S28:U28)</f>
        <v>593.94000000000005</v>
      </c>
      <c r="X28" s="37">
        <f>+$X$20</f>
        <v>165</v>
      </c>
      <c r="Y28" s="37">
        <f>ROUND($Y$18*$A28,2)</f>
        <v>11.97</v>
      </c>
      <c r="Z28" s="37">
        <f>ROUND($Z$18*$C28,2)</f>
        <v>523.09</v>
      </c>
      <c r="AA28" s="37">
        <f>SUM(X28:Z28)</f>
        <v>700.06000000000006</v>
      </c>
    </row>
    <row r="29" spans="1:28" x14ac:dyDescent="0.25">
      <c r="A29" s="56"/>
      <c r="B29" s="56"/>
      <c r="C29" s="56"/>
      <c r="E29" s="34"/>
      <c r="F29" s="34"/>
      <c r="L29" s="34"/>
      <c r="M29" s="34"/>
      <c r="N29" s="34"/>
    </row>
    <row r="30" spans="1:28" x14ac:dyDescent="0.25">
      <c r="A30" s="56">
        <v>60</v>
      </c>
      <c r="B30" s="56"/>
      <c r="C30" s="56">
        <v>48</v>
      </c>
      <c r="E30" s="35">
        <f>+V30</f>
        <v>600.59</v>
      </c>
      <c r="F30" s="35">
        <f>+AA30</f>
        <v>706.04</v>
      </c>
      <c r="G30" s="35">
        <f>+F30-E30</f>
        <v>105.44999999999993</v>
      </c>
      <c r="H30" s="36">
        <f>ROUND(+G30/E30,4)</f>
        <v>0.17560000000000001</v>
      </c>
      <c r="I30" s="35">
        <f>ROUND($A30*$T$10,2)</f>
        <v>246.58</v>
      </c>
      <c r="J30" s="35">
        <f>ROUND($A30*$T$11,2)</f>
        <v>11.12</v>
      </c>
      <c r="K30" s="35">
        <f>ROUND($A30*$T$12,2)</f>
        <v>0</v>
      </c>
      <c r="L30" s="35">
        <f>+E30+I30+J30+K30</f>
        <v>858.29000000000008</v>
      </c>
      <c r="M30" s="35">
        <f>+F30+I30+J30+K30</f>
        <v>963.74</v>
      </c>
      <c r="N30" s="36">
        <f>ROUND((M30-L30)/L30,4)</f>
        <v>0.1229</v>
      </c>
      <c r="S30" s="37">
        <f>+$S$20</f>
        <v>40</v>
      </c>
      <c r="T30" s="37">
        <f>ROUND($T$18*$A30,2)</f>
        <v>19.97</v>
      </c>
      <c r="U30" s="37">
        <f>ROUND($U$18*$C30,2)</f>
        <v>540.62</v>
      </c>
      <c r="V30" s="37">
        <f>SUM(S30:U30)</f>
        <v>600.59</v>
      </c>
      <c r="X30" s="37">
        <f>+$X$20</f>
        <v>165</v>
      </c>
      <c r="Y30" s="37">
        <f>ROUND($Y$18*$A30,2)</f>
        <v>17.95</v>
      </c>
      <c r="Z30" s="37">
        <f>ROUND($Z$18*$C30,2)</f>
        <v>523.09</v>
      </c>
      <c r="AA30" s="37">
        <f>SUM(X30:Z30)</f>
        <v>706.04</v>
      </c>
    </row>
    <row r="31" spans="1:28" x14ac:dyDescent="0.25">
      <c r="A31" s="56"/>
      <c r="B31" s="56"/>
      <c r="C31" s="56"/>
      <c r="E31" s="34"/>
      <c r="F31" s="34"/>
      <c r="L31" s="34"/>
      <c r="M31" s="34"/>
      <c r="N31" s="34"/>
    </row>
    <row r="32" spans="1:28" x14ac:dyDescent="0.25">
      <c r="A32" s="56">
        <v>80</v>
      </c>
      <c r="B32" s="56"/>
      <c r="C32" s="56">
        <v>48</v>
      </c>
      <c r="E32" s="35">
        <f>+V32</f>
        <v>607.25</v>
      </c>
      <c r="F32" s="35">
        <f>+AA32</f>
        <v>712.03</v>
      </c>
      <c r="G32" s="35">
        <f>+F32-E32</f>
        <v>104.77999999999997</v>
      </c>
      <c r="H32" s="36">
        <f>ROUND(+G32/E32,4)</f>
        <v>0.17249999999999999</v>
      </c>
      <c r="I32" s="35">
        <f>ROUND($A32*$T$10,2)</f>
        <v>328.78</v>
      </c>
      <c r="J32" s="35">
        <f>ROUND($A32*$T$11,2)</f>
        <v>14.82</v>
      </c>
      <c r="K32" s="35">
        <f>ROUND($A32*$T$12,2)</f>
        <v>0</v>
      </c>
      <c r="L32" s="35">
        <f>+E32+I32+J32+K32</f>
        <v>950.85</v>
      </c>
      <c r="M32" s="35">
        <f>+F32+I32+J32+K32</f>
        <v>1055.6299999999999</v>
      </c>
      <c r="N32" s="36">
        <f>ROUND((M32-L32)/L32,4)</f>
        <v>0.11020000000000001</v>
      </c>
      <c r="S32" s="37">
        <f>+$S$20</f>
        <v>40</v>
      </c>
      <c r="T32" s="37">
        <f>ROUND($T$18*$A32,2)</f>
        <v>26.63</v>
      </c>
      <c r="U32" s="37">
        <f>ROUND($U$18*$C32,2)</f>
        <v>540.62</v>
      </c>
      <c r="V32" s="37">
        <f>SUM(S32:U32)</f>
        <v>607.25</v>
      </c>
      <c r="X32" s="37">
        <f>+$X$20</f>
        <v>165</v>
      </c>
      <c r="Y32" s="37">
        <f>ROUND($Y$18*$A32,2)</f>
        <v>23.94</v>
      </c>
      <c r="Z32" s="37">
        <f>ROUND($Z$18*$C32,2)</f>
        <v>523.09</v>
      </c>
      <c r="AA32" s="37">
        <f>SUM(X32:Z32)</f>
        <v>712.03</v>
      </c>
    </row>
    <row r="33" spans="1:27" x14ac:dyDescent="0.25">
      <c r="A33" s="56"/>
      <c r="B33" s="56"/>
      <c r="C33" s="56"/>
      <c r="E33" s="34"/>
      <c r="F33" s="34"/>
      <c r="L33" s="34"/>
      <c r="M33" s="34"/>
      <c r="N33" s="34"/>
    </row>
    <row r="34" spans="1:27" x14ac:dyDescent="0.25">
      <c r="A34" s="56">
        <v>100</v>
      </c>
      <c r="B34" s="56"/>
      <c r="C34" s="56">
        <v>48</v>
      </c>
      <c r="E34" s="35">
        <f>+V34</f>
        <v>613.91</v>
      </c>
      <c r="F34" s="35">
        <f>+AA34</f>
        <v>718.01</v>
      </c>
      <c r="G34" s="35">
        <f>+F34-E34</f>
        <v>104.10000000000002</v>
      </c>
      <c r="H34" s="36">
        <f>ROUND(+G34/E34,4)</f>
        <v>0.1696</v>
      </c>
      <c r="I34" s="35">
        <f>ROUND($A34*$T$10,2)</f>
        <v>410.97</v>
      </c>
      <c r="J34" s="35">
        <f>ROUND($A34*$T$11,2)</f>
        <v>18.53</v>
      </c>
      <c r="K34" s="35">
        <f>ROUND($A34*$T$12,2)</f>
        <v>0</v>
      </c>
      <c r="L34" s="35">
        <f>+E34+I34+J34+K34</f>
        <v>1043.4100000000001</v>
      </c>
      <c r="M34" s="35">
        <f>+F34+I34+J34+K34</f>
        <v>1147.51</v>
      </c>
      <c r="N34" s="36">
        <f>ROUND((M34-L34)/L34,4)</f>
        <v>9.98E-2</v>
      </c>
      <c r="S34" s="37">
        <f>+$S$20</f>
        <v>40</v>
      </c>
      <c r="T34" s="37">
        <f>ROUND($T$18*$A34,2)</f>
        <v>33.29</v>
      </c>
      <c r="U34" s="37">
        <f>ROUND($U$18*$C34,2)</f>
        <v>540.62</v>
      </c>
      <c r="V34" s="37">
        <f>SUM(S34:U34)</f>
        <v>613.91</v>
      </c>
      <c r="X34" s="37">
        <f>+$X$20</f>
        <v>165</v>
      </c>
      <c r="Y34" s="37">
        <f>ROUND($Y$18*$A34,2)</f>
        <v>29.92</v>
      </c>
      <c r="Z34" s="37">
        <f>ROUND($Z$18*$C34,2)</f>
        <v>523.09</v>
      </c>
      <c r="AA34" s="37">
        <f>SUM(X34:Z34)</f>
        <v>718.01</v>
      </c>
    </row>
    <row r="35" spans="1:27" x14ac:dyDescent="0.25">
      <c r="L35" s="34"/>
      <c r="M35" s="34"/>
      <c r="N35" s="34"/>
    </row>
    <row r="36" spans="1:27" x14ac:dyDescent="0.25">
      <c r="A36" s="33" t="s">
        <v>102</v>
      </c>
      <c r="E36" s="55"/>
      <c r="F36" s="56"/>
      <c r="L36" s="35"/>
      <c r="M36" s="35"/>
      <c r="N36" s="36"/>
    </row>
    <row r="37" spans="1:27" x14ac:dyDescent="0.25">
      <c r="A37" s="59" t="str">
        <f>("Average usage = "&amp;INPUT!G17&amp;" Mcf per month")</f>
        <v>Average usage = 0.6 Mcf per month</v>
      </c>
      <c r="B37" s="59"/>
      <c r="C37" s="59"/>
      <c r="F37" s="34"/>
      <c r="G37" s="34"/>
      <c r="H37" s="34"/>
      <c r="I37" s="34"/>
      <c r="J37" s="34"/>
      <c r="K37" s="34"/>
    </row>
    <row r="38" spans="1:27" x14ac:dyDescent="0.25">
      <c r="A38" s="61" t="s">
        <v>103</v>
      </c>
      <c r="B38" s="61"/>
      <c r="C38" s="61"/>
    </row>
    <row r="39" spans="1:27" x14ac:dyDescent="0.25">
      <c r="A39" s="61" t="s">
        <v>109</v>
      </c>
    </row>
    <row r="40" spans="1:27" x14ac:dyDescent="0.25">
      <c r="A40" s="77" t="str">
        <f>+'Rate Case Constants'!$C$26</f>
        <v>Calculations may vary from other schedules due to rounding</v>
      </c>
    </row>
  </sheetData>
  <mergeCells count="5">
    <mergeCell ref="I15:K15"/>
    <mergeCell ref="A1:N1"/>
    <mergeCell ref="A2:N2"/>
    <mergeCell ref="A3:N3"/>
    <mergeCell ref="A4:N4"/>
  </mergeCells>
  <printOptions horizontalCentered="1"/>
  <pageMargins left="0.75" right="0.75" top="1.5" bottom="0.5" header="1" footer="0.5"/>
  <pageSetup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B40"/>
  <sheetViews>
    <sheetView view="pageBreakPreview" topLeftCell="I1" zoomScaleNormal="100" zoomScaleSheetLayoutView="100" workbookViewId="0">
      <selection activeCell="A22" sqref="A22"/>
    </sheetView>
  </sheetViews>
  <sheetFormatPr defaultColWidth="9.109375" defaultRowHeight="13.2" x14ac:dyDescent="0.25"/>
  <cols>
    <col min="1" max="1" width="9.33203125" style="33" bestFit="1" customWidth="1"/>
    <col min="2" max="2" width="1.5546875" style="33" customWidth="1"/>
    <col min="3" max="3" width="9.33203125" style="33" customWidth="1"/>
    <col min="4" max="4" width="2" style="33" customWidth="1"/>
    <col min="5" max="5" width="10.109375" style="33" bestFit="1" customWidth="1"/>
    <col min="6" max="6" width="10.88671875" style="33" customWidth="1"/>
    <col min="7" max="8" width="12" style="33" customWidth="1"/>
    <col min="9" max="9" width="9.109375" style="33" bestFit="1" customWidth="1"/>
    <col min="10" max="11" width="7.33203125" style="33" customWidth="1"/>
    <col min="12" max="14" width="12" style="33" customWidth="1"/>
    <col min="15" max="18" width="3.109375" style="33" customWidth="1"/>
    <col min="19" max="20" width="9.109375" style="33"/>
    <col min="21" max="21" width="11" style="33" customWidth="1"/>
    <col min="22" max="22" width="10.6640625" style="33" customWidth="1"/>
    <col min="23" max="25" width="9.109375" style="33"/>
    <col min="26" max="26" width="10.109375" style="33" customWidth="1"/>
    <col min="27" max="16384" width="9.109375" style="33"/>
  </cols>
  <sheetData>
    <row r="1" spans="1:28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28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28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28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28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28" x14ac:dyDescent="0.25">
      <c r="A6" s="105"/>
      <c r="B6" s="105"/>
      <c r="C6" s="105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28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6" t="str">
        <f>+'Rate Case Constants'!C25</f>
        <v>SCHEDULE N (Gas)</v>
      </c>
    </row>
    <row r="8" spans="1:28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7" t="str">
        <f>+'Rate Case Constants'!I15</f>
        <v>PAGE 8 OF 11</v>
      </c>
    </row>
    <row r="9" spans="1:28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6" t="str">
        <f>+'Rate Case Constants'!C36</f>
        <v>WITNESS:   C. M. GARRETT</v>
      </c>
    </row>
    <row r="10" spans="1:28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7"/>
      <c r="S10" s="25" t="s">
        <v>34</v>
      </c>
      <c r="T10" s="137">
        <f>+INPUT!$H$46</f>
        <v>4.1097172527968153</v>
      </c>
      <c r="U10" s="21"/>
      <c r="V10" s="34" t="s">
        <v>79</v>
      </c>
      <c r="W10" s="34"/>
      <c r="X10" s="34"/>
      <c r="Y10" s="34"/>
      <c r="Z10" s="34"/>
      <c r="AA10" s="34"/>
      <c r="AB10" s="34"/>
    </row>
    <row r="11" spans="1:28" x14ac:dyDescent="0.25">
      <c r="A11" s="113" t="s">
        <v>59</v>
      </c>
      <c r="B11" s="114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52"/>
      <c r="P11" s="52"/>
      <c r="Q11" s="52"/>
      <c r="R11" s="52"/>
      <c r="S11" s="53" t="s">
        <v>31</v>
      </c>
      <c r="T11" s="68">
        <f>+INPUT!$I$46</f>
        <v>0.18529634350976729</v>
      </c>
      <c r="U11" s="68"/>
      <c r="V11" s="16"/>
      <c r="W11" s="16"/>
      <c r="X11" s="22"/>
      <c r="Y11" s="16"/>
      <c r="Z11" s="16"/>
      <c r="AA11" s="16"/>
      <c r="AB11" s="34"/>
    </row>
    <row r="12" spans="1:28" x14ac:dyDescent="0.25">
      <c r="A12" s="16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S12" s="25" t="s">
        <v>35</v>
      </c>
      <c r="T12" s="68">
        <f>+INPUT!$L$46</f>
        <v>0</v>
      </c>
      <c r="U12" s="21"/>
      <c r="V12" s="16"/>
      <c r="W12" s="16"/>
      <c r="X12" s="16"/>
      <c r="Y12" s="16"/>
      <c r="Z12" s="16"/>
      <c r="AA12" s="16"/>
      <c r="AB12" s="34"/>
    </row>
    <row r="13" spans="1:28" x14ac:dyDescent="0.25">
      <c r="A13" s="16"/>
      <c r="B13" s="16"/>
      <c r="C13" s="16"/>
      <c r="D13" s="16"/>
      <c r="E13" s="17" t="s">
        <v>84</v>
      </c>
      <c r="F13" s="18" t="s">
        <v>92</v>
      </c>
      <c r="G13" s="18" t="s">
        <v>85</v>
      </c>
      <c r="H13" s="17" t="s">
        <v>86</v>
      </c>
      <c r="I13" s="17" t="s">
        <v>87</v>
      </c>
      <c r="J13" s="17" t="s">
        <v>88</v>
      </c>
      <c r="K13" s="18" t="s">
        <v>93</v>
      </c>
      <c r="L13" s="17" t="s">
        <v>89</v>
      </c>
      <c r="M13" s="17" t="s">
        <v>90</v>
      </c>
      <c r="N13" s="17" t="s">
        <v>91</v>
      </c>
      <c r="S13" s="16"/>
      <c r="T13" s="16"/>
      <c r="U13" s="16"/>
      <c r="V13" s="16"/>
      <c r="W13" s="16"/>
      <c r="X13" s="16"/>
      <c r="Y13" s="16"/>
      <c r="Z13" s="16"/>
      <c r="AA13" s="16"/>
      <c r="AB13" s="34"/>
    </row>
    <row r="14" spans="1:28" x14ac:dyDescent="0.25">
      <c r="A14" s="34"/>
      <c r="B14" s="34"/>
      <c r="C14" s="34"/>
      <c r="D14" s="34"/>
      <c r="E14" s="79" t="s">
        <v>112</v>
      </c>
      <c r="F14" s="79" t="s">
        <v>112</v>
      </c>
      <c r="G14" s="34"/>
      <c r="H14" s="34"/>
      <c r="I14" s="34"/>
      <c r="J14" s="34"/>
      <c r="K14" s="34"/>
      <c r="L14" s="17" t="s">
        <v>26</v>
      </c>
      <c r="M14" s="17" t="s">
        <v>26</v>
      </c>
      <c r="N14" s="34"/>
      <c r="S14" s="23" t="s">
        <v>0</v>
      </c>
      <c r="T14" s="23"/>
      <c r="U14" s="23"/>
      <c r="V14" s="23"/>
      <c r="W14" s="34"/>
      <c r="X14" s="23" t="s">
        <v>25</v>
      </c>
      <c r="Y14" s="23"/>
      <c r="Z14" s="23"/>
      <c r="AA14" s="23"/>
      <c r="AB14" s="34"/>
    </row>
    <row r="15" spans="1:28" x14ac:dyDescent="0.25">
      <c r="A15" s="34"/>
      <c r="B15" s="34"/>
      <c r="C15" s="34"/>
      <c r="D15" s="34"/>
      <c r="E15" s="17" t="s">
        <v>21</v>
      </c>
      <c r="F15" s="17" t="s">
        <v>27</v>
      </c>
      <c r="G15" s="17"/>
      <c r="H15" s="17"/>
      <c r="I15" s="145" t="s">
        <v>28</v>
      </c>
      <c r="J15" s="145"/>
      <c r="K15" s="146"/>
      <c r="L15" s="17" t="s">
        <v>21</v>
      </c>
      <c r="M15" s="17" t="s">
        <v>27</v>
      </c>
      <c r="N15" s="17"/>
      <c r="S15" s="18" t="s">
        <v>37</v>
      </c>
      <c r="T15" s="17"/>
      <c r="U15" s="17"/>
      <c r="V15" s="18"/>
      <c r="W15" s="34"/>
      <c r="X15" s="18" t="s">
        <v>37</v>
      </c>
      <c r="Y15" s="17"/>
      <c r="Z15" s="17"/>
      <c r="AA15" s="18"/>
      <c r="AB15" s="34"/>
    </row>
    <row r="16" spans="1:28" x14ac:dyDescent="0.25">
      <c r="A16" s="17"/>
      <c r="B16" s="17"/>
      <c r="C16" s="17"/>
      <c r="D16" s="17"/>
      <c r="E16" s="17" t="s">
        <v>29</v>
      </c>
      <c r="F16" s="17" t="s">
        <v>29</v>
      </c>
      <c r="G16" s="17" t="s">
        <v>30</v>
      </c>
      <c r="H16" s="17" t="s">
        <v>30</v>
      </c>
      <c r="I16" s="17" t="s">
        <v>34</v>
      </c>
      <c r="J16" s="17" t="s">
        <v>31</v>
      </c>
      <c r="K16" s="17" t="s">
        <v>35</v>
      </c>
      <c r="L16" s="17" t="s">
        <v>29</v>
      </c>
      <c r="M16" s="17" t="s">
        <v>29</v>
      </c>
      <c r="N16" s="17" t="s">
        <v>30</v>
      </c>
      <c r="S16" s="18" t="s">
        <v>38</v>
      </c>
      <c r="T16" s="17" t="s">
        <v>113</v>
      </c>
      <c r="U16" s="17" t="s">
        <v>106</v>
      </c>
      <c r="V16" s="18" t="s">
        <v>26</v>
      </c>
      <c r="W16" s="34"/>
      <c r="X16" s="18" t="s">
        <v>38</v>
      </c>
      <c r="Y16" s="17" t="s">
        <v>113</v>
      </c>
      <c r="Z16" s="17" t="s">
        <v>106</v>
      </c>
      <c r="AA16" s="18" t="s">
        <v>26</v>
      </c>
      <c r="AB16" s="34"/>
    </row>
    <row r="17" spans="1:28" x14ac:dyDescent="0.25">
      <c r="A17" s="17" t="s">
        <v>36</v>
      </c>
      <c r="B17" s="17"/>
      <c r="C17" s="17" t="s">
        <v>108</v>
      </c>
      <c r="D17" s="17"/>
      <c r="E17" s="17"/>
      <c r="F17" s="17"/>
      <c r="G17" s="17" t="s">
        <v>32</v>
      </c>
      <c r="H17" s="18" t="s">
        <v>33</v>
      </c>
      <c r="I17" s="19"/>
      <c r="J17" s="19"/>
      <c r="K17" s="20"/>
      <c r="L17" s="17" t="s">
        <v>32</v>
      </c>
      <c r="M17" s="17" t="s">
        <v>32</v>
      </c>
      <c r="N17" s="18" t="s">
        <v>33</v>
      </c>
      <c r="S17" s="39" t="s">
        <v>41</v>
      </c>
      <c r="T17" s="40" t="s">
        <v>41</v>
      </c>
      <c r="U17" s="66" t="s">
        <v>41</v>
      </c>
      <c r="V17" s="65" t="s">
        <v>29</v>
      </c>
      <c r="W17" s="34"/>
      <c r="X17" s="39" t="s">
        <v>41</v>
      </c>
      <c r="Y17" s="40" t="s">
        <v>41</v>
      </c>
      <c r="Z17" s="66" t="s">
        <v>41</v>
      </c>
      <c r="AA17" s="65" t="s">
        <v>29</v>
      </c>
      <c r="AB17" s="34"/>
    </row>
    <row r="18" spans="1:28" x14ac:dyDescent="0.25">
      <c r="A18" s="100"/>
      <c r="B18" s="100"/>
      <c r="C18" s="100"/>
      <c r="D18" s="100"/>
      <c r="E18" s="100"/>
      <c r="F18" s="100"/>
      <c r="G18" s="100" t="str">
        <f>("[ "&amp;F13&amp;" - "&amp;E13&amp;" ]")</f>
        <v>[ B - A ]</v>
      </c>
      <c r="H18" s="100" t="str">
        <f>("[ "&amp;G13&amp;" / "&amp;E13&amp;" ]")</f>
        <v>[ C / A ]</v>
      </c>
      <c r="I18" s="108"/>
      <c r="J18" s="108"/>
      <c r="K18" s="108"/>
      <c r="L18" s="99" t="str">
        <f>("["&amp;E13&amp;"+"&amp;$I$13&amp;"+"&amp;$J$13&amp;"+"&amp;$K$13&amp;"]")</f>
        <v>[A+E+F+G]</v>
      </c>
      <c r="M18" s="100" t="str">
        <f>("["&amp;F13&amp;"+"&amp;$I$13&amp;"+"&amp;$J$13&amp;"+"&amp;$K$13&amp;"]")</f>
        <v>[B+E+F+G]</v>
      </c>
      <c r="N18" s="100" t="str">
        <f>("[("&amp;M13&amp;" - "&amp;L13&amp;") / "&amp;L13&amp;"]")</f>
        <v>[(I - H) / H]</v>
      </c>
      <c r="S18" s="18"/>
      <c r="T18" s="24">
        <f>+INPUT!$G$9</f>
        <v>0.33289999999999997</v>
      </c>
      <c r="U18" s="24">
        <f>+INPUT!$G$12</f>
        <v>11.263</v>
      </c>
      <c r="V18" s="18"/>
      <c r="W18" s="34"/>
      <c r="X18" s="18"/>
      <c r="Y18" s="24">
        <f>+INPUT!$G$27</f>
        <v>0.29920000000000002</v>
      </c>
      <c r="Z18" s="24">
        <f>+INPUT!$G$30</f>
        <v>10.8978</v>
      </c>
      <c r="AA18" s="18"/>
      <c r="AB18" s="34"/>
    </row>
    <row r="19" spans="1:28" x14ac:dyDescent="0.25">
      <c r="A19" s="17"/>
      <c r="B19" s="17"/>
      <c r="C19" s="17"/>
      <c r="D19" s="17"/>
      <c r="E19" s="17"/>
      <c r="F19" s="17"/>
      <c r="H19" s="17"/>
      <c r="I19" s="17"/>
      <c r="J19" s="17"/>
      <c r="K19" s="17"/>
      <c r="L19" s="18"/>
      <c r="M19" s="18"/>
      <c r="N19" s="18"/>
      <c r="S19" s="18"/>
      <c r="T19" s="18" t="s">
        <v>114</v>
      </c>
      <c r="U19" s="17" t="s">
        <v>107</v>
      </c>
      <c r="V19" s="18"/>
      <c r="W19" s="34"/>
      <c r="X19" s="18"/>
      <c r="Y19" s="18" t="s">
        <v>114</v>
      </c>
      <c r="Z19" s="17" t="s">
        <v>107</v>
      </c>
      <c r="AA19" s="18"/>
      <c r="AB19" s="34"/>
    </row>
    <row r="20" spans="1:28" x14ac:dyDescent="0.25">
      <c r="A20" s="56">
        <v>3</v>
      </c>
      <c r="B20" s="56"/>
      <c r="C20" s="56">
        <v>48</v>
      </c>
      <c r="E20" s="35">
        <f>+V20</f>
        <v>541.62</v>
      </c>
      <c r="F20" s="35">
        <f>+AA20</f>
        <v>523.99</v>
      </c>
      <c r="G20" s="35">
        <f>+F20-E20</f>
        <v>-17.629999999999995</v>
      </c>
      <c r="H20" s="36">
        <f>ROUND(+G20/E20,4)</f>
        <v>-3.2599999999999997E-2</v>
      </c>
      <c r="I20" s="35">
        <f>ROUND($A20*$T$10,2)</f>
        <v>12.33</v>
      </c>
      <c r="J20" s="35">
        <f>ROUND($A20*$T$11,2)</f>
        <v>0.56000000000000005</v>
      </c>
      <c r="K20" s="35">
        <f>ROUND($A20*$T$12,2)</f>
        <v>0</v>
      </c>
      <c r="L20" s="35">
        <f>+E20+I20+J20+K20</f>
        <v>554.51</v>
      </c>
      <c r="M20" s="35">
        <f>+F20+I20+J20+K20</f>
        <v>536.88</v>
      </c>
      <c r="N20" s="36">
        <f>ROUND((M20-L20)/L20,4)</f>
        <v>-3.1800000000000002E-2</v>
      </c>
      <c r="S20" s="37">
        <f>+INPUT!$G$7</f>
        <v>0</v>
      </c>
      <c r="T20" s="37">
        <f>ROUND($T$18*$A20,2)</f>
        <v>1</v>
      </c>
      <c r="U20" s="37">
        <f>ROUND($U$18*$C20,2)</f>
        <v>540.62</v>
      </c>
      <c r="V20" s="37">
        <f>SUM(S20:U20)</f>
        <v>541.62</v>
      </c>
      <c r="X20" s="37">
        <f>+INPUT!$G$25</f>
        <v>0</v>
      </c>
      <c r="Y20" s="37">
        <f>ROUND($Y$18*$A20,2)</f>
        <v>0.9</v>
      </c>
      <c r="Z20" s="37">
        <f>ROUND($Z$18*$C20,2)</f>
        <v>523.09</v>
      </c>
      <c r="AA20" s="37">
        <f>SUM(X20:Z20)</f>
        <v>523.99</v>
      </c>
    </row>
    <row r="21" spans="1:28" x14ac:dyDescent="0.25">
      <c r="A21" s="56"/>
      <c r="B21" s="56"/>
      <c r="C21" s="56"/>
      <c r="E21" s="34"/>
      <c r="F21" s="34"/>
      <c r="L21" s="34"/>
      <c r="M21" s="34"/>
      <c r="N21" s="34"/>
    </row>
    <row r="22" spans="1:28" x14ac:dyDescent="0.25">
      <c r="A22" s="56">
        <v>5</v>
      </c>
      <c r="B22" s="56"/>
      <c r="C22" s="56">
        <v>48</v>
      </c>
      <c r="E22" s="35">
        <f>+V22</f>
        <v>542.28</v>
      </c>
      <c r="F22" s="35">
        <f>+AA22</f>
        <v>524.59</v>
      </c>
      <c r="G22" s="35">
        <f>+F22-E22</f>
        <v>-17.689999999999941</v>
      </c>
      <c r="H22" s="36">
        <f>ROUND(+G22/E22,4)</f>
        <v>-3.2599999999999997E-2</v>
      </c>
      <c r="I22" s="35">
        <f>ROUND($A22*$T$10,2)</f>
        <v>20.55</v>
      </c>
      <c r="J22" s="35">
        <f>ROUND($A22*$T$11,2)</f>
        <v>0.93</v>
      </c>
      <c r="K22" s="35">
        <f>ROUND($A22*$T$12,2)</f>
        <v>0</v>
      </c>
      <c r="L22" s="35">
        <f>+E22+I22+J22+K22</f>
        <v>563.75999999999988</v>
      </c>
      <c r="M22" s="35">
        <f>+F22+I22+J22+K22</f>
        <v>546.06999999999994</v>
      </c>
      <c r="N22" s="36">
        <f>ROUND((M22-L22)/L22,4)</f>
        <v>-3.1399999999999997E-2</v>
      </c>
      <c r="S22" s="37">
        <f>+$S$20</f>
        <v>0</v>
      </c>
      <c r="T22" s="37">
        <f>ROUND($T$18*$A22,2)</f>
        <v>1.66</v>
      </c>
      <c r="U22" s="37">
        <f>ROUND($U$18*$C22,2)</f>
        <v>540.62</v>
      </c>
      <c r="V22" s="37">
        <f>SUM(S22:U22)</f>
        <v>542.28</v>
      </c>
      <c r="X22" s="37">
        <f>+$X$20</f>
        <v>0</v>
      </c>
      <c r="Y22" s="37">
        <f>ROUND($Y$18*$A22,2)</f>
        <v>1.5</v>
      </c>
      <c r="Z22" s="37">
        <f>ROUND($Z$18*$C22,2)</f>
        <v>523.09</v>
      </c>
      <c r="AA22" s="37">
        <f>SUM(X22:Z22)</f>
        <v>524.59</v>
      </c>
    </row>
    <row r="23" spans="1:28" x14ac:dyDescent="0.25">
      <c r="A23" s="56"/>
      <c r="B23" s="56"/>
      <c r="C23" s="56"/>
      <c r="E23" s="35"/>
      <c r="F23" s="35"/>
      <c r="L23" s="35"/>
      <c r="M23" s="35"/>
      <c r="N23" s="36"/>
    </row>
    <row r="24" spans="1:28" x14ac:dyDescent="0.25">
      <c r="A24" s="56">
        <v>10</v>
      </c>
      <c r="B24" s="56"/>
      <c r="C24" s="56">
        <v>48</v>
      </c>
      <c r="E24" s="35">
        <f>+V24</f>
        <v>543.95000000000005</v>
      </c>
      <c r="F24" s="35">
        <f>+AA24</f>
        <v>526.08000000000004</v>
      </c>
      <c r="G24" s="35">
        <f>+F24-E24</f>
        <v>-17.870000000000005</v>
      </c>
      <c r="H24" s="36">
        <f>ROUND(+G24/E24,4)</f>
        <v>-3.2899999999999999E-2</v>
      </c>
      <c r="I24" s="35">
        <f>ROUND($A24*$T$10,2)</f>
        <v>41.1</v>
      </c>
      <c r="J24" s="35">
        <f>ROUND($A24*$T$11,2)</f>
        <v>1.85</v>
      </c>
      <c r="K24" s="35">
        <f>ROUND($A24*$T$12,2)</f>
        <v>0</v>
      </c>
      <c r="L24" s="35">
        <f>+E24+I24+J24+K24</f>
        <v>586.90000000000009</v>
      </c>
      <c r="M24" s="35">
        <f>+F24+I24+J24+K24</f>
        <v>569.03000000000009</v>
      </c>
      <c r="N24" s="36">
        <f>ROUND((M24-L24)/L24,4)</f>
        <v>-3.04E-2</v>
      </c>
      <c r="S24" s="37">
        <f>+$S$20</f>
        <v>0</v>
      </c>
      <c r="T24" s="37">
        <f>ROUND($T$18*$A24,2)</f>
        <v>3.33</v>
      </c>
      <c r="U24" s="37">
        <f>ROUND($U$18*$C24,2)</f>
        <v>540.62</v>
      </c>
      <c r="V24" s="37">
        <f>SUM(S24:U24)</f>
        <v>543.95000000000005</v>
      </c>
      <c r="X24" s="37">
        <f>+$X$20</f>
        <v>0</v>
      </c>
      <c r="Y24" s="37">
        <f>ROUND($Y$18*$A24,2)</f>
        <v>2.99</v>
      </c>
      <c r="Z24" s="37">
        <f>ROUND($Z$18*$C24,2)</f>
        <v>523.09</v>
      </c>
      <c r="AA24" s="37">
        <f>SUM(X24:Z24)</f>
        <v>526.08000000000004</v>
      </c>
    </row>
    <row r="25" spans="1:28" x14ac:dyDescent="0.25">
      <c r="A25" s="56"/>
      <c r="B25" s="56"/>
      <c r="C25" s="56"/>
      <c r="E25" s="34"/>
      <c r="F25" s="34"/>
      <c r="L25" s="34"/>
      <c r="M25" s="34"/>
      <c r="N25" s="34"/>
    </row>
    <row r="26" spans="1:28" x14ac:dyDescent="0.25">
      <c r="A26" s="56">
        <v>20</v>
      </c>
      <c r="B26" s="56"/>
      <c r="C26" s="56">
        <v>48</v>
      </c>
      <c r="E26" s="38">
        <f>+V26</f>
        <v>547.28</v>
      </c>
      <c r="F26" s="38">
        <f>+AA26</f>
        <v>529.07000000000005</v>
      </c>
      <c r="G26" s="35">
        <f>+F26-E26</f>
        <v>-18.209999999999923</v>
      </c>
      <c r="H26" s="36">
        <f>ROUND(+G26/E26,4)</f>
        <v>-3.3300000000000003E-2</v>
      </c>
      <c r="I26" s="35">
        <f>ROUND($A26*$T$10,2)</f>
        <v>82.19</v>
      </c>
      <c r="J26" s="35">
        <f>ROUND($A26*$T$11,2)</f>
        <v>3.71</v>
      </c>
      <c r="K26" s="35">
        <f>ROUND($A26*$T$12,2)</f>
        <v>0</v>
      </c>
      <c r="L26" s="38">
        <f>+E26+I26+J26+K26</f>
        <v>633.18000000000006</v>
      </c>
      <c r="M26" s="38">
        <f>+F26+I26+J26+K26</f>
        <v>614.97</v>
      </c>
      <c r="N26" s="36">
        <f>ROUND((M26-L26)/L26,4)</f>
        <v>-2.8799999999999999E-2</v>
      </c>
      <c r="S26" s="37">
        <f>+$S$20</f>
        <v>0</v>
      </c>
      <c r="T26" s="37">
        <f>ROUND($T$18*$A26,2)</f>
        <v>6.66</v>
      </c>
      <c r="U26" s="37">
        <f>ROUND($U$18*$C26,2)</f>
        <v>540.62</v>
      </c>
      <c r="V26" s="37">
        <f>SUM(S26:U26)</f>
        <v>547.28</v>
      </c>
      <c r="X26" s="37">
        <f>+$X$20</f>
        <v>0</v>
      </c>
      <c r="Y26" s="37">
        <f>ROUND($Y$18*$A26,2)</f>
        <v>5.98</v>
      </c>
      <c r="Z26" s="37">
        <f>ROUND($Z$18*$C26,2)</f>
        <v>523.09</v>
      </c>
      <c r="AA26" s="37">
        <f>SUM(X26:Z26)</f>
        <v>529.07000000000005</v>
      </c>
    </row>
    <row r="27" spans="1:28" x14ac:dyDescent="0.25">
      <c r="A27" s="56"/>
      <c r="B27" s="56"/>
      <c r="C27" s="56"/>
      <c r="E27" s="34"/>
      <c r="F27" s="34"/>
      <c r="L27" s="34"/>
      <c r="M27" s="34"/>
      <c r="N27" s="34"/>
    </row>
    <row r="28" spans="1:28" x14ac:dyDescent="0.25">
      <c r="A28" s="56">
        <v>40</v>
      </c>
      <c r="B28" s="56"/>
      <c r="C28" s="56">
        <v>48</v>
      </c>
      <c r="E28" s="35">
        <f>+V28</f>
        <v>553.94000000000005</v>
      </c>
      <c r="F28" s="35">
        <f>+AA28</f>
        <v>535.06000000000006</v>
      </c>
      <c r="G28" s="35">
        <f>+F28-E28</f>
        <v>-18.879999999999995</v>
      </c>
      <c r="H28" s="36">
        <f>ROUND(+G28/E28,4)</f>
        <v>-3.4099999999999998E-2</v>
      </c>
      <c r="I28" s="35">
        <f>ROUND($A28*$T$10,2)</f>
        <v>164.39</v>
      </c>
      <c r="J28" s="35">
        <f>ROUND($A28*$T$11,2)</f>
        <v>7.41</v>
      </c>
      <c r="K28" s="35">
        <f>ROUND($A28*$T$12,2)</f>
        <v>0</v>
      </c>
      <c r="L28" s="35">
        <f>+E28+I28+J28+K28</f>
        <v>725.74</v>
      </c>
      <c r="M28" s="35">
        <f>+F28+I28+J28+K28</f>
        <v>706.86</v>
      </c>
      <c r="N28" s="36">
        <f>ROUND((M28-L28)/L28,4)</f>
        <v>-2.5999999999999999E-2</v>
      </c>
      <c r="S28" s="37">
        <f>+$S$20</f>
        <v>0</v>
      </c>
      <c r="T28" s="37">
        <f>ROUND($T$18*$A28,2)</f>
        <v>13.32</v>
      </c>
      <c r="U28" s="37">
        <f>ROUND($U$18*$C28,2)</f>
        <v>540.62</v>
      </c>
      <c r="V28" s="37">
        <f>SUM(S28:U28)</f>
        <v>553.94000000000005</v>
      </c>
      <c r="X28" s="37">
        <f>+$X$20</f>
        <v>0</v>
      </c>
      <c r="Y28" s="37">
        <f>ROUND($Y$18*$A28,2)</f>
        <v>11.97</v>
      </c>
      <c r="Z28" s="37">
        <f>ROUND($Z$18*$C28,2)</f>
        <v>523.09</v>
      </c>
      <c r="AA28" s="37">
        <f>SUM(X28:Z28)</f>
        <v>535.06000000000006</v>
      </c>
    </row>
    <row r="29" spans="1:28" x14ac:dyDescent="0.25">
      <c r="A29" s="56"/>
      <c r="B29" s="56"/>
      <c r="C29" s="56"/>
      <c r="E29" s="34"/>
      <c r="F29" s="34"/>
      <c r="L29" s="34"/>
      <c r="M29" s="34"/>
      <c r="N29" s="34"/>
    </row>
    <row r="30" spans="1:28" x14ac:dyDescent="0.25">
      <c r="A30" s="56">
        <v>60</v>
      </c>
      <c r="B30" s="56"/>
      <c r="C30" s="56">
        <v>48</v>
      </c>
      <c r="E30" s="35">
        <f>+V30</f>
        <v>560.59</v>
      </c>
      <c r="F30" s="35">
        <f>+AA30</f>
        <v>541.04000000000008</v>
      </c>
      <c r="G30" s="35">
        <f>+F30-E30</f>
        <v>-19.549999999999955</v>
      </c>
      <c r="H30" s="36">
        <f>ROUND(+G30/E30,4)</f>
        <v>-3.49E-2</v>
      </c>
      <c r="I30" s="35">
        <f>ROUND($A30*$T$10,2)</f>
        <v>246.58</v>
      </c>
      <c r="J30" s="35">
        <f>ROUND($A30*$T$11,2)</f>
        <v>11.12</v>
      </c>
      <c r="K30" s="35">
        <f>ROUND($A30*$T$12,2)</f>
        <v>0</v>
      </c>
      <c r="L30" s="35">
        <f>+E30+I30+J30+K30</f>
        <v>818.29000000000008</v>
      </c>
      <c r="M30" s="35">
        <f>+F30+I30+J30+K30</f>
        <v>798.74000000000012</v>
      </c>
      <c r="N30" s="36">
        <f>ROUND((M30-L30)/L30,4)</f>
        <v>-2.3900000000000001E-2</v>
      </c>
      <c r="S30" s="37">
        <f>+$S$20</f>
        <v>0</v>
      </c>
      <c r="T30" s="37">
        <f>ROUND($T$18*$A30,2)</f>
        <v>19.97</v>
      </c>
      <c r="U30" s="37">
        <f>ROUND($U$18*$C30,2)</f>
        <v>540.62</v>
      </c>
      <c r="V30" s="37">
        <f>SUM(S30:U30)</f>
        <v>560.59</v>
      </c>
      <c r="X30" s="37">
        <f>+$X$20</f>
        <v>0</v>
      </c>
      <c r="Y30" s="37">
        <f>ROUND($Y$18*$A30,2)</f>
        <v>17.95</v>
      </c>
      <c r="Z30" s="37">
        <f>ROUND($Z$18*$C30,2)</f>
        <v>523.09</v>
      </c>
      <c r="AA30" s="37">
        <f>SUM(X30:Z30)</f>
        <v>541.04000000000008</v>
      </c>
    </row>
    <row r="31" spans="1:28" x14ac:dyDescent="0.25">
      <c r="A31" s="56"/>
      <c r="B31" s="56"/>
      <c r="C31" s="56"/>
      <c r="E31" s="34"/>
      <c r="F31" s="34"/>
      <c r="L31" s="34"/>
      <c r="M31" s="34"/>
      <c r="N31" s="34"/>
    </row>
    <row r="32" spans="1:28" x14ac:dyDescent="0.25">
      <c r="A32" s="56">
        <v>80</v>
      </c>
      <c r="B32" s="56"/>
      <c r="C32" s="56">
        <v>48</v>
      </c>
      <c r="E32" s="35">
        <f>+V32</f>
        <v>567.25</v>
      </c>
      <c r="F32" s="35">
        <f>+AA32</f>
        <v>547.03000000000009</v>
      </c>
      <c r="G32" s="35">
        <f>+F32-E32</f>
        <v>-20.219999999999914</v>
      </c>
      <c r="H32" s="36">
        <f>ROUND(+G32/E32,4)</f>
        <v>-3.56E-2</v>
      </c>
      <c r="I32" s="35">
        <f>ROUND($A32*$T$10,2)</f>
        <v>328.78</v>
      </c>
      <c r="J32" s="35">
        <f>ROUND($A32*$T$11,2)</f>
        <v>14.82</v>
      </c>
      <c r="K32" s="35">
        <f>ROUND($A32*$T$12,2)</f>
        <v>0</v>
      </c>
      <c r="L32" s="35">
        <f>+E32+I32+J32+K32</f>
        <v>910.85</v>
      </c>
      <c r="M32" s="35">
        <f>+F32+I32+J32+K32</f>
        <v>890.63000000000011</v>
      </c>
      <c r="N32" s="36">
        <f>ROUND((M32-L32)/L32,4)</f>
        <v>-2.2200000000000001E-2</v>
      </c>
      <c r="S32" s="37">
        <f>+$S$20</f>
        <v>0</v>
      </c>
      <c r="T32" s="37">
        <f>ROUND($T$18*$A32,2)</f>
        <v>26.63</v>
      </c>
      <c r="U32" s="37">
        <f>ROUND($U$18*$C32,2)</f>
        <v>540.62</v>
      </c>
      <c r="V32" s="37">
        <f>SUM(S32:U32)</f>
        <v>567.25</v>
      </c>
      <c r="X32" s="37">
        <f>+$X$20</f>
        <v>0</v>
      </c>
      <c r="Y32" s="37">
        <f>ROUND($Y$18*$A32,2)</f>
        <v>23.94</v>
      </c>
      <c r="Z32" s="37">
        <f>ROUND($Z$18*$C32,2)</f>
        <v>523.09</v>
      </c>
      <c r="AA32" s="37">
        <f>SUM(X32:Z32)</f>
        <v>547.03000000000009</v>
      </c>
    </row>
    <row r="33" spans="1:27" x14ac:dyDescent="0.25">
      <c r="A33" s="56"/>
      <c r="B33" s="56"/>
      <c r="C33" s="56"/>
      <c r="E33" s="34"/>
      <c r="F33" s="34"/>
      <c r="L33" s="34"/>
      <c r="M33" s="34"/>
      <c r="N33" s="34"/>
    </row>
    <row r="34" spans="1:27" x14ac:dyDescent="0.25">
      <c r="A34" s="56">
        <v>100</v>
      </c>
      <c r="B34" s="56"/>
      <c r="C34" s="56">
        <v>48</v>
      </c>
      <c r="E34" s="35">
        <f>+V34</f>
        <v>573.91</v>
      </c>
      <c r="F34" s="35">
        <f>+AA34</f>
        <v>553.01</v>
      </c>
      <c r="G34" s="35">
        <f>+F34-E34</f>
        <v>-20.899999999999977</v>
      </c>
      <c r="H34" s="36">
        <f>ROUND(+G34/E34,4)</f>
        <v>-3.6400000000000002E-2</v>
      </c>
      <c r="I34" s="35">
        <f>ROUND($A34*$T$10,2)</f>
        <v>410.97</v>
      </c>
      <c r="J34" s="35">
        <f>ROUND($A34*$T$11,2)</f>
        <v>18.53</v>
      </c>
      <c r="K34" s="35">
        <f>ROUND($A34*$T$12,2)</f>
        <v>0</v>
      </c>
      <c r="L34" s="35">
        <f>+E34+I34+J34+K34</f>
        <v>1003.41</v>
      </c>
      <c r="M34" s="35">
        <f>+F34+I34+J34+K34</f>
        <v>982.51</v>
      </c>
      <c r="N34" s="36">
        <f>ROUND((M34-L34)/L34,4)</f>
        <v>-2.0799999999999999E-2</v>
      </c>
      <c r="S34" s="37">
        <f>+$S$20</f>
        <v>0</v>
      </c>
      <c r="T34" s="37">
        <f>ROUND($T$18*$A34,2)</f>
        <v>33.29</v>
      </c>
      <c r="U34" s="37">
        <f>ROUND($U$18*$C34,2)</f>
        <v>540.62</v>
      </c>
      <c r="V34" s="37">
        <f>SUM(S34:U34)</f>
        <v>573.91</v>
      </c>
      <c r="X34" s="37">
        <f>+$X$20</f>
        <v>0</v>
      </c>
      <c r="Y34" s="37">
        <f>ROUND($Y$18*$A34,2)</f>
        <v>29.92</v>
      </c>
      <c r="Z34" s="37">
        <f>ROUND($Z$18*$C34,2)</f>
        <v>523.09</v>
      </c>
      <c r="AA34" s="37">
        <f>SUM(X34:Z34)</f>
        <v>553.01</v>
      </c>
    </row>
    <row r="35" spans="1:27" x14ac:dyDescent="0.25">
      <c r="L35" s="34"/>
      <c r="M35" s="34"/>
      <c r="N35" s="34"/>
    </row>
    <row r="36" spans="1:27" x14ac:dyDescent="0.25">
      <c r="A36" s="33" t="s">
        <v>102</v>
      </c>
      <c r="E36" s="55"/>
      <c r="F36" s="56"/>
      <c r="L36" s="35"/>
      <c r="M36" s="35"/>
      <c r="N36" s="36"/>
    </row>
    <row r="37" spans="1:27" x14ac:dyDescent="0.25">
      <c r="A37" s="59" t="str">
        <f>("Average usage = "&amp;INPUT!G17&amp;" Mcf per month")</f>
        <v>Average usage = 0.6 Mcf per month</v>
      </c>
      <c r="B37" s="59"/>
      <c r="C37" s="59"/>
      <c r="F37" s="34"/>
      <c r="G37" s="34"/>
      <c r="H37" s="34"/>
      <c r="I37" s="34"/>
      <c r="J37" s="34"/>
      <c r="K37" s="34"/>
    </row>
    <row r="38" spans="1:27" x14ac:dyDescent="0.25">
      <c r="A38" s="61" t="s">
        <v>103</v>
      </c>
      <c r="B38" s="61"/>
      <c r="C38" s="61"/>
    </row>
    <row r="39" spans="1:27" x14ac:dyDescent="0.25">
      <c r="A39" s="61" t="s">
        <v>109</v>
      </c>
    </row>
    <row r="40" spans="1:27" x14ac:dyDescent="0.25">
      <c r="A40" s="77" t="str">
        <f>+'Rate Case Constants'!$C$26</f>
        <v>Calculations may vary from other schedules due to rounding</v>
      </c>
    </row>
  </sheetData>
  <mergeCells count="5">
    <mergeCell ref="I15:K15"/>
    <mergeCell ref="A1:N1"/>
    <mergeCell ref="A2:N2"/>
    <mergeCell ref="A3:N3"/>
    <mergeCell ref="A4:N4"/>
  </mergeCells>
  <printOptions horizontalCentered="1"/>
  <pageMargins left="0.75" right="0.75" top="1.5" bottom="0.5" header="1" footer="0.5"/>
  <pageSetup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B41"/>
  <sheetViews>
    <sheetView view="pageBreakPreview" zoomScaleNormal="100" zoomScaleSheetLayoutView="100" workbookViewId="0">
      <selection activeCell="Q21" sqref="Q21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6" width="12" style="33" customWidth="1"/>
    <col min="7" max="7" width="8.6640625" style="33" bestFit="1" customWidth="1"/>
    <col min="8" max="12" width="12" style="33" customWidth="1"/>
    <col min="13" max="16" width="4.33203125" style="33" customWidth="1"/>
    <col min="17" max="17" width="10.44140625" style="33" customWidth="1"/>
    <col min="18" max="18" width="10.88671875" style="33" bestFit="1" customWidth="1"/>
    <col min="19" max="19" width="11.88671875" style="33" customWidth="1"/>
    <col min="20" max="20" width="9.109375" style="33"/>
    <col min="21" max="21" width="10.5546875" style="33" customWidth="1"/>
    <col min="22" max="22" width="10.88671875" style="33" bestFit="1" customWidth="1"/>
    <col min="23" max="23" width="11.5546875" style="33" customWidth="1"/>
    <col min="24" max="16384" width="9.109375" style="33"/>
  </cols>
  <sheetData>
    <row r="1" spans="1:28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28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28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28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28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28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6" t="str">
        <f>+'Rate Case Constants'!C25</f>
        <v>SCHEDULE N (Gas)</v>
      </c>
    </row>
    <row r="8" spans="1:28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7" t="str">
        <f>+'Rate Case Constants'!I16</f>
        <v>PAGE 9 OF 11</v>
      </c>
    </row>
    <row r="9" spans="1:28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6" t="str">
        <f>+'Rate Case Constants'!C36</f>
        <v>WITNESS:   C. M. GARRETT</v>
      </c>
    </row>
    <row r="10" spans="1:28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118"/>
      <c r="Q10" s="25" t="s">
        <v>34</v>
      </c>
      <c r="R10" s="21">
        <f>+INPUT!$H$44</f>
        <v>0</v>
      </c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113" t="s">
        <v>60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52"/>
      <c r="N11" s="52"/>
      <c r="O11" s="52"/>
      <c r="P11" s="52"/>
      <c r="Q11" s="53" t="s">
        <v>31</v>
      </c>
      <c r="R11" s="54">
        <f>+INPUT!$I$44</f>
        <v>0.15674336036747935</v>
      </c>
      <c r="S11" s="16"/>
      <c r="T11" s="16"/>
      <c r="U11" s="22"/>
      <c r="V11" s="16"/>
      <c r="W11" s="16"/>
      <c r="X11" s="34"/>
      <c r="Y11" s="34"/>
      <c r="Z11" s="34"/>
      <c r="AA11" s="34"/>
      <c r="AB11" s="34"/>
    </row>
    <row r="12" spans="1:2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Q12" s="25" t="s">
        <v>35</v>
      </c>
      <c r="R12" s="21">
        <f>+INPUT!$J$44</f>
        <v>0</v>
      </c>
      <c r="S12" s="16"/>
      <c r="T12" s="16"/>
      <c r="U12" s="16"/>
      <c r="V12" s="16"/>
      <c r="W12" s="16"/>
      <c r="X12" s="34"/>
      <c r="Y12" s="34"/>
      <c r="Z12" s="34"/>
      <c r="AA12" s="34"/>
      <c r="AB12" s="34"/>
    </row>
    <row r="13" spans="1:28" x14ac:dyDescent="0.25">
      <c r="A13" s="16"/>
      <c r="B13" s="16"/>
      <c r="C13" s="17" t="s">
        <v>84</v>
      </c>
      <c r="D13" s="18" t="s">
        <v>92</v>
      </c>
      <c r="E13" s="18" t="s">
        <v>85</v>
      </c>
      <c r="F13" s="17" t="s">
        <v>86</v>
      </c>
      <c r="G13" s="17" t="s">
        <v>87</v>
      </c>
      <c r="H13" s="17" t="s">
        <v>88</v>
      </c>
      <c r="I13" s="18" t="s">
        <v>93</v>
      </c>
      <c r="J13" s="17" t="s">
        <v>89</v>
      </c>
      <c r="K13" s="17" t="s">
        <v>90</v>
      </c>
      <c r="L13" s="17" t="s">
        <v>91</v>
      </c>
      <c r="Q13" s="16"/>
      <c r="R13" s="16"/>
      <c r="S13" s="16"/>
      <c r="T13" s="16"/>
      <c r="U13" s="16"/>
      <c r="V13" s="16"/>
      <c r="W13" s="16"/>
      <c r="X13" s="34"/>
      <c r="Y13" s="34"/>
      <c r="Z13" s="34"/>
      <c r="AA13" s="34"/>
      <c r="AB13" s="34"/>
    </row>
    <row r="14" spans="1:28" x14ac:dyDescent="0.25">
      <c r="A14" s="34"/>
      <c r="B14" s="34"/>
      <c r="C14" s="79" t="s">
        <v>112</v>
      </c>
      <c r="D14" s="79" t="s">
        <v>112</v>
      </c>
      <c r="E14" s="34"/>
      <c r="F14" s="34"/>
      <c r="G14" s="34"/>
      <c r="H14" s="34"/>
      <c r="I14" s="34"/>
      <c r="J14" s="17" t="s">
        <v>26</v>
      </c>
      <c r="K14" s="17" t="s">
        <v>26</v>
      </c>
      <c r="L14" s="34"/>
      <c r="Q14" s="23" t="s">
        <v>0</v>
      </c>
      <c r="R14" s="23"/>
      <c r="S14" s="23"/>
      <c r="T14" s="34"/>
      <c r="U14" s="23" t="s">
        <v>25</v>
      </c>
      <c r="V14" s="23"/>
      <c r="W14" s="23"/>
      <c r="X14" s="34"/>
      <c r="Y14" s="34"/>
      <c r="Z14" s="34"/>
      <c r="AA14" s="34"/>
      <c r="AB14" s="34"/>
    </row>
    <row r="15" spans="1:28" x14ac:dyDescent="0.25">
      <c r="A15" s="34"/>
      <c r="B15" s="34"/>
      <c r="C15" s="17" t="s">
        <v>21</v>
      </c>
      <c r="D15" s="17" t="s">
        <v>27</v>
      </c>
      <c r="E15" s="17"/>
      <c r="F15" s="17"/>
      <c r="G15" s="145" t="s">
        <v>28</v>
      </c>
      <c r="H15" s="145"/>
      <c r="I15" s="146"/>
      <c r="J15" s="17" t="s">
        <v>21</v>
      </c>
      <c r="K15" s="17" t="s">
        <v>27</v>
      </c>
      <c r="L15" s="17"/>
      <c r="Q15" s="18"/>
      <c r="R15" s="17"/>
      <c r="S15" s="18"/>
      <c r="T15" s="34"/>
      <c r="U15" s="18"/>
      <c r="V15" s="17"/>
      <c r="W15" s="18"/>
      <c r="X15" s="34"/>
      <c r="Y15" s="34"/>
      <c r="Z15" s="34"/>
      <c r="AA15" s="34"/>
      <c r="AB15" s="34"/>
    </row>
    <row r="16" spans="1:28" x14ac:dyDescent="0.25">
      <c r="A16" s="17"/>
      <c r="B16" s="17"/>
      <c r="C16" s="17" t="s">
        <v>29</v>
      </c>
      <c r="D16" s="17" t="s">
        <v>29</v>
      </c>
      <c r="E16" s="17" t="s">
        <v>30</v>
      </c>
      <c r="F16" s="17" t="s">
        <v>30</v>
      </c>
      <c r="G16" s="17" t="s">
        <v>34</v>
      </c>
      <c r="H16" s="17" t="s">
        <v>31</v>
      </c>
      <c r="I16" s="17" t="s">
        <v>35</v>
      </c>
      <c r="J16" s="17" t="s">
        <v>29</v>
      </c>
      <c r="K16" s="17" t="s">
        <v>29</v>
      </c>
      <c r="L16" s="17" t="s">
        <v>30</v>
      </c>
      <c r="Q16" s="18" t="s">
        <v>61</v>
      </c>
      <c r="R16" s="17" t="s">
        <v>113</v>
      </c>
      <c r="S16" s="18" t="s">
        <v>26</v>
      </c>
      <c r="T16" s="34"/>
      <c r="U16" s="18" t="s">
        <v>61</v>
      </c>
      <c r="V16" s="17" t="s">
        <v>113</v>
      </c>
      <c r="W16" s="18" t="s">
        <v>26</v>
      </c>
      <c r="X16" s="34"/>
      <c r="Y16" s="21"/>
      <c r="Z16" s="17" t="s">
        <v>39</v>
      </c>
      <c r="AA16" s="17"/>
      <c r="AB16" s="17" t="s">
        <v>40</v>
      </c>
    </row>
    <row r="17" spans="1:28" x14ac:dyDescent="0.25">
      <c r="A17" s="109" t="s">
        <v>36</v>
      </c>
      <c r="B17" s="109"/>
      <c r="C17" s="109"/>
      <c r="D17" s="109"/>
      <c r="E17" s="109" t="s">
        <v>32</v>
      </c>
      <c r="F17" s="110" t="s">
        <v>33</v>
      </c>
      <c r="G17" s="111"/>
      <c r="H17" s="111"/>
      <c r="I17" s="112"/>
      <c r="J17" s="109" t="s">
        <v>32</v>
      </c>
      <c r="K17" s="109" t="s">
        <v>32</v>
      </c>
      <c r="L17" s="110" t="s">
        <v>33</v>
      </c>
      <c r="Q17" s="39" t="s">
        <v>41</v>
      </c>
      <c r="R17" s="40" t="s">
        <v>41</v>
      </c>
      <c r="S17" s="39" t="s">
        <v>29</v>
      </c>
      <c r="T17" s="34"/>
      <c r="U17" s="39" t="s">
        <v>41</v>
      </c>
      <c r="V17" s="40" t="s">
        <v>41</v>
      </c>
      <c r="W17" s="39" t="s">
        <v>29</v>
      </c>
      <c r="X17" s="34"/>
      <c r="Y17" s="21"/>
      <c r="Z17" s="17" t="s">
        <v>2</v>
      </c>
      <c r="AA17" s="17"/>
      <c r="AB17" s="17" t="s">
        <v>2</v>
      </c>
    </row>
    <row r="18" spans="1:28" x14ac:dyDescent="0.25">
      <c r="A18" s="100"/>
      <c r="B18" s="100"/>
      <c r="C18" s="100"/>
      <c r="D18" s="100"/>
      <c r="E18" s="100" t="str">
        <f>("[ "&amp;D13&amp;" - "&amp;C13&amp;" ]")</f>
        <v>[ B - A ]</v>
      </c>
      <c r="F18" s="100" t="str">
        <f>("[ "&amp;E13&amp;" / "&amp;C13&amp;" ]")</f>
        <v>[ C / A ]</v>
      </c>
      <c r="G18" s="108"/>
      <c r="H18" s="108"/>
      <c r="I18" s="108"/>
      <c r="J18" s="99" t="str">
        <f>("["&amp;C13&amp;"+"&amp;$G$13&amp;"+"&amp;$H$13&amp;"+"&amp;$I$13&amp;"]")</f>
        <v>[A+E+F+G]</v>
      </c>
      <c r="K18" s="100" t="str">
        <f>("["&amp;D13&amp;"+"&amp;$G$13&amp;"+"&amp;$H$13&amp;"+"&amp;$I$13&amp;"]")</f>
        <v>[B+E+F+G]</v>
      </c>
      <c r="L18" s="100" t="str">
        <f>("[("&amp;K13&amp;" - "&amp;J13&amp;") / "&amp;J13&amp;"]")</f>
        <v>[(I - H) / H]</v>
      </c>
      <c r="Q18" s="18"/>
      <c r="R18" s="24">
        <f>+INPUT!$H$9</f>
        <v>0.43020000000000003</v>
      </c>
      <c r="S18" s="18"/>
      <c r="T18" s="34"/>
      <c r="U18" s="18"/>
      <c r="V18" s="24">
        <f>+INPUT!$H$27</f>
        <v>0.44280000000000003</v>
      </c>
      <c r="W18" s="18"/>
      <c r="X18" s="34"/>
      <c r="Y18" s="21"/>
      <c r="Z18" s="17"/>
      <c r="AA18" s="17"/>
      <c r="AB18" s="17"/>
    </row>
    <row r="19" spans="1:28" x14ac:dyDescent="0.25">
      <c r="A19" s="17"/>
      <c r="B19" s="17"/>
      <c r="C19" s="17"/>
      <c r="D19" s="17"/>
      <c r="F19" s="17"/>
      <c r="G19" s="17"/>
      <c r="H19" s="17"/>
      <c r="I19" s="17"/>
      <c r="J19" s="18"/>
      <c r="K19" s="18"/>
      <c r="L19" s="18"/>
      <c r="Q19" s="18"/>
      <c r="R19" s="18" t="s">
        <v>114</v>
      </c>
      <c r="S19" s="18"/>
      <c r="T19" s="34"/>
      <c r="U19" s="18"/>
      <c r="V19" s="18" t="s">
        <v>114</v>
      </c>
      <c r="W19" s="18"/>
      <c r="X19" s="34"/>
      <c r="Y19" s="21"/>
      <c r="Z19" s="17"/>
      <c r="AA19" s="17"/>
      <c r="AB19" s="17"/>
    </row>
    <row r="20" spans="1:28" x14ac:dyDescent="0.25">
      <c r="A20" s="56">
        <v>1000</v>
      </c>
      <c r="C20" s="35">
        <f>+S20</f>
        <v>980.2</v>
      </c>
      <c r="D20" s="35">
        <f>+W20</f>
        <v>992.8</v>
      </c>
      <c r="E20" s="35">
        <f>+D20-C20</f>
        <v>12.599999999999909</v>
      </c>
      <c r="F20" s="36">
        <f>ROUND(+E20/C20,4)</f>
        <v>1.29E-2</v>
      </c>
      <c r="G20" s="35">
        <f>ROUND($A20*$R$10,2)</f>
        <v>0</v>
      </c>
      <c r="H20" s="35">
        <f>ROUND($A20*$R$11,2)</f>
        <v>156.74</v>
      </c>
      <c r="I20" s="35">
        <f>ROUND($A20*$R$12,2)</f>
        <v>0</v>
      </c>
      <c r="J20" s="35">
        <f>+C20+G20+H20+I20</f>
        <v>1136.94</v>
      </c>
      <c r="K20" s="35">
        <f>+D20+G20+H20+I20</f>
        <v>1149.54</v>
      </c>
      <c r="L20" s="36">
        <f>ROUND((K20-J20)/J20,4)</f>
        <v>1.11E-2</v>
      </c>
      <c r="Q20" s="37">
        <f>+INPUT!$H$14</f>
        <v>550</v>
      </c>
      <c r="R20" s="37">
        <f>ROUND($R$18*$A20,2)</f>
        <v>430.2</v>
      </c>
      <c r="S20" s="37">
        <f>SUM(Q20:R20)</f>
        <v>980.2</v>
      </c>
      <c r="U20" s="37">
        <f>+INPUT!$H$32</f>
        <v>550</v>
      </c>
      <c r="V20" s="37">
        <f>ROUND($V$18*$A20,2)</f>
        <v>442.8</v>
      </c>
      <c r="W20" s="37">
        <f>SUM(U20:V20)</f>
        <v>992.8</v>
      </c>
    </row>
    <row r="21" spans="1:28" x14ac:dyDescent="0.25">
      <c r="A21" s="56"/>
      <c r="C21" s="34"/>
      <c r="D21" s="34"/>
      <c r="J21" s="34"/>
      <c r="K21" s="34"/>
      <c r="L21" s="34"/>
    </row>
    <row r="22" spans="1:28" x14ac:dyDescent="0.25">
      <c r="A22" s="56">
        <v>5000</v>
      </c>
      <c r="C22" s="35">
        <f>+S22</f>
        <v>2701</v>
      </c>
      <c r="D22" s="35">
        <f>+W22</f>
        <v>2764</v>
      </c>
      <c r="E22" s="35">
        <f>+D22-C22</f>
        <v>63</v>
      </c>
      <c r="F22" s="36">
        <f>ROUND(+E22/C22,4)</f>
        <v>2.3300000000000001E-2</v>
      </c>
      <c r="G22" s="35">
        <f>ROUND($A22*$R$10,2)</f>
        <v>0</v>
      </c>
      <c r="H22" s="35">
        <f>ROUND($A22*$R$11,2)</f>
        <v>783.72</v>
      </c>
      <c r="I22" s="35">
        <f>ROUND($A22*$R$12,2)</f>
        <v>0</v>
      </c>
      <c r="J22" s="35">
        <f>+C22+G22+H22+I22</f>
        <v>3484.7200000000003</v>
      </c>
      <c r="K22" s="35">
        <f>+D22+G22+H22+I22</f>
        <v>3547.7200000000003</v>
      </c>
      <c r="L22" s="36">
        <f>ROUND((K22-J22)/J22,4)</f>
        <v>1.8100000000000002E-2</v>
      </c>
      <c r="Q22" s="37">
        <f>+$Q$20</f>
        <v>550</v>
      </c>
      <c r="R22" s="37">
        <f>ROUND($R$18*$A22,2)</f>
        <v>2151</v>
      </c>
      <c r="S22" s="37">
        <f>SUM(Q22:R22)</f>
        <v>2701</v>
      </c>
      <c r="U22" s="37">
        <f>+$U$20</f>
        <v>550</v>
      </c>
      <c r="V22" s="37">
        <f>ROUND($V$18*$A22,2)</f>
        <v>2214</v>
      </c>
      <c r="W22" s="37">
        <f>SUM(U22:V22)</f>
        <v>2764</v>
      </c>
    </row>
    <row r="23" spans="1:28" x14ac:dyDescent="0.25">
      <c r="A23" s="56"/>
      <c r="C23" s="35"/>
      <c r="D23" s="35"/>
      <c r="J23" s="35"/>
      <c r="K23" s="35"/>
      <c r="L23" s="36"/>
    </row>
    <row r="24" spans="1:28" x14ac:dyDescent="0.25">
      <c r="A24" s="56">
        <v>10000</v>
      </c>
      <c r="C24" s="35">
        <f>+S24</f>
        <v>4852</v>
      </c>
      <c r="D24" s="35">
        <f>+W24</f>
        <v>4978</v>
      </c>
      <c r="E24" s="35">
        <f>+D24-C24</f>
        <v>126</v>
      </c>
      <c r="F24" s="36">
        <f>ROUND(+E24/C24,4)</f>
        <v>2.5999999999999999E-2</v>
      </c>
      <c r="G24" s="35">
        <f>ROUND($A24*$R$10,2)</f>
        <v>0</v>
      </c>
      <c r="H24" s="35">
        <f>ROUND($A24*$R$11,2)</f>
        <v>1567.43</v>
      </c>
      <c r="I24" s="35">
        <f>ROUND($A24*$R$12,2)</f>
        <v>0</v>
      </c>
      <c r="J24" s="35">
        <f>+C24+G24+H24+I24</f>
        <v>6419.43</v>
      </c>
      <c r="K24" s="35">
        <f>+D24+G24+H24+I24</f>
        <v>6545.43</v>
      </c>
      <c r="L24" s="36">
        <f>ROUND((K24-J24)/J24,4)</f>
        <v>1.9599999999999999E-2</v>
      </c>
      <c r="Q24" s="37">
        <f>+$Q$20</f>
        <v>550</v>
      </c>
      <c r="R24" s="37">
        <f>ROUND($R$18*$A24,2)</f>
        <v>4302</v>
      </c>
      <c r="S24" s="37">
        <f>SUM(Q24:R24)</f>
        <v>4852</v>
      </c>
      <c r="U24" s="37">
        <f>+$U$20</f>
        <v>550</v>
      </c>
      <c r="V24" s="37">
        <f>ROUND($V$18*$A24,2)</f>
        <v>4428</v>
      </c>
      <c r="W24" s="37">
        <f>SUM(U24:V24)</f>
        <v>4978</v>
      </c>
    </row>
    <row r="25" spans="1:28" x14ac:dyDescent="0.25">
      <c r="A25" s="56"/>
      <c r="C25" s="34"/>
      <c r="D25" s="34"/>
      <c r="J25" s="34"/>
      <c r="K25" s="34"/>
      <c r="L25" s="34"/>
    </row>
    <row r="26" spans="1:28" x14ac:dyDescent="0.25">
      <c r="A26" s="56">
        <v>12500</v>
      </c>
      <c r="C26" s="38">
        <f>+S26</f>
        <v>5927.5</v>
      </c>
      <c r="D26" s="38">
        <f>+W26</f>
        <v>6085</v>
      </c>
      <c r="E26" s="35">
        <f>+D26-C26</f>
        <v>157.5</v>
      </c>
      <c r="F26" s="36">
        <f>ROUND(+E26/C26,4)</f>
        <v>2.6599999999999999E-2</v>
      </c>
      <c r="G26" s="35">
        <f>ROUND($A26*$R$10,2)</f>
        <v>0</v>
      </c>
      <c r="H26" s="35">
        <f>ROUND($A26*$R$11,2)</f>
        <v>1959.29</v>
      </c>
      <c r="I26" s="35">
        <f>ROUND($A26*$R$12,2)</f>
        <v>0</v>
      </c>
      <c r="J26" s="38">
        <f>+C26+G26+H26+I26</f>
        <v>7886.79</v>
      </c>
      <c r="K26" s="38">
        <f>+D26+G26+H26+I26</f>
        <v>8044.29</v>
      </c>
      <c r="L26" s="36">
        <f>ROUND((K26-J26)/J26,4)</f>
        <v>0.02</v>
      </c>
      <c r="Q26" s="37">
        <f>+$Q$20</f>
        <v>550</v>
      </c>
      <c r="R26" s="37">
        <f>ROUND($R$18*$A26,2)</f>
        <v>5377.5</v>
      </c>
      <c r="S26" s="37">
        <f>SUM(Q26:R26)</f>
        <v>5927.5</v>
      </c>
      <c r="U26" s="37">
        <f>+$U$20</f>
        <v>550</v>
      </c>
      <c r="V26" s="37">
        <f>ROUND($V$18*$A26,2)</f>
        <v>5535</v>
      </c>
      <c r="W26" s="37">
        <f>SUM(U26:V26)</f>
        <v>6085</v>
      </c>
    </row>
    <row r="27" spans="1:28" x14ac:dyDescent="0.25">
      <c r="A27" s="56"/>
      <c r="C27" s="34"/>
      <c r="D27" s="34"/>
      <c r="J27" s="34"/>
      <c r="K27" s="34"/>
      <c r="L27" s="34"/>
    </row>
    <row r="28" spans="1:28" x14ac:dyDescent="0.25">
      <c r="A28" s="56">
        <v>15000</v>
      </c>
      <c r="C28" s="35">
        <f>+S28</f>
        <v>7003</v>
      </c>
      <c r="D28" s="35">
        <f>+W28</f>
        <v>7192</v>
      </c>
      <c r="E28" s="35">
        <f>+D28-C28</f>
        <v>189</v>
      </c>
      <c r="F28" s="36">
        <f>ROUND(+E28/C28,4)</f>
        <v>2.7E-2</v>
      </c>
      <c r="G28" s="35">
        <f>ROUND($A28*$R$10,2)</f>
        <v>0</v>
      </c>
      <c r="H28" s="35">
        <f>ROUND($A28*$R$11,2)</f>
        <v>2351.15</v>
      </c>
      <c r="I28" s="35">
        <f>ROUND($A28*$R$12,2)</f>
        <v>0</v>
      </c>
      <c r="J28" s="35">
        <f>+C28+G28+H28+I28</f>
        <v>9354.15</v>
      </c>
      <c r="K28" s="35">
        <f>+D28+G28+H28+I28</f>
        <v>9543.15</v>
      </c>
      <c r="L28" s="36">
        <f>ROUND((K28-J28)/J28,4)</f>
        <v>2.0199999999999999E-2</v>
      </c>
      <c r="Q28" s="37">
        <f>+$Q$20</f>
        <v>550</v>
      </c>
      <c r="R28" s="37">
        <f>ROUND($R$18*$A28,2)</f>
        <v>6453</v>
      </c>
      <c r="S28" s="37">
        <f>SUM(Q28:R28)</f>
        <v>7003</v>
      </c>
      <c r="U28" s="37">
        <f>+$U$20</f>
        <v>550</v>
      </c>
      <c r="V28" s="37">
        <f>ROUND($V$18*$A28,2)</f>
        <v>6642</v>
      </c>
      <c r="W28" s="37">
        <f>SUM(U28:V28)</f>
        <v>7192</v>
      </c>
    </row>
    <row r="29" spans="1:28" x14ac:dyDescent="0.25">
      <c r="A29" s="56"/>
      <c r="C29" s="34"/>
      <c r="D29" s="34"/>
      <c r="J29" s="34"/>
      <c r="K29" s="34"/>
      <c r="L29" s="34"/>
    </row>
    <row r="30" spans="1:28" x14ac:dyDescent="0.25">
      <c r="A30" s="56">
        <v>25000</v>
      </c>
      <c r="C30" s="35">
        <f>+S30</f>
        <v>11305</v>
      </c>
      <c r="D30" s="35">
        <f>+W30</f>
        <v>11620</v>
      </c>
      <c r="E30" s="35">
        <f>+D30-C30</f>
        <v>315</v>
      </c>
      <c r="F30" s="36">
        <f>ROUND(+E30/C30,4)</f>
        <v>2.7900000000000001E-2</v>
      </c>
      <c r="G30" s="35">
        <f>ROUND($A30*$R$10,2)</f>
        <v>0</v>
      </c>
      <c r="H30" s="35">
        <f>ROUND($A30*$R$11,2)</f>
        <v>3918.58</v>
      </c>
      <c r="I30" s="35">
        <f>ROUND($A30*$R$12,2)</f>
        <v>0</v>
      </c>
      <c r="J30" s="35">
        <f>+C30+G30+H30+I30</f>
        <v>15223.58</v>
      </c>
      <c r="K30" s="35">
        <f>+D30+G30+H30+I30</f>
        <v>15538.58</v>
      </c>
      <c r="L30" s="36">
        <f>ROUND((K30-J30)/J30,4)</f>
        <v>2.07E-2</v>
      </c>
      <c r="Q30" s="37">
        <f>+$Q$20</f>
        <v>550</v>
      </c>
      <c r="R30" s="37">
        <f>ROUND($R$18*$A30,2)</f>
        <v>10755</v>
      </c>
      <c r="S30" s="37">
        <f>SUM(Q30:R30)</f>
        <v>11305</v>
      </c>
      <c r="U30" s="37">
        <f>+$U$20</f>
        <v>550</v>
      </c>
      <c r="V30" s="37">
        <f>ROUND($V$18*$A30,2)</f>
        <v>11070</v>
      </c>
      <c r="W30" s="37">
        <f>SUM(U30:V30)</f>
        <v>11620</v>
      </c>
    </row>
    <row r="31" spans="1:28" x14ac:dyDescent="0.25">
      <c r="A31" s="56"/>
      <c r="C31" s="34"/>
      <c r="D31" s="34"/>
      <c r="J31" s="34"/>
      <c r="K31" s="34"/>
      <c r="L31" s="34"/>
    </row>
    <row r="32" spans="1:28" x14ac:dyDescent="0.25">
      <c r="A32" s="56">
        <v>50000</v>
      </c>
      <c r="C32" s="35">
        <f>+S32</f>
        <v>22060</v>
      </c>
      <c r="D32" s="35">
        <f>+W32</f>
        <v>22690</v>
      </c>
      <c r="E32" s="35">
        <f>+D32-C32</f>
        <v>630</v>
      </c>
      <c r="F32" s="36">
        <f>ROUND(+E32/C32,4)</f>
        <v>2.86E-2</v>
      </c>
      <c r="G32" s="35">
        <f>ROUND($A32*$R$10,2)</f>
        <v>0</v>
      </c>
      <c r="H32" s="35">
        <f>ROUND($A32*$R$11,2)</f>
        <v>7837.17</v>
      </c>
      <c r="I32" s="35">
        <f>ROUND($A32*$R$12,2)</f>
        <v>0</v>
      </c>
      <c r="J32" s="35">
        <f>+C32+G32+H32+I32</f>
        <v>29897.17</v>
      </c>
      <c r="K32" s="35">
        <f>+D32+G32+H32+I32</f>
        <v>30527.17</v>
      </c>
      <c r="L32" s="36">
        <f>ROUND((K32-J32)/J32,4)</f>
        <v>2.1100000000000001E-2</v>
      </c>
      <c r="Q32" s="37">
        <f>+$Q$20</f>
        <v>550</v>
      </c>
      <c r="R32" s="37">
        <f>ROUND($R$18*$A32,2)</f>
        <v>21510</v>
      </c>
      <c r="S32" s="37">
        <f>SUM(Q32:R32)</f>
        <v>22060</v>
      </c>
      <c r="U32" s="37">
        <f>+$U$20</f>
        <v>550</v>
      </c>
      <c r="V32" s="37">
        <f>ROUND($V$18*$A32,2)</f>
        <v>22140</v>
      </c>
      <c r="W32" s="37">
        <f>SUM(U32:V32)</f>
        <v>22690</v>
      </c>
    </row>
    <row r="33" spans="1:23" x14ac:dyDescent="0.25">
      <c r="A33" s="56"/>
      <c r="C33" s="34"/>
      <c r="D33" s="34"/>
      <c r="J33" s="34"/>
      <c r="K33" s="34"/>
      <c r="L33" s="34"/>
    </row>
    <row r="34" spans="1:23" x14ac:dyDescent="0.25">
      <c r="A34" s="56">
        <v>75000</v>
      </c>
      <c r="C34" s="35">
        <f>+S34</f>
        <v>32815</v>
      </c>
      <c r="D34" s="35">
        <f>+W34</f>
        <v>33760</v>
      </c>
      <c r="E34" s="35">
        <f>+D34-C34</f>
        <v>945</v>
      </c>
      <c r="F34" s="36">
        <f>ROUND(+E34/C34,4)</f>
        <v>2.8799999999999999E-2</v>
      </c>
      <c r="G34" s="35">
        <f>ROUND($A34*$R$10,2)</f>
        <v>0</v>
      </c>
      <c r="H34" s="35">
        <f>ROUND($A34*$R$11,2)</f>
        <v>11755.75</v>
      </c>
      <c r="I34" s="35">
        <f>ROUND($A34*$R$12,2)</f>
        <v>0</v>
      </c>
      <c r="J34" s="35">
        <f>+C34+G34+H34+I34</f>
        <v>44570.75</v>
      </c>
      <c r="K34" s="35">
        <f>+D34+G34+H34+I34</f>
        <v>45515.75</v>
      </c>
      <c r="L34" s="36">
        <f>ROUND((K34-J34)/J34,4)</f>
        <v>2.12E-2</v>
      </c>
      <c r="Q34" s="37">
        <f>+$Q$20</f>
        <v>550</v>
      </c>
      <c r="R34" s="37">
        <f>ROUND($R$18*$A34,2)</f>
        <v>32265</v>
      </c>
      <c r="S34" s="37">
        <f>SUM(Q34:R34)</f>
        <v>32815</v>
      </c>
      <c r="U34" s="37">
        <f>+$U$20</f>
        <v>550</v>
      </c>
      <c r="V34" s="37">
        <f>ROUND($V$18*$A34,2)</f>
        <v>33210</v>
      </c>
      <c r="W34" s="37">
        <f>SUM(U34:V34)</f>
        <v>33760</v>
      </c>
    </row>
    <row r="35" spans="1:23" x14ac:dyDescent="0.25">
      <c r="J35" s="34"/>
      <c r="K35" s="34"/>
      <c r="L35" s="34"/>
    </row>
    <row r="36" spans="1:23" x14ac:dyDescent="0.25">
      <c r="A36" s="33" t="s">
        <v>102</v>
      </c>
      <c r="C36" s="55"/>
      <c r="D36" s="56"/>
      <c r="J36" s="35"/>
      <c r="K36" s="35"/>
      <c r="L36" s="36"/>
    </row>
    <row r="37" spans="1:23" x14ac:dyDescent="0.25">
      <c r="A37" s="59" t="str">
        <f>("Average usage = "&amp;TEXT(INPUT!H17,"0,000")&amp;" Mcf per month")</f>
        <v>Average usage = 14,057 Mcf per month</v>
      </c>
    </row>
    <row r="38" spans="1:23" x14ac:dyDescent="0.25">
      <c r="A38" s="61" t="s">
        <v>103</v>
      </c>
    </row>
    <row r="39" spans="1:23" x14ac:dyDescent="0.25">
      <c r="A39" s="77" t="str">
        <f>+'Rate Case Constants'!$C$26</f>
        <v>Calculations may vary from other schedules due to rounding</v>
      </c>
    </row>
    <row r="41" spans="1:23" x14ac:dyDescent="0.25">
      <c r="P41" s="17"/>
    </row>
  </sheetData>
  <mergeCells count="5">
    <mergeCell ref="G15:I15"/>
    <mergeCell ref="A1:L1"/>
    <mergeCell ref="A2:L2"/>
    <mergeCell ref="A3:L3"/>
    <mergeCell ref="A4:L4"/>
  </mergeCells>
  <printOptions horizontalCentered="1"/>
  <pageMargins left="0.75" right="0.75" top="1.5" bottom="0.5" header="1" footer="0.5"/>
  <pageSetup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D39"/>
  <sheetViews>
    <sheetView view="pageBreakPreview" zoomScale="90" zoomScaleNormal="100" zoomScaleSheetLayoutView="90" workbookViewId="0">
      <selection activeCell="A22" sqref="A22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3" width="9.6640625" style="33" customWidth="1"/>
    <col min="4" max="7" width="12" style="33" customWidth="1"/>
    <col min="8" max="8" width="12.33203125" style="33" customWidth="1"/>
    <col min="9" max="11" width="12" style="33" customWidth="1"/>
    <col min="12" max="12" width="13.109375" style="33" customWidth="1"/>
    <col min="13" max="13" width="12" style="33" customWidth="1"/>
    <col min="14" max="17" width="4.33203125" style="33" customWidth="1"/>
    <col min="18" max="18" width="9.33203125" style="33" bestFit="1" customWidth="1"/>
    <col min="19" max="19" width="10.88671875" style="33" bestFit="1" customWidth="1"/>
    <col min="20" max="20" width="10.88671875" style="33" customWidth="1"/>
    <col min="21" max="21" width="11.6640625" style="33" customWidth="1"/>
    <col min="22" max="22" width="9.109375" style="33"/>
    <col min="23" max="23" width="9.33203125" style="33" bestFit="1" customWidth="1"/>
    <col min="24" max="24" width="10.88671875" style="33" bestFit="1" customWidth="1"/>
    <col min="25" max="25" width="10.88671875" style="33" customWidth="1"/>
    <col min="26" max="26" width="10.6640625" style="33" customWidth="1"/>
    <col min="27" max="27" width="12.33203125" style="33" customWidth="1"/>
    <col min="28" max="16384" width="9.109375" style="33"/>
  </cols>
  <sheetData>
    <row r="1" spans="1:30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30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30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30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S4" s="143"/>
      <c r="T4" s="143"/>
      <c r="U4" s="144"/>
      <c r="V4" s="144"/>
      <c r="W4" s="144"/>
      <c r="X4" s="144"/>
      <c r="Y4" s="144"/>
      <c r="Z4" s="144"/>
      <c r="AA4" s="144"/>
      <c r="AB4" s="144"/>
    </row>
    <row r="5" spans="1:30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30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30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30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Constants'!I17</f>
        <v>PAGE 10 OF 11</v>
      </c>
    </row>
    <row r="9" spans="1:30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30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118"/>
      <c r="R10" s="25" t="s">
        <v>34</v>
      </c>
      <c r="S10" s="21">
        <f>+INPUT!$H$47</f>
        <v>3.4003905460911725</v>
      </c>
      <c r="T10" s="21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x14ac:dyDescent="0.25">
      <c r="A11" s="113" t="s">
        <v>144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+INPUT!$I$47</f>
        <v>5.4137768500437675E-3</v>
      </c>
      <c r="T11" s="68"/>
      <c r="U11" s="16"/>
      <c r="V11" s="16"/>
      <c r="W11" s="22"/>
      <c r="X11" s="16"/>
      <c r="Y11" s="16"/>
      <c r="Z11" s="16"/>
      <c r="AA11" s="34"/>
      <c r="AB11" s="34"/>
      <c r="AC11" s="34"/>
      <c r="AD11" s="34"/>
    </row>
    <row r="12" spans="1:3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+INPUT!$L$47</f>
        <v>5.833333333333333</v>
      </c>
      <c r="T12" s="64"/>
      <c r="U12" s="16"/>
      <c r="V12" s="16"/>
      <c r="W12" s="16"/>
      <c r="X12" s="16"/>
      <c r="Y12" s="16"/>
      <c r="Z12" s="16"/>
      <c r="AA12" s="34"/>
      <c r="AB12" s="34"/>
      <c r="AC12" s="34"/>
      <c r="AD12" s="34"/>
    </row>
    <row r="13" spans="1:30" x14ac:dyDescent="0.25">
      <c r="A13" s="16"/>
      <c r="B13" s="16"/>
      <c r="C13" s="16"/>
      <c r="D13" s="17" t="s">
        <v>84</v>
      </c>
      <c r="E13" s="18" t="s">
        <v>92</v>
      </c>
      <c r="F13" s="18" t="s">
        <v>85</v>
      </c>
      <c r="G13" s="17" t="s">
        <v>86</v>
      </c>
      <c r="H13" s="17" t="s">
        <v>87</v>
      </c>
      <c r="I13" s="17" t="s">
        <v>88</v>
      </c>
      <c r="J13" s="18" t="s">
        <v>93</v>
      </c>
      <c r="K13" s="17" t="s">
        <v>89</v>
      </c>
      <c r="L13" s="17" t="s">
        <v>90</v>
      </c>
      <c r="M13" s="17" t="s">
        <v>91</v>
      </c>
      <c r="R13" s="16"/>
      <c r="S13" s="16"/>
      <c r="T13" s="16"/>
      <c r="U13" s="16"/>
      <c r="V13" s="16"/>
      <c r="W13" s="16"/>
      <c r="X13" s="16"/>
      <c r="Y13" s="16"/>
      <c r="Z13" s="16"/>
      <c r="AA13" s="34"/>
      <c r="AB13" s="34"/>
      <c r="AC13" s="34"/>
      <c r="AD13" s="34"/>
    </row>
    <row r="14" spans="1:30" x14ac:dyDescent="0.25">
      <c r="A14" s="34"/>
      <c r="B14" s="34"/>
      <c r="C14" s="34"/>
      <c r="D14" s="79" t="s">
        <v>112</v>
      </c>
      <c r="E14" s="79" t="s">
        <v>112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23"/>
      <c r="V14" s="34"/>
      <c r="W14" s="23" t="s">
        <v>25</v>
      </c>
      <c r="X14" s="23"/>
      <c r="Y14" s="23"/>
      <c r="Z14" s="23"/>
      <c r="AA14" s="34"/>
      <c r="AB14" s="34"/>
      <c r="AC14" s="34"/>
      <c r="AD14" s="34"/>
    </row>
    <row r="15" spans="1:30" x14ac:dyDescent="0.25">
      <c r="A15" s="34"/>
      <c r="B15" s="34"/>
      <c r="C15" s="34"/>
      <c r="D15" s="17" t="s">
        <v>21</v>
      </c>
      <c r="E15" s="17" t="s">
        <v>27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7"/>
      <c r="U15" s="18"/>
      <c r="V15" s="34"/>
      <c r="W15" s="18" t="s">
        <v>37</v>
      </c>
      <c r="X15" s="17"/>
      <c r="Y15" s="17"/>
      <c r="Z15" s="18"/>
      <c r="AA15" s="34"/>
      <c r="AB15" s="34"/>
      <c r="AC15" s="34"/>
      <c r="AD15" s="34"/>
    </row>
    <row r="16" spans="1:30" x14ac:dyDescent="0.25">
      <c r="A16" s="17"/>
      <c r="B16" s="17"/>
      <c r="C16" s="17"/>
      <c r="D16" s="17" t="s">
        <v>29</v>
      </c>
      <c r="E16" s="17" t="s">
        <v>29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113</v>
      </c>
      <c r="T16" s="17" t="s">
        <v>106</v>
      </c>
      <c r="U16" s="18" t="s">
        <v>26</v>
      </c>
      <c r="V16" s="34"/>
      <c r="W16" s="18" t="s">
        <v>38</v>
      </c>
      <c r="X16" s="17" t="s">
        <v>113</v>
      </c>
      <c r="Y16" s="17" t="s">
        <v>106</v>
      </c>
      <c r="Z16" s="18" t="s">
        <v>26</v>
      </c>
      <c r="AA16" s="21"/>
      <c r="AB16" s="17" t="s">
        <v>39</v>
      </c>
      <c r="AC16" s="17"/>
      <c r="AD16" s="17" t="s">
        <v>40</v>
      </c>
    </row>
    <row r="17" spans="1:30" x14ac:dyDescent="0.25">
      <c r="A17" s="17" t="s">
        <v>36</v>
      </c>
      <c r="B17" s="17"/>
      <c r="C17" s="17" t="s">
        <v>142</v>
      </c>
      <c r="D17" s="17"/>
      <c r="E17" s="17"/>
      <c r="F17" s="17" t="s">
        <v>32</v>
      </c>
      <c r="G17" s="18" t="s">
        <v>33</v>
      </c>
      <c r="H17" s="19"/>
      <c r="I17" s="19"/>
      <c r="J17" s="20"/>
      <c r="K17" s="17" t="s">
        <v>32</v>
      </c>
      <c r="L17" s="17" t="s">
        <v>32</v>
      </c>
      <c r="M17" s="18" t="s">
        <v>33</v>
      </c>
      <c r="R17" s="87" t="s">
        <v>41</v>
      </c>
      <c r="S17" s="88" t="s">
        <v>41</v>
      </c>
      <c r="T17" s="88" t="s">
        <v>41</v>
      </c>
      <c r="U17" s="87" t="s">
        <v>29</v>
      </c>
      <c r="V17" s="34"/>
      <c r="W17" s="87" t="s">
        <v>41</v>
      </c>
      <c r="X17" s="88" t="s">
        <v>41</v>
      </c>
      <c r="Y17" s="88" t="s">
        <v>41</v>
      </c>
      <c r="Z17" s="87" t="s">
        <v>29</v>
      </c>
      <c r="AA17" s="21"/>
      <c r="AB17" s="17" t="s">
        <v>2</v>
      </c>
      <c r="AC17" s="17"/>
      <c r="AD17" s="17" t="s">
        <v>2</v>
      </c>
    </row>
    <row r="18" spans="1:30" x14ac:dyDescent="0.25">
      <c r="A18" s="100"/>
      <c r="B18" s="100"/>
      <c r="C18" s="100"/>
      <c r="D18" s="100"/>
      <c r="E18" s="100"/>
      <c r="F18" s="134" t="str">
        <f>("[ "&amp;E13&amp;"  - "&amp;D13&amp;"]")</f>
        <v>[ B  - A]</v>
      </c>
      <c r="G18" s="100" t="str">
        <f>("[ "&amp;F13&amp;" / "&amp;D13&amp;" ]")</f>
        <v>[ C / A ]</v>
      </c>
      <c r="H18" s="108"/>
      <c r="I18" s="108"/>
      <c r="J18" s="108"/>
      <c r="K18" s="100" t="str">
        <f>("["&amp;D13&amp;"]")</f>
        <v>[A]</v>
      </c>
      <c r="L18" s="100" t="str">
        <f>("["&amp;E13&amp;"+"&amp;$H$13&amp;"+"&amp;$I$13&amp;"+"&amp;$J$13&amp;"]")</f>
        <v>[B+E+F+G]</v>
      </c>
      <c r="M18" s="100" t="str">
        <f>("[("&amp;L13&amp;" - "&amp;K13&amp;") / "&amp;K13&amp;"]")</f>
        <v>[(I - H) / H]</v>
      </c>
      <c r="R18" s="18"/>
      <c r="S18" s="24">
        <f>+INPUT!$J$9</f>
        <v>0</v>
      </c>
      <c r="T18" s="24">
        <f>+INPUT!$J$12</f>
        <v>0</v>
      </c>
      <c r="U18" s="18"/>
      <c r="V18" s="34"/>
      <c r="W18" s="18"/>
      <c r="X18" s="24">
        <f>+INPUT!$J$27</f>
        <v>0.37669999999999998</v>
      </c>
      <c r="Y18" s="24">
        <f>+INPUT!$J$30</f>
        <v>6.27</v>
      </c>
      <c r="Z18" s="18"/>
      <c r="AA18" s="21"/>
      <c r="AB18" s="17"/>
      <c r="AC18" s="17"/>
      <c r="AD18" s="17"/>
    </row>
    <row r="19" spans="1:30" x14ac:dyDescent="0.25">
      <c r="A19" s="17"/>
      <c r="B19" s="17"/>
      <c r="C19" s="17"/>
      <c r="D19" s="17"/>
      <c r="E19" s="17"/>
      <c r="F19" s="3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7" t="s">
        <v>107</v>
      </c>
      <c r="U19" s="18"/>
      <c r="V19" s="34"/>
      <c r="W19" s="18"/>
      <c r="X19" s="18" t="s">
        <v>114</v>
      </c>
      <c r="Y19" s="17" t="s">
        <v>107</v>
      </c>
      <c r="Z19" s="18"/>
      <c r="AA19" s="21"/>
      <c r="AB19" s="17"/>
      <c r="AC19" s="17"/>
      <c r="AD19" s="17"/>
    </row>
    <row r="20" spans="1:30" x14ac:dyDescent="0.25">
      <c r="A20" s="56">
        <v>25</v>
      </c>
      <c r="B20" s="56"/>
      <c r="C20" s="56">
        <v>608.6</v>
      </c>
      <c r="D20" s="35">
        <f>+U20</f>
        <v>0</v>
      </c>
      <c r="E20" s="35">
        <f>+Z20</f>
        <v>4110.34</v>
      </c>
      <c r="F20" s="138">
        <f>E20</f>
        <v>4110.34</v>
      </c>
      <c r="G20" s="36" t="s">
        <v>148</v>
      </c>
      <c r="H20" s="35">
        <f>ROUND($A20*$S$10,2)</f>
        <v>85.01</v>
      </c>
      <c r="I20" s="35">
        <f>ROUND($A20*$S$11,2)</f>
        <v>0.14000000000000001</v>
      </c>
      <c r="J20" s="35">
        <f>+$S$12</f>
        <v>5.833333333333333</v>
      </c>
      <c r="K20" s="35">
        <f>+D20</f>
        <v>0</v>
      </c>
      <c r="L20" s="35">
        <f>+E20+H20+I20+J20</f>
        <v>4201.3233333333337</v>
      </c>
      <c r="M20" s="36" t="s">
        <v>148</v>
      </c>
      <c r="R20" s="37">
        <f>+INPUT!$J$5</f>
        <v>0</v>
      </c>
      <c r="S20" s="37">
        <f>ROUND($S$18*$A20,2)</f>
        <v>0</v>
      </c>
      <c r="T20" s="37">
        <f>ROUND($T$18*$C20,2)</f>
        <v>0</v>
      </c>
      <c r="U20" s="37">
        <f>SUM(R20:T20)</f>
        <v>0</v>
      </c>
      <c r="W20" s="37">
        <f>+INPUT!$J$23</f>
        <v>285</v>
      </c>
      <c r="X20" s="37">
        <f>ROUND($X$18*$A20,2)</f>
        <v>9.42</v>
      </c>
      <c r="Y20" s="37">
        <f>ROUND($Y$18*$C20,2)</f>
        <v>3815.92</v>
      </c>
      <c r="Z20" s="37">
        <f>SUM(W20:Y20)</f>
        <v>4110.34</v>
      </c>
      <c r="AA20" s="85"/>
    </row>
    <row r="21" spans="1:30" x14ac:dyDescent="0.25">
      <c r="A21" s="56"/>
      <c r="D21" s="34"/>
      <c r="E21" s="34"/>
      <c r="F21" s="3"/>
      <c r="K21" s="34"/>
      <c r="L21" s="34"/>
      <c r="M21" s="34"/>
      <c r="U21" s="37"/>
      <c r="Z21" s="37"/>
    </row>
    <row r="22" spans="1:30" x14ac:dyDescent="0.25">
      <c r="A22" s="56">
        <v>50</v>
      </c>
      <c r="B22" s="96"/>
      <c r="C22" s="56">
        <v>608.6</v>
      </c>
      <c r="D22" s="38">
        <f>+U22</f>
        <v>0</v>
      </c>
      <c r="E22" s="38">
        <f>+Z22</f>
        <v>4119.76</v>
      </c>
      <c r="F22" s="138">
        <f>E22</f>
        <v>4119.76</v>
      </c>
      <c r="G22" s="36" t="s">
        <v>148</v>
      </c>
      <c r="H22" s="38">
        <f>$A22*$S$10</f>
        <v>170.01952730455864</v>
      </c>
      <c r="I22" s="38">
        <f>$A22*$S$11</f>
        <v>0.27068884250218839</v>
      </c>
      <c r="J22" s="38">
        <f>+$S$12</f>
        <v>5.833333333333333</v>
      </c>
      <c r="K22" s="35">
        <f>+D22</f>
        <v>0</v>
      </c>
      <c r="L22" s="38">
        <f>+E22+H22+I22+J22</f>
        <v>4295.8835494803934</v>
      </c>
      <c r="M22" s="36" t="s">
        <v>148</v>
      </c>
      <c r="R22" s="37">
        <f>+$R$20</f>
        <v>0</v>
      </c>
      <c r="S22" s="37">
        <f>ROUND($S$18*$A22,2)</f>
        <v>0</v>
      </c>
      <c r="T22" s="37">
        <f>ROUND($T$18*$C22,2)</f>
        <v>0</v>
      </c>
      <c r="U22" s="37">
        <f t="shared" ref="U22:U34" si="0">SUM(R22:T22)</f>
        <v>0</v>
      </c>
      <c r="W22" s="37">
        <f>+$W$20</f>
        <v>285</v>
      </c>
      <c r="X22" s="37">
        <f>ROUND($X$18*$A22,2)</f>
        <v>18.84</v>
      </c>
      <c r="Y22" s="37">
        <f>ROUND($Y$18*$C22,2)</f>
        <v>3815.92</v>
      </c>
      <c r="Z22" s="37">
        <f t="shared" ref="Z22:Z34" si="1">SUM(W22:Y22)</f>
        <v>4119.76</v>
      </c>
      <c r="AA22" s="85"/>
    </row>
    <row r="23" spans="1:30" x14ac:dyDescent="0.25">
      <c r="A23" s="56"/>
      <c r="D23" s="35"/>
      <c r="E23" s="35"/>
      <c r="F23" s="3"/>
      <c r="K23" s="35"/>
      <c r="L23" s="35"/>
      <c r="M23" s="36"/>
      <c r="U23" s="37"/>
      <c r="Z23" s="37"/>
    </row>
    <row r="24" spans="1:30" x14ac:dyDescent="0.25">
      <c r="A24" s="56">
        <v>100</v>
      </c>
      <c r="C24" s="56">
        <v>608.6</v>
      </c>
      <c r="D24" s="35">
        <f>+U24</f>
        <v>0</v>
      </c>
      <c r="E24" s="35">
        <f>+Z24</f>
        <v>4138.59</v>
      </c>
      <c r="F24" s="138">
        <f>E24</f>
        <v>4138.59</v>
      </c>
      <c r="G24" s="36" t="s">
        <v>148</v>
      </c>
      <c r="H24" s="35">
        <f>ROUND($A24*$S$10,2)</f>
        <v>340.04</v>
      </c>
      <c r="I24" s="35">
        <f>ROUND($A24*$S$11,2)</f>
        <v>0.54</v>
      </c>
      <c r="J24" s="35">
        <f>+$S$12</f>
        <v>5.833333333333333</v>
      </c>
      <c r="K24" s="35">
        <f>+D24</f>
        <v>0</v>
      </c>
      <c r="L24" s="35">
        <f>+E24+H24+I24+J24</f>
        <v>4485.0033333333331</v>
      </c>
      <c r="M24" s="36" t="s">
        <v>148</v>
      </c>
      <c r="R24" s="37">
        <f>+$R$20</f>
        <v>0</v>
      </c>
      <c r="S24" s="37">
        <f>ROUND($S$18*$A24,2)</f>
        <v>0</v>
      </c>
      <c r="T24" s="37">
        <f>ROUND($T$18*$C24,2)</f>
        <v>0</v>
      </c>
      <c r="U24" s="37">
        <f t="shared" si="0"/>
        <v>0</v>
      </c>
      <c r="W24" s="37">
        <f>+$W$20</f>
        <v>285</v>
      </c>
      <c r="X24" s="37">
        <f>ROUND($X$18*$A24,2)</f>
        <v>37.67</v>
      </c>
      <c r="Y24" s="37">
        <f>ROUND($Y$18*$C24,2)</f>
        <v>3815.92</v>
      </c>
      <c r="Z24" s="37">
        <f t="shared" si="1"/>
        <v>4138.59</v>
      </c>
      <c r="AA24" s="85"/>
    </row>
    <row r="25" spans="1:30" x14ac:dyDescent="0.25">
      <c r="A25" s="56"/>
      <c r="D25" s="34"/>
      <c r="E25" s="34"/>
      <c r="F25" s="3"/>
      <c r="K25" s="101"/>
      <c r="L25" s="34"/>
      <c r="M25" s="34"/>
      <c r="U25" s="37"/>
      <c r="Z25" s="37"/>
    </row>
    <row r="26" spans="1:30" x14ac:dyDescent="0.25">
      <c r="A26" s="56">
        <v>500</v>
      </c>
      <c r="C26" s="56">
        <v>608.6</v>
      </c>
      <c r="D26" s="38">
        <f>+U26</f>
        <v>0</v>
      </c>
      <c r="E26" s="38">
        <f>+Z26</f>
        <v>4289.2700000000004</v>
      </c>
      <c r="F26" s="138">
        <f>E26</f>
        <v>4289.2700000000004</v>
      </c>
      <c r="G26" s="36" t="s">
        <v>148</v>
      </c>
      <c r="H26" s="35">
        <f>ROUND($A26*$S$10,2)</f>
        <v>1700.2</v>
      </c>
      <c r="I26" s="35">
        <f>ROUND($A26*$S$11,2)</f>
        <v>2.71</v>
      </c>
      <c r="J26" s="35">
        <f>+$S$12</f>
        <v>5.833333333333333</v>
      </c>
      <c r="K26" s="35">
        <f>+D26</f>
        <v>0</v>
      </c>
      <c r="L26" s="35">
        <f>+E26+H26+I26+J26</f>
        <v>5998.0133333333333</v>
      </c>
      <c r="M26" s="36" t="s">
        <v>148</v>
      </c>
      <c r="R26" s="37">
        <f>+$R$20</f>
        <v>0</v>
      </c>
      <c r="S26" s="37">
        <f>ROUND($S$18*$A26,2)</f>
        <v>0</v>
      </c>
      <c r="T26" s="37">
        <f>ROUND($T$18*$C26,2)</f>
        <v>0</v>
      </c>
      <c r="U26" s="37">
        <f t="shared" si="0"/>
        <v>0</v>
      </c>
      <c r="W26" s="37">
        <f>+$W$20</f>
        <v>285</v>
      </c>
      <c r="X26" s="37">
        <f>ROUND($X$18*$A26,2)</f>
        <v>188.35</v>
      </c>
      <c r="Y26" s="37">
        <f>ROUND($Y$18*$C26,2)</f>
        <v>3815.92</v>
      </c>
      <c r="Z26" s="37">
        <f t="shared" si="1"/>
        <v>4289.2700000000004</v>
      </c>
      <c r="AA26" s="85"/>
    </row>
    <row r="27" spans="1:30" x14ac:dyDescent="0.25">
      <c r="A27" s="56"/>
      <c r="D27" s="34"/>
      <c r="E27" s="34"/>
      <c r="F27" s="3"/>
      <c r="K27" s="101"/>
      <c r="L27" s="34"/>
      <c r="M27" s="34"/>
      <c r="U27" s="37"/>
      <c r="Z27" s="37"/>
    </row>
    <row r="28" spans="1:30" x14ac:dyDescent="0.25">
      <c r="A28" s="56">
        <v>1000</v>
      </c>
      <c r="C28" s="56">
        <v>608.6</v>
      </c>
      <c r="D28" s="35">
        <f>+U28</f>
        <v>0</v>
      </c>
      <c r="E28" s="35">
        <f>+Z28</f>
        <v>4477.62</v>
      </c>
      <c r="F28" s="138">
        <f>E28</f>
        <v>4477.62</v>
      </c>
      <c r="G28" s="36" t="s">
        <v>148</v>
      </c>
      <c r="H28" s="35">
        <f>ROUND($A28*$S$10,2)</f>
        <v>3400.39</v>
      </c>
      <c r="I28" s="35">
        <f>ROUND($A28*$S$11,2)</f>
        <v>5.41</v>
      </c>
      <c r="J28" s="35">
        <f>+$S$12</f>
        <v>5.833333333333333</v>
      </c>
      <c r="K28" s="35">
        <f>+D28</f>
        <v>0</v>
      </c>
      <c r="L28" s="35">
        <f>+E28+H28+I28+J28</f>
        <v>7889.2533333333331</v>
      </c>
      <c r="M28" s="36" t="s">
        <v>148</v>
      </c>
      <c r="R28" s="37">
        <f>+$R$20</f>
        <v>0</v>
      </c>
      <c r="S28" s="37">
        <f>ROUND($S$18*$A28,2)</f>
        <v>0</v>
      </c>
      <c r="T28" s="37">
        <f>ROUND($T$18*$C28,2)</f>
        <v>0</v>
      </c>
      <c r="U28" s="37">
        <f t="shared" si="0"/>
        <v>0</v>
      </c>
      <c r="W28" s="37">
        <f>+$W$20</f>
        <v>285</v>
      </c>
      <c r="X28" s="37">
        <f>ROUND($X$18*$A28,2)</f>
        <v>376.7</v>
      </c>
      <c r="Y28" s="37">
        <f>ROUND($Y$18*$C28,2)</f>
        <v>3815.92</v>
      </c>
      <c r="Z28" s="37">
        <f t="shared" si="1"/>
        <v>4477.62</v>
      </c>
      <c r="AA28" s="85"/>
    </row>
    <row r="29" spans="1:30" x14ac:dyDescent="0.25">
      <c r="A29" s="56"/>
      <c r="D29" s="34"/>
      <c r="E29" s="34"/>
      <c r="F29" s="3"/>
      <c r="K29" s="101"/>
      <c r="L29" s="34"/>
      <c r="M29" s="34"/>
      <c r="U29" s="37"/>
      <c r="Z29" s="37"/>
    </row>
    <row r="30" spans="1:30" x14ac:dyDescent="0.25">
      <c r="A30" s="56">
        <v>2500</v>
      </c>
      <c r="C30" s="56">
        <v>608.6</v>
      </c>
      <c r="D30" s="35">
        <f>+U30</f>
        <v>0</v>
      </c>
      <c r="E30" s="35">
        <f>+Z30</f>
        <v>5042.67</v>
      </c>
      <c r="F30" s="138">
        <f>E30</f>
        <v>5042.67</v>
      </c>
      <c r="G30" s="36" t="s">
        <v>148</v>
      </c>
      <c r="H30" s="35">
        <f>ROUND($A30*$S$10,2)</f>
        <v>8500.98</v>
      </c>
      <c r="I30" s="35">
        <f>ROUND($A30*$S$11,2)</f>
        <v>13.53</v>
      </c>
      <c r="J30" s="35">
        <f>+$S$12</f>
        <v>5.833333333333333</v>
      </c>
      <c r="K30" s="35">
        <f>+D30</f>
        <v>0</v>
      </c>
      <c r="L30" s="35">
        <f>+E30+H30+I30+J30</f>
        <v>13563.013333333334</v>
      </c>
      <c r="M30" s="36" t="s">
        <v>148</v>
      </c>
      <c r="R30" s="37">
        <f>+$R$20</f>
        <v>0</v>
      </c>
      <c r="S30" s="37">
        <f>ROUND($S$18*$A30,2)</f>
        <v>0</v>
      </c>
      <c r="T30" s="37">
        <f>ROUND($T$18*$C30,2)</f>
        <v>0</v>
      </c>
      <c r="U30" s="37">
        <f t="shared" si="0"/>
        <v>0</v>
      </c>
      <c r="W30" s="37">
        <f>+$W$20</f>
        <v>285</v>
      </c>
      <c r="X30" s="37">
        <f>ROUND($X$18*$A30,2)</f>
        <v>941.75</v>
      </c>
      <c r="Y30" s="37">
        <f>ROUND($Y$18*$C30,2)</f>
        <v>3815.92</v>
      </c>
      <c r="Z30" s="37">
        <f t="shared" si="1"/>
        <v>5042.67</v>
      </c>
      <c r="AA30" s="85"/>
    </row>
    <row r="31" spans="1:30" x14ac:dyDescent="0.25">
      <c r="A31" s="56"/>
      <c r="D31" s="34"/>
      <c r="E31" s="34"/>
      <c r="F31" s="3"/>
      <c r="K31" s="101"/>
      <c r="L31" s="34"/>
      <c r="M31" s="34"/>
      <c r="U31" s="37"/>
      <c r="Z31" s="37"/>
    </row>
    <row r="32" spans="1:30" x14ac:dyDescent="0.25">
      <c r="A32" s="56">
        <v>5000</v>
      </c>
      <c r="C32" s="56">
        <v>608.6</v>
      </c>
      <c r="D32" s="35">
        <f>+U32</f>
        <v>0</v>
      </c>
      <c r="E32" s="35">
        <f>+Z32</f>
        <v>5984.42</v>
      </c>
      <c r="F32" s="138">
        <f>E32</f>
        <v>5984.42</v>
      </c>
      <c r="G32" s="36" t="s">
        <v>148</v>
      </c>
      <c r="H32" s="35">
        <f>ROUND($A32*$S$10,2)</f>
        <v>17001.95</v>
      </c>
      <c r="I32" s="35">
        <f>ROUND($A32*$S$11,2)</f>
        <v>27.07</v>
      </c>
      <c r="J32" s="35">
        <f>+$S$12</f>
        <v>5.833333333333333</v>
      </c>
      <c r="K32" s="35">
        <f>+D32</f>
        <v>0</v>
      </c>
      <c r="L32" s="35">
        <f>+E32+H32+I32+J32</f>
        <v>23019.273333333334</v>
      </c>
      <c r="M32" s="36" t="s">
        <v>148</v>
      </c>
      <c r="R32" s="37">
        <f>+$R$20</f>
        <v>0</v>
      </c>
      <c r="S32" s="37">
        <f>ROUND($S$18*$A32,2)</f>
        <v>0</v>
      </c>
      <c r="T32" s="37">
        <f>ROUND($T$18*$C32,2)</f>
        <v>0</v>
      </c>
      <c r="U32" s="37">
        <f t="shared" si="0"/>
        <v>0</v>
      </c>
      <c r="W32" s="37">
        <f>+$W$20</f>
        <v>285</v>
      </c>
      <c r="X32" s="37">
        <f>ROUND($X$18*$A32,2)</f>
        <v>1883.5</v>
      </c>
      <c r="Y32" s="37">
        <f>ROUND($Y$18*$C32,2)</f>
        <v>3815.92</v>
      </c>
      <c r="Z32" s="37">
        <f t="shared" si="1"/>
        <v>5984.42</v>
      </c>
      <c r="AA32" s="85"/>
    </row>
    <row r="33" spans="1:27" x14ac:dyDescent="0.25">
      <c r="A33" s="56"/>
      <c r="D33" s="34"/>
      <c r="E33" s="34"/>
      <c r="F33" s="3"/>
      <c r="K33" s="101"/>
      <c r="L33" s="34"/>
      <c r="M33" s="34"/>
      <c r="U33" s="37"/>
      <c r="Z33" s="37"/>
    </row>
    <row r="34" spans="1:27" x14ac:dyDescent="0.25">
      <c r="A34" s="56">
        <v>7500</v>
      </c>
      <c r="C34" s="56">
        <v>608.6</v>
      </c>
      <c r="D34" s="35">
        <f>+U34</f>
        <v>0</v>
      </c>
      <c r="E34" s="35">
        <f>+Z34</f>
        <v>6926.17</v>
      </c>
      <c r="F34" s="138">
        <f>E34</f>
        <v>6926.17</v>
      </c>
      <c r="G34" s="36" t="s">
        <v>148</v>
      </c>
      <c r="H34" s="35">
        <f>ROUND($A34*$S$10,2)</f>
        <v>25502.93</v>
      </c>
      <c r="I34" s="35">
        <f>ROUND($A34*$S$11,2)</f>
        <v>40.6</v>
      </c>
      <c r="J34" s="35">
        <f>+$S$12</f>
        <v>5.833333333333333</v>
      </c>
      <c r="K34" s="35">
        <f>+D34</f>
        <v>0</v>
      </c>
      <c r="L34" s="35">
        <f>+E34+H34+I34+J34</f>
        <v>32475.533333333329</v>
      </c>
      <c r="M34" s="36" t="s">
        <v>148</v>
      </c>
      <c r="R34" s="37">
        <f>+$R$20</f>
        <v>0</v>
      </c>
      <c r="S34" s="37">
        <f>ROUND($S$18*$A34,2)</f>
        <v>0</v>
      </c>
      <c r="T34" s="37">
        <f>ROUND($T$18*$C34,2)</f>
        <v>0</v>
      </c>
      <c r="U34" s="37">
        <f t="shared" si="0"/>
        <v>0</v>
      </c>
      <c r="W34" s="37">
        <f>+$W$20</f>
        <v>285</v>
      </c>
      <c r="X34" s="37">
        <f>ROUND($X$18*$A34,2)</f>
        <v>2825.25</v>
      </c>
      <c r="Y34" s="37">
        <f>ROUND($Y$18*$C34,2)</f>
        <v>3815.92</v>
      </c>
      <c r="Z34" s="37">
        <f t="shared" si="1"/>
        <v>6926.17</v>
      </c>
      <c r="AA34" s="85"/>
    </row>
    <row r="35" spans="1:27" x14ac:dyDescent="0.25">
      <c r="F35" s="3"/>
      <c r="K35" s="34"/>
      <c r="L35" s="34"/>
      <c r="M35" s="34"/>
    </row>
    <row r="36" spans="1:27" x14ac:dyDescent="0.25">
      <c r="A36" s="33" t="s">
        <v>102</v>
      </c>
      <c r="D36" s="55"/>
      <c r="E36" s="56"/>
      <c r="K36" s="35"/>
      <c r="L36" s="35"/>
      <c r="M36" s="36"/>
    </row>
    <row r="37" spans="1:27" x14ac:dyDescent="0.25">
      <c r="A37" s="59" t="s">
        <v>147</v>
      </c>
    </row>
    <row r="38" spans="1:27" x14ac:dyDescent="0.25">
      <c r="A38" s="61" t="s">
        <v>103</v>
      </c>
    </row>
    <row r="39" spans="1:27" x14ac:dyDescent="0.25">
      <c r="A39" s="77" t="str">
        <f>+'Rate Case Constants'!$C$26</f>
        <v>Calculations may vary from other schedules due to rounding</v>
      </c>
    </row>
  </sheetData>
  <mergeCells count="6">
    <mergeCell ref="S4:AB4"/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D47"/>
  <sheetViews>
    <sheetView topLeftCell="A14" zoomScaleNormal="100" zoomScaleSheetLayoutView="90" workbookViewId="0">
      <selection activeCell="C36" sqref="C36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3" width="9.6640625" style="33" customWidth="1"/>
    <col min="4" max="7" width="12" style="33" customWidth="1"/>
    <col min="8" max="8" width="12.33203125" style="33" customWidth="1"/>
    <col min="9" max="11" width="12" style="33" customWidth="1"/>
    <col min="12" max="12" width="13.109375" style="33" customWidth="1"/>
    <col min="13" max="13" width="12" style="33" customWidth="1"/>
    <col min="14" max="17" width="4.33203125" style="33" customWidth="1"/>
    <col min="18" max="18" width="13.5546875" style="33" customWidth="1"/>
    <col min="19" max="19" width="10.88671875" style="33" bestFit="1" customWidth="1"/>
    <col min="20" max="20" width="10.88671875" style="33" customWidth="1"/>
    <col min="21" max="21" width="11.6640625" style="33" customWidth="1"/>
    <col min="22" max="22" width="9.109375" style="33"/>
    <col min="23" max="23" width="14.5546875" style="33" customWidth="1"/>
    <col min="24" max="24" width="10.88671875" style="33" bestFit="1" customWidth="1"/>
    <col min="25" max="25" width="10.88671875" style="33" customWidth="1"/>
    <col min="26" max="26" width="10.6640625" style="33" customWidth="1"/>
    <col min="27" max="27" width="12.33203125" style="33" customWidth="1"/>
    <col min="28" max="16384" width="9.109375" style="33"/>
  </cols>
  <sheetData>
    <row r="1" spans="1:30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30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30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30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S4" s="143"/>
      <c r="T4" s="143"/>
      <c r="U4" s="144"/>
      <c r="V4" s="144"/>
      <c r="W4" s="144"/>
      <c r="X4" s="144"/>
      <c r="Y4" s="144"/>
      <c r="Z4" s="144"/>
      <c r="AA4" s="144"/>
      <c r="AB4" s="144"/>
    </row>
    <row r="5" spans="1:30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30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30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30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Constants'!I18</f>
        <v>PAGE 11 OF 11</v>
      </c>
    </row>
    <row r="9" spans="1:30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30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118"/>
      <c r="R10" s="25" t="s">
        <v>34</v>
      </c>
      <c r="S10" s="21">
        <f>+INPUT!H47</f>
        <v>3.4003905460911725</v>
      </c>
      <c r="T10" s="21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x14ac:dyDescent="0.25">
      <c r="A11" s="113" t="s">
        <v>152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+INPUT!I47</f>
        <v>5.4137768500437675E-3</v>
      </c>
      <c r="T11" s="68"/>
      <c r="U11" s="16"/>
      <c r="V11" s="16"/>
      <c r="W11" s="22"/>
      <c r="X11" s="16"/>
      <c r="Y11" s="16"/>
      <c r="Z11" s="16"/>
      <c r="AA11" s="34"/>
      <c r="AB11" s="34"/>
      <c r="AC11" s="34"/>
      <c r="AD11" s="34"/>
    </row>
    <row r="12" spans="1:3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+INPUT!L47</f>
        <v>5.833333333333333</v>
      </c>
      <c r="T12" s="64"/>
      <c r="U12" s="16"/>
      <c r="V12" s="16"/>
      <c r="W12" s="16"/>
      <c r="X12" s="16"/>
      <c r="Y12" s="16"/>
      <c r="Z12" s="16"/>
      <c r="AA12" s="34"/>
      <c r="AB12" s="34"/>
      <c r="AC12" s="34"/>
      <c r="AD12" s="34"/>
    </row>
    <row r="13" spans="1:30" x14ac:dyDescent="0.25">
      <c r="A13" s="16"/>
      <c r="B13" s="16"/>
      <c r="C13" s="16"/>
      <c r="D13" s="17" t="s">
        <v>84</v>
      </c>
      <c r="E13" s="18" t="s">
        <v>92</v>
      </c>
      <c r="F13" s="18" t="s">
        <v>85</v>
      </c>
      <c r="G13" s="17" t="s">
        <v>86</v>
      </c>
      <c r="H13" s="17" t="s">
        <v>87</v>
      </c>
      <c r="I13" s="17" t="s">
        <v>88</v>
      </c>
      <c r="J13" s="18" t="s">
        <v>93</v>
      </c>
      <c r="K13" s="17" t="s">
        <v>89</v>
      </c>
      <c r="L13" s="17" t="s">
        <v>90</v>
      </c>
      <c r="M13" s="17" t="s">
        <v>91</v>
      </c>
      <c r="R13" s="16"/>
      <c r="S13" s="16"/>
      <c r="T13" s="16"/>
      <c r="U13" s="16"/>
      <c r="V13" s="16"/>
      <c r="W13" s="16"/>
      <c r="X13" s="16"/>
      <c r="Y13" s="16"/>
      <c r="Z13" s="16"/>
      <c r="AA13" s="34"/>
      <c r="AB13" s="34"/>
      <c r="AC13" s="34"/>
      <c r="AD13" s="34"/>
    </row>
    <row r="14" spans="1:30" x14ac:dyDescent="0.25">
      <c r="A14" s="34"/>
      <c r="B14" s="34"/>
      <c r="C14" s="34"/>
      <c r="D14" s="79" t="s">
        <v>112</v>
      </c>
      <c r="E14" s="79" t="s">
        <v>112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23"/>
      <c r="V14" s="34"/>
      <c r="W14" s="23" t="s">
        <v>25</v>
      </c>
      <c r="X14" s="23"/>
      <c r="Y14" s="23"/>
      <c r="Z14" s="23"/>
      <c r="AA14" s="34"/>
      <c r="AB14" s="34"/>
      <c r="AC14" s="34"/>
      <c r="AD14" s="34"/>
    </row>
    <row r="15" spans="1:30" x14ac:dyDescent="0.25">
      <c r="A15" s="34"/>
      <c r="B15" s="34"/>
      <c r="C15" s="34"/>
      <c r="D15" s="17" t="s">
        <v>21</v>
      </c>
      <c r="E15" s="17" t="s">
        <v>27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49" t="s">
        <v>155</v>
      </c>
      <c r="S15" s="17"/>
      <c r="T15" s="17"/>
      <c r="U15" s="18"/>
      <c r="V15" s="34"/>
      <c r="W15" s="149" t="s">
        <v>155</v>
      </c>
      <c r="X15" s="17"/>
      <c r="Y15" s="17"/>
      <c r="Z15" s="18"/>
      <c r="AA15" s="34"/>
      <c r="AB15" s="34"/>
      <c r="AC15" s="34"/>
      <c r="AD15" s="34"/>
    </row>
    <row r="16" spans="1:30" x14ac:dyDescent="0.25">
      <c r="A16" s="17"/>
      <c r="B16" s="17"/>
      <c r="C16" s="17"/>
      <c r="D16" s="17" t="s">
        <v>29</v>
      </c>
      <c r="E16" s="17" t="s">
        <v>29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50"/>
      <c r="S16" s="17" t="s">
        <v>113</v>
      </c>
      <c r="T16" s="17" t="s">
        <v>106</v>
      </c>
      <c r="U16" s="18" t="s">
        <v>26</v>
      </c>
      <c r="V16" s="34"/>
      <c r="W16" s="150"/>
      <c r="X16" s="17" t="s">
        <v>113</v>
      </c>
      <c r="Y16" s="17" t="s">
        <v>106</v>
      </c>
      <c r="Z16" s="18" t="s">
        <v>26</v>
      </c>
      <c r="AA16" s="21"/>
      <c r="AB16" s="17" t="s">
        <v>39</v>
      </c>
      <c r="AC16" s="17"/>
      <c r="AD16" s="17" t="s">
        <v>40</v>
      </c>
    </row>
    <row r="17" spans="1:30" x14ac:dyDescent="0.25">
      <c r="A17" s="17" t="s">
        <v>36</v>
      </c>
      <c r="B17" s="17"/>
      <c r="C17" s="17" t="s">
        <v>142</v>
      </c>
      <c r="D17" s="17"/>
      <c r="E17" s="17"/>
      <c r="F17" s="17" t="s">
        <v>32</v>
      </c>
      <c r="G17" s="18" t="s">
        <v>33</v>
      </c>
      <c r="H17" s="19"/>
      <c r="I17" s="19"/>
      <c r="J17" s="20"/>
      <c r="K17" s="17" t="s">
        <v>32</v>
      </c>
      <c r="L17" s="17" t="s">
        <v>32</v>
      </c>
      <c r="M17" s="18" t="s">
        <v>33</v>
      </c>
      <c r="R17" s="151"/>
      <c r="S17" s="120" t="s">
        <v>41</v>
      </c>
      <c r="T17" s="120" t="s">
        <v>41</v>
      </c>
      <c r="U17" s="119" t="s">
        <v>29</v>
      </c>
      <c r="V17" s="34"/>
      <c r="W17" s="151"/>
      <c r="X17" s="120" t="s">
        <v>41</v>
      </c>
      <c r="Y17" s="120" t="s">
        <v>41</v>
      </c>
      <c r="Z17" s="119" t="s">
        <v>29</v>
      </c>
      <c r="AA17" s="21"/>
      <c r="AB17" s="17" t="s">
        <v>2</v>
      </c>
      <c r="AC17" s="17"/>
      <c r="AD17" s="17" t="s">
        <v>2</v>
      </c>
    </row>
    <row r="18" spans="1:30" x14ac:dyDescent="0.25">
      <c r="A18" s="120"/>
      <c r="B18" s="120"/>
      <c r="C18" s="120"/>
      <c r="D18" s="120"/>
      <c r="E18" s="120"/>
      <c r="F18" s="134" t="str">
        <f>("[ "&amp;E13&amp;"  - "&amp;D13&amp;"]")</f>
        <v>[ B  - A]</v>
      </c>
      <c r="G18" s="120" t="str">
        <f>("[ "&amp;F13&amp;" / "&amp;D13&amp;" ]")</f>
        <v>[ C / A ]</v>
      </c>
      <c r="H18" s="108"/>
      <c r="I18" s="108"/>
      <c r="J18" s="108"/>
      <c r="K18" s="120" t="str">
        <f>("["&amp;D13&amp;"]")</f>
        <v>[A]</v>
      </c>
      <c r="L18" s="120" t="str">
        <f>("["&amp;E13&amp;"+"&amp;$G$13&amp;"+"&amp;$H$13&amp;"+"&amp;$I$13&amp;"]")</f>
        <v>[B+D+E+F]</v>
      </c>
      <c r="M18" s="120" t="str">
        <f>("[("&amp;L13&amp;" - "&amp;K13&amp;") / "&amp;K13&amp;"]")</f>
        <v>[(I - H) / H]</v>
      </c>
      <c r="R18" s="18"/>
      <c r="S18" s="24">
        <f>+INPUT!$J$9</f>
        <v>0</v>
      </c>
      <c r="T18" s="24">
        <f>+INPUT!$J$12</f>
        <v>0</v>
      </c>
      <c r="U18" s="18"/>
      <c r="V18" s="34"/>
      <c r="W18" s="18"/>
      <c r="X18" s="24">
        <f>+INPUT!$K$27</f>
        <v>3.8800000000000001E-2</v>
      </c>
      <c r="Y18" s="24">
        <f>+INPUT!$K$30</f>
        <v>2.57</v>
      </c>
      <c r="Z18" s="18"/>
      <c r="AA18" s="21"/>
      <c r="AB18" s="17"/>
      <c r="AC18" s="17"/>
      <c r="AD18" s="17"/>
    </row>
    <row r="19" spans="1:30" x14ac:dyDescent="0.25">
      <c r="A19" s="17"/>
      <c r="B19" s="17"/>
      <c r="C19" s="17"/>
      <c r="D19" s="17"/>
      <c r="E19" s="17"/>
      <c r="F19" s="3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7" t="s">
        <v>107</v>
      </c>
      <c r="U19" s="18"/>
      <c r="V19" s="34"/>
      <c r="W19" s="18"/>
      <c r="X19" s="18" t="s">
        <v>114</v>
      </c>
      <c r="Y19" s="17" t="s">
        <v>107</v>
      </c>
      <c r="Z19" s="18"/>
      <c r="AA19" s="21"/>
      <c r="AB19" s="17"/>
      <c r="AC19" s="17"/>
      <c r="AD19" s="17"/>
    </row>
    <row r="20" spans="1:30" x14ac:dyDescent="0.25">
      <c r="A20" s="56">
        <v>25</v>
      </c>
      <c r="B20" s="56"/>
      <c r="C20" s="56">
        <v>608.6</v>
      </c>
      <c r="D20" s="35">
        <f>+U20</f>
        <v>0</v>
      </c>
      <c r="E20" s="35">
        <f>+Z20</f>
        <v>3425.0699999999997</v>
      </c>
      <c r="F20" s="138">
        <f>+E20-D20</f>
        <v>3425.0699999999997</v>
      </c>
      <c r="G20" s="36" t="s">
        <v>148</v>
      </c>
      <c r="H20" s="35">
        <f>ROUND($A20*$S$10,2)</f>
        <v>85.01</v>
      </c>
      <c r="I20" s="35">
        <f>ROUND($A20*$S$11,2)</f>
        <v>0.14000000000000001</v>
      </c>
      <c r="J20" s="35">
        <f>+$S$12</f>
        <v>5.833333333333333</v>
      </c>
      <c r="K20" s="35">
        <f>+D20</f>
        <v>0</v>
      </c>
      <c r="L20" s="35">
        <f>+E20+H20+I20+J20</f>
        <v>3516.0533333333333</v>
      </c>
      <c r="M20" s="36" t="s">
        <v>148</v>
      </c>
      <c r="R20" s="37">
        <f>+INPUT!$J$5</f>
        <v>0</v>
      </c>
      <c r="S20" s="37">
        <f>ROUND($S$18*$A20,2)</f>
        <v>0</v>
      </c>
      <c r="T20" s="37">
        <f>ROUND($T$18*$C20,2)</f>
        <v>0</v>
      </c>
      <c r="U20" s="37">
        <f>SUM(R20:T20)</f>
        <v>0</v>
      </c>
      <c r="W20" s="37">
        <f>+INPUT!$K$23+INPUT!$K$32</f>
        <v>1860</v>
      </c>
      <c r="X20" s="37">
        <f>ROUND($X$18*$A20,2)</f>
        <v>0.97</v>
      </c>
      <c r="Y20" s="37">
        <f>ROUND($Y$18*$C20,2)</f>
        <v>1564.1</v>
      </c>
      <c r="Z20" s="37">
        <f>SUM(W20:Y20)</f>
        <v>3425.0699999999997</v>
      </c>
      <c r="AA20" s="85"/>
    </row>
    <row r="21" spans="1:30" x14ac:dyDescent="0.25">
      <c r="A21" s="56"/>
      <c r="D21" s="34"/>
      <c r="E21" s="34"/>
      <c r="F21" s="3"/>
      <c r="K21" s="34"/>
      <c r="L21" s="34"/>
      <c r="M21" s="34"/>
      <c r="U21" s="37"/>
      <c r="Z21" s="37"/>
    </row>
    <row r="22" spans="1:30" x14ac:dyDescent="0.25">
      <c r="A22" s="56">
        <v>50</v>
      </c>
      <c r="B22" s="96"/>
      <c r="C22" s="56">
        <v>608.6</v>
      </c>
      <c r="D22" s="38">
        <f>+U22</f>
        <v>0</v>
      </c>
      <c r="E22" s="38">
        <f>+Z22</f>
        <v>3426.04</v>
      </c>
      <c r="F22" s="138">
        <f>+E22-D22</f>
        <v>3426.04</v>
      </c>
      <c r="G22" s="36" t="s">
        <v>148</v>
      </c>
      <c r="H22" s="38">
        <f>$A22*$S$10</f>
        <v>170.01952730455864</v>
      </c>
      <c r="I22" s="38">
        <f>$A22*$S$11</f>
        <v>0.27068884250218839</v>
      </c>
      <c r="J22" s="38">
        <f>+$S$12</f>
        <v>5.833333333333333</v>
      </c>
      <c r="K22" s="35">
        <f>+D22</f>
        <v>0</v>
      </c>
      <c r="L22" s="38">
        <f>+E22+H22+I22+J22</f>
        <v>3602.1635494803945</v>
      </c>
      <c r="M22" s="36" t="s">
        <v>148</v>
      </c>
      <c r="R22" s="37">
        <f>+$R$20</f>
        <v>0</v>
      </c>
      <c r="S22" s="37">
        <f>ROUND($S$18*$A22,2)</f>
        <v>0</v>
      </c>
      <c r="T22" s="37">
        <f>ROUND($T$18*$C22,2)</f>
        <v>0</v>
      </c>
      <c r="U22" s="37">
        <f t="shared" ref="U22:U34" si="0">SUM(R22:T22)</f>
        <v>0</v>
      </c>
      <c r="W22" s="37">
        <f>+$W$20</f>
        <v>1860</v>
      </c>
      <c r="X22" s="37">
        <f>ROUND($X$18*$A22,2)</f>
        <v>1.94</v>
      </c>
      <c r="Y22" s="37">
        <f>ROUND($Y$18*$C22,2)</f>
        <v>1564.1</v>
      </c>
      <c r="Z22" s="37">
        <f t="shared" ref="Z22:Z34" si="1">SUM(W22:Y22)</f>
        <v>3426.04</v>
      </c>
      <c r="AA22" s="85"/>
    </row>
    <row r="23" spans="1:30" x14ac:dyDescent="0.25">
      <c r="A23" s="56"/>
      <c r="D23" s="35"/>
      <c r="E23" s="35"/>
      <c r="F23" s="3"/>
      <c r="K23" s="35"/>
      <c r="L23" s="35"/>
      <c r="M23" s="36"/>
      <c r="U23" s="37"/>
      <c r="Z23" s="37"/>
    </row>
    <row r="24" spans="1:30" x14ac:dyDescent="0.25">
      <c r="A24" s="56">
        <v>100</v>
      </c>
      <c r="C24" s="56">
        <v>608.6</v>
      </c>
      <c r="D24" s="35">
        <f>+U24</f>
        <v>0</v>
      </c>
      <c r="E24" s="35">
        <f>+Z24</f>
        <v>3427.98</v>
      </c>
      <c r="F24" s="138">
        <f>+E24-D24</f>
        <v>3427.98</v>
      </c>
      <c r="G24" s="36" t="s">
        <v>148</v>
      </c>
      <c r="H24" s="35">
        <f>ROUND($A24*$S$10,2)</f>
        <v>340.04</v>
      </c>
      <c r="I24" s="35">
        <f>ROUND($A24*$S$11,2)</f>
        <v>0.54</v>
      </c>
      <c r="J24" s="35">
        <f>+$S$12</f>
        <v>5.833333333333333</v>
      </c>
      <c r="K24" s="35">
        <f>+D24</f>
        <v>0</v>
      </c>
      <c r="L24" s="35">
        <f>+E24+H24+I24+J24</f>
        <v>3774.3933333333334</v>
      </c>
      <c r="M24" s="36" t="s">
        <v>148</v>
      </c>
      <c r="R24" s="37">
        <f>+$R$20</f>
        <v>0</v>
      </c>
      <c r="S24" s="37">
        <f>ROUND($S$18*$A24,2)</f>
        <v>0</v>
      </c>
      <c r="T24" s="37">
        <f>ROUND($T$18*$C24,2)</f>
        <v>0</v>
      </c>
      <c r="U24" s="37">
        <f t="shared" si="0"/>
        <v>0</v>
      </c>
      <c r="W24" s="37">
        <f>+$W$20</f>
        <v>1860</v>
      </c>
      <c r="X24" s="37">
        <f>ROUND($X$18*$A24,2)</f>
        <v>3.88</v>
      </c>
      <c r="Y24" s="37">
        <f>ROUND($Y$18*$C24,2)</f>
        <v>1564.1</v>
      </c>
      <c r="Z24" s="37">
        <f t="shared" si="1"/>
        <v>3427.98</v>
      </c>
      <c r="AA24" s="85"/>
    </row>
    <row r="25" spans="1:30" x14ac:dyDescent="0.25">
      <c r="A25" s="56"/>
      <c r="D25" s="34"/>
      <c r="E25" s="34"/>
      <c r="F25" s="3"/>
      <c r="K25" s="101"/>
      <c r="L25" s="34"/>
      <c r="M25" s="34"/>
      <c r="U25" s="37"/>
      <c r="Z25" s="37"/>
    </row>
    <row r="26" spans="1:30" x14ac:dyDescent="0.25">
      <c r="A26" s="56">
        <v>500</v>
      </c>
      <c r="C26" s="56">
        <v>608.6</v>
      </c>
      <c r="D26" s="38">
        <f>+U26</f>
        <v>0</v>
      </c>
      <c r="E26" s="38">
        <f>+Z26</f>
        <v>3443.5</v>
      </c>
      <c r="F26" s="138">
        <f>+E26-D26</f>
        <v>3443.5</v>
      </c>
      <c r="G26" s="36" t="s">
        <v>148</v>
      </c>
      <c r="H26" s="35">
        <f>ROUND($A26*$S$10,2)</f>
        <v>1700.2</v>
      </c>
      <c r="I26" s="35">
        <f>ROUND($A26*$S$11,2)</f>
        <v>2.71</v>
      </c>
      <c r="J26" s="35">
        <f>+$S$12</f>
        <v>5.833333333333333</v>
      </c>
      <c r="K26" s="35">
        <f>+D26</f>
        <v>0</v>
      </c>
      <c r="L26" s="35">
        <f>+E26+H26+I26+J26</f>
        <v>5152.2433333333329</v>
      </c>
      <c r="M26" s="36" t="s">
        <v>148</v>
      </c>
      <c r="R26" s="37">
        <f>+$R$20</f>
        <v>0</v>
      </c>
      <c r="S26" s="37">
        <f>ROUND($S$18*$A26,2)</f>
        <v>0</v>
      </c>
      <c r="T26" s="37">
        <f>ROUND($T$18*$C26,2)</f>
        <v>0</v>
      </c>
      <c r="U26" s="37">
        <f t="shared" si="0"/>
        <v>0</v>
      </c>
      <c r="W26" s="37">
        <f>+$W$20</f>
        <v>1860</v>
      </c>
      <c r="X26" s="37">
        <f>ROUND($X$18*$A26,2)</f>
        <v>19.399999999999999</v>
      </c>
      <c r="Y26" s="37">
        <f>ROUND($Y$18*$C26,2)</f>
        <v>1564.1</v>
      </c>
      <c r="Z26" s="37">
        <f t="shared" si="1"/>
        <v>3443.5</v>
      </c>
      <c r="AA26" s="85"/>
    </row>
    <row r="27" spans="1:30" x14ac:dyDescent="0.25">
      <c r="A27" s="56"/>
      <c r="D27" s="34"/>
      <c r="E27" s="34"/>
      <c r="F27" s="3"/>
      <c r="K27" s="101"/>
      <c r="L27" s="34"/>
      <c r="M27" s="34"/>
      <c r="U27" s="37"/>
      <c r="Z27" s="37"/>
    </row>
    <row r="28" spans="1:30" x14ac:dyDescent="0.25">
      <c r="A28" s="56">
        <v>1000</v>
      </c>
      <c r="C28" s="56">
        <v>608.6</v>
      </c>
      <c r="D28" s="35">
        <f>+U28</f>
        <v>0</v>
      </c>
      <c r="E28" s="35">
        <f>+Z28</f>
        <v>3462.8999999999996</v>
      </c>
      <c r="F28" s="138">
        <f>+E28-D28</f>
        <v>3462.8999999999996</v>
      </c>
      <c r="G28" s="36" t="s">
        <v>148</v>
      </c>
      <c r="H28" s="35">
        <f>ROUND($A28*$S$10,2)</f>
        <v>3400.39</v>
      </c>
      <c r="I28" s="35">
        <f>ROUND($A28*$S$11,2)</f>
        <v>5.41</v>
      </c>
      <c r="J28" s="35">
        <f>+$S$12</f>
        <v>5.833333333333333</v>
      </c>
      <c r="K28" s="35">
        <f>+D28</f>
        <v>0</v>
      </c>
      <c r="L28" s="35">
        <f>+E28+H28+I28+J28</f>
        <v>6874.5333333333319</v>
      </c>
      <c r="M28" s="36" t="s">
        <v>148</v>
      </c>
      <c r="R28" s="37">
        <f>+$R$20</f>
        <v>0</v>
      </c>
      <c r="S28" s="37">
        <f>ROUND($S$18*$A28,2)</f>
        <v>0</v>
      </c>
      <c r="T28" s="37">
        <f>ROUND($T$18*$C28,2)</f>
        <v>0</v>
      </c>
      <c r="U28" s="37">
        <f t="shared" si="0"/>
        <v>0</v>
      </c>
      <c r="W28" s="37">
        <f>+$W$20</f>
        <v>1860</v>
      </c>
      <c r="X28" s="37">
        <f>ROUND($X$18*$A28,2)</f>
        <v>38.799999999999997</v>
      </c>
      <c r="Y28" s="37">
        <f>ROUND($Y$18*$C28,2)</f>
        <v>1564.1</v>
      </c>
      <c r="Z28" s="37">
        <f t="shared" si="1"/>
        <v>3462.8999999999996</v>
      </c>
      <c r="AA28" s="85"/>
    </row>
    <row r="29" spans="1:30" x14ac:dyDescent="0.25">
      <c r="A29" s="56"/>
      <c r="D29" s="34"/>
      <c r="E29" s="34"/>
      <c r="F29" s="3"/>
      <c r="K29" s="101"/>
      <c r="L29" s="34"/>
      <c r="M29" s="34"/>
      <c r="U29" s="37"/>
      <c r="Z29" s="37"/>
    </row>
    <row r="30" spans="1:30" x14ac:dyDescent="0.25">
      <c r="A30" s="56">
        <v>2500</v>
      </c>
      <c r="C30" s="56">
        <v>608.6</v>
      </c>
      <c r="D30" s="35">
        <f>+U30</f>
        <v>0</v>
      </c>
      <c r="E30" s="35">
        <f>+Z30</f>
        <v>3521.1</v>
      </c>
      <c r="F30" s="138">
        <f>+E30-D30</f>
        <v>3521.1</v>
      </c>
      <c r="G30" s="36" t="s">
        <v>148</v>
      </c>
      <c r="H30" s="35">
        <f>ROUND($A30*$S$10,2)</f>
        <v>8500.98</v>
      </c>
      <c r="I30" s="35">
        <f>ROUND($A30*$S$11,2)</f>
        <v>13.53</v>
      </c>
      <c r="J30" s="35">
        <f>+$S$12</f>
        <v>5.833333333333333</v>
      </c>
      <c r="K30" s="35">
        <f>+D30</f>
        <v>0</v>
      </c>
      <c r="L30" s="35">
        <f>+E30+H30+I30+J30</f>
        <v>12041.443333333335</v>
      </c>
      <c r="M30" s="36" t="s">
        <v>148</v>
      </c>
      <c r="R30" s="37">
        <f>+$R$20</f>
        <v>0</v>
      </c>
      <c r="S30" s="37">
        <f>ROUND($S$18*$A30,2)</f>
        <v>0</v>
      </c>
      <c r="T30" s="37">
        <f>ROUND($T$18*$C30,2)</f>
        <v>0</v>
      </c>
      <c r="U30" s="37">
        <f t="shared" si="0"/>
        <v>0</v>
      </c>
      <c r="W30" s="37">
        <f>+$W$20</f>
        <v>1860</v>
      </c>
      <c r="X30" s="37">
        <f>ROUND($X$18*$A30,2)</f>
        <v>97</v>
      </c>
      <c r="Y30" s="37">
        <f>ROUND($Y$18*$C30,2)</f>
        <v>1564.1</v>
      </c>
      <c r="Z30" s="37">
        <f t="shared" si="1"/>
        <v>3521.1</v>
      </c>
      <c r="AA30" s="85"/>
    </row>
    <row r="31" spans="1:30" x14ac:dyDescent="0.25">
      <c r="A31" s="56"/>
      <c r="D31" s="34"/>
      <c r="E31" s="34"/>
      <c r="F31" s="3"/>
      <c r="K31" s="101"/>
      <c r="L31" s="34"/>
      <c r="M31" s="34"/>
      <c r="U31" s="37"/>
      <c r="Z31" s="37"/>
    </row>
    <row r="32" spans="1:30" x14ac:dyDescent="0.25">
      <c r="A32" s="56">
        <v>5000</v>
      </c>
      <c r="C32" s="56">
        <v>608.6</v>
      </c>
      <c r="D32" s="35">
        <f>+U32</f>
        <v>0</v>
      </c>
      <c r="E32" s="35">
        <f>+Z32</f>
        <v>3618.1</v>
      </c>
      <c r="F32" s="138">
        <f>+E32-D32</f>
        <v>3618.1</v>
      </c>
      <c r="G32" s="36" t="s">
        <v>148</v>
      </c>
      <c r="H32" s="35">
        <f>ROUND($A32*$S$10,2)</f>
        <v>17001.95</v>
      </c>
      <c r="I32" s="35">
        <f>ROUND($A32*$S$11,2)</f>
        <v>27.07</v>
      </c>
      <c r="J32" s="35">
        <f>+$S$12</f>
        <v>5.833333333333333</v>
      </c>
      <c r="K32" s="35">
        <f>+D32</f>
        <v>0</v>
      </c>
      <c r="L32" s="35">
        <f>+E32+H32+I32+J32</f>
        <v>20652.953333333331</v>
      </c>
      <c r="M32" s="36" t="s">
        <v>148</v>
      </c>
      <c r="R32" s="37">
        <f>+$R$20</f>
        <v>0</v>
      </c>
      <c r="S32" s="37">
        <f>ROUND($S$18*$A32,2)</f>
        <v>0</v>
      </c>
      <c r="T32" s="37">
        <f>ROUND($T$18*$C32,2)</f>
        <v>0</v>
      </c>
      <c r="U32" s="37">
        <f t="shared" si="0"/>
        <v>0</v>
      </c>
      <c r="W32" s="37">
        <f>+$W$20</f>
        <v>1860</v>
      </c>
      <c r="X32" s="37">
        <f>ROUND($X$18*$A32,2)</f>
        <v>194</v>
      </c>
      <c r="Y32" s="37">
        <f>ROUND($Y$18*$C32,2)</f>
        <v>1564.1</v>
      </c>
      <c r="Z32" s="37">
        <f t="shared" si="1"/>
        <v>3618.1</v>
      </c>
      <c r="AA32" s="85"/>
    </row>
    <row r="33" spans="1:27" x14ac:dyDescent="0.25">
      <c r="A33" s="56"/>
      <c r="D33" s="34"/>
      <c r="E33" s="34"/>
      <c r="F33" s="3"/>
      <c r="K33" s="101"/>
      <c r="L33" s="34"/>
      <c r="M33" s="34"/>
      <c r="U33" s="37"/>
      <c r="Z33" s="37"/>
    </row>
    <row r="34" spans="1:27" x14ac:dyDescent="0.25">
      <c r="A34" s="56">
        <v>7500</v>
      </c>
      <c r="C34" s="56">
        <v>608.6</v>
      </c>
      <c r="D34" s="35">
        <f>+U34</f>
        <v>0</v>
      </c>
      <c r="E34" s="35">
        <f>+Z34</f>
        <v>3715.1</v>
      </c>
      <c r="F34" s="138">
        <f>+E34-D34</f>
        <v>3715.1</v>
      </c>
      <c r="G34" s="36" t="s">
        <v>148</v>
      </c>
      <c r="H34" s="35">
        <f>ROUND($A34*$S$10,2)</f>
        <v>25502.93</v>
      </c>
      <c r="I34" s="35">
        <f>ROUND($A34*$S$11,2)</f>
        <v>40.6</v>
      </c>
      <c r="J34" s="35">
        <f>+$S$12</f>
        <v>5.833333333333333</v>
      </c>
      <c r="K34" s="35">
        <f>+D34</f>
        <v>0</v>
      </c>
      <c r="L34" s="35">
        <f>+E34+H34+I34+J34</f>
        <v>29264.46333333333</v>
      </c>
      <c r="M34" s="36" t="s">
        <v>148</v>
      </c>
      <c r="R34" s="37">
        <f>+$R$20</f>
        <v>0</v>
      </c>
      <c r="S34" s="37">
        <f>ROUND($S$18*$A34,2)</f>
        <v>0</v>
      </c>
      <c r="T34" s="37">
        <f>ROUND($T$18*$C34,2)</f>
        <v>0</v>
      </c>
      <c r="U34" s="37">
        <f t="shared" si="0"/>
        <v>0</v>
      </c>
      <c r="W34" s="37">
        <f>+$W$20</f>
        <v>1860</v>
      </c>
      <c r="X34" s="37">
        <f>ROUND($X$18*$A34,2)</f>
        <v>291</v>
      </c>
      <c r="Y34" s="37">
        <f>ROUND($Y$18*$C34,2)</f>
        <v>1564.1</v>
      </c>
      <c r="Z34" s="37">
        <f t="shared" si="1"/>
        <v>3715.1</v>
      </c>
      <c r="AA34" s="85"/>
    </row>
    <row r="35" spans="1:27" x14ac:dyDescent="0.25">
      <c r="K35" s="34"/>
      <c r="L35" s="34"/>
      <c r="M35" s="34"/>
    </row>
    <row r="36" spans="1:27" x14ac:dyDescent="0.25">
      <c r="A36" s="33" t="s">
        <v>102</v>
      </c>
      <c r="D36" s="55"/>
      <c r="E36" s="56"/>
      <c r="K36" s="35"/>
      <c r="L36" s="35"/>
      <c r="M36" s="36"/>
    </row>
    <row r="37" spans="1:27" x14ac:dyDescent="0.25">
      <c r="A37" s="59" t="s">
        <v>153</v>
      </c>
    </row>
    <row r="38" spans="1:27" x14ac:dyDescent="0.25">
      <c r="A38" s="61" t="s">
        <v>103</v>
      </c>
    </row>
    <row r="39" spans="1:27" x14ac:dyDescent="0.25">
      <c r="A39" s="77" t="str">
        <f>+'Rate Case Constants'!$C$26</f>
        <v>Calculations may vary from other schedules due to rounding</v>
      </c>
    </row>
    <row r="46" spans="1:27" x14ac:dyDescent="0.25">
      <c r="J46" s="133"/>
      <c r="K46" s="133"/>
    </row>
    <row r="47" spans="1:27" x14ac:dyDescent="0.25">
      <c r="J47" s="133"/>
      <c r="K47" s="133"/>
    </row>
  </sheetData>
  <mergeCells count="8">
    <mergeCell ref="S4:AB4"/>
    <mergeCell ref="H15:J15"/>
    <mergeCell ref="A1:M1"/>
    <mergeCell ref="A2:M2"/>
    <mergeCell ref="A3:M3"/>
    <mergeCell ref="A4:M4"/>
    <mergeCell ref="W15:W17"/>
    <mergeCell ref="R15:R17"/>
  </mergeCells>
  <printOptions horizontalCentered="1"/>
  <pageMargins left="0.75" right="0.75" top="1.5" bottom="0.5" header="1" footer="0.5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48"/>
  <sheetViews>
    <sheetView zoomScale="80" zoomScaleNormal="80" workbookViewId="0">
      <selection sqref="A1:C1"/>
    </sheetView>
  </sheetViews>
  <sheetFormatPr defaultRowHeight="14.4" x14ac:dyDescent="0.3"/>
  <cols>
    <col min="1" max="1" width="39.109375" style="45" bestFit="1" customWidth="1"/>
    <col min="2" max="2" width="1.6640625" style="45" customWidth="1"/>
    <col min="3" max="3" width="57.44140625" style="45" bestFit="1" customWidth="1"/>
    <col min="8" max="8" width="17" bestFit="1" customWidth="1"/>
    <col min="9" max="9" width="15.5546875" customWidth="1"/>
  </cols>
  <sheetData>
    <row r="1" spans="1:9" ht="15.6" x14ac:dyDescent="0.3">
      <c r="A1" s="142" t="s">
        <v>63</v>
      </c>
      <c r="B1" s="142"/>
      <c r="C1" s="142"/>
    </row>
    <row r="2" spans="1:9" ht="15.6" x14ac:dyDescent="0.3">
      <c r="A2" s="142" t="s">
        <v>64</v>
      </c>
      <c r="B2" s="142"/>
      <c r="C2" s="142"/>
    </row>
    <row r="3" spans="1:9" ht="15.6" x14ac:dyDescent="0.3">
      <c r="A3" s="142" t="s">
        <v>117</v>
      </c>
      <c r="B3" s="142"/>
      <c r="C3" s="142"/>
    </row>
    <row r="8" spans="1:9" x14ac:dyDescent="0.3">
      <c r="A8" s="46" t="s">
        <v>65</v>
      </c>
      <c r="G8">
        <v>1</v>
      </c>
      <c r="H8" t="s">
        <v>15</v>
      </c>
      <c r="I8" t="str">
        <f t="shared" ref="I8:I18" si="0">("PAGE "&amp;G8&amp;" OF "&amp;$G$20)</f>
        <v>PAGE 1 OF 11</v>
      </c>
    </row>
    <row r="9" spans="1:9" x14ac:dyDescent="0.3">
      <c r="A9" s="45" t="s">
        <v>66</v>
      </c>
      <c r="C9" s="47" t="s">
        <v>63</v>
      </c>
      <c r="G9">
        <f>1+G8</f>
        <v>2</v>
      </c>
      <c r="H9" t="s">
        <v>94</v>
      </c>
      <c r="I9" t="str">
        <f t="shared" si="0"/>
        <v>PAGE 2 OF 11</v>
      </c>
    </row>
    <row r="10" spans="1:9" x14ac:dyDescent="0.3">
      <c r="A10" s="45" t="s">
        <v>67</v>
      </c>
      <c r="C10" s="80" t="s">
        <v>130</v>
      </c>
      <c r="G10">
        <f t="shared" ref="G10:G16" si="1">1+G9</f>
        <v>3</v>
      </c>
      <c r="H10" t="s">
        <v>95</v>
      </c>
      <c r="I10" t="str">
        <f t="shared" si="0"/>
        <v>PAGE 3 OF 11</v>
      </c>
    </row>
    <row r="11" spans="1:9" x14ac:dyDescent="0.3">
      <c r="A11" s="45" t="s">
        <v>68</v>
      </c>
      <c r="C11" s="47" t="s">
        <v>116</v>
      </c>
      <c r="G11">
        <f t="shared" si="1"/>
        <v>4</v>
      </c>
      <c r="H11" t="s">
        <v>96</v>
      </c>
      <c r="I11" t="str">
        <f t="shared" si="0"/>
        <v>PAGE 4 OF 11</v>
      </c>
    </row>
    <row r="12" spans="1:9" x14ac:dyDescent="0.3">
      <c r="C12" s="47" t="s">
        <v>118</v>
      </c>
      <c r="G12">
        <f t="shared" si="1"/>
        <v>5</v>
      </c>
      <c r="H12" t="s">
        <v>97</v>
      </c>
      <c r="I12" t="str">
        <f t="shared" si="0"/>
        <v>PAGE 5 OF 11</v>
      </c>
    </row>
    <row r="13" spans="1:9" x14ac:dyDescent="0.3">
      <c r="C13" s="47" t="s">
        <v>119</v>
      </c>
      <c r="G13">
        <f t="shared" si="1"/>
        <v>6</v>
      </c>
      <c r="H13" t="s">
        <v>14</v>
      </c>
      <c r="I13" t="str">
        <f t="shared" si="0"/>
        <v>PAGE 6 OF 11</v>
      </c>
    </row>
    <row r="14" spans="1:9" x14ac:dyDescent="0.3">
      <c r="C14" s="47" t="s">
        <v>120</v>
      </c>
      <c r="G14">
        <f t="shared" si="1"/>
        <v>7</v>
      </c>
      <c r="H14" t="s">
        <v>98</v>
      </c>
      <c r="I14" t="str">
        <f t="shared" si="0"/>
        <v>PAGE 7 OF 11</v>
      </c>
    </row>
    <row r="15" spans="1:9" x14ac:dyDescent="0.3">
      <c r="C15" s="47" t="s">
        <v>121</v>
      </c>
      <c r="G15">
        <f t="shared" si="1"/>
        <v>8</v>
      </c>
      <c r="H15" s="10" t="s">
        <v>99</v>
      </c>
      <c r="I15" t="str">
        <f t="shared" si="0"/>
        <v>PAGE 8 OF 11</v>
      </c>
    </row>
    <row r="16" spans="1:9" x14ac:dyDescent="0.3">
      <c r="C16" s="47" t="s">
        <v>122</v>
      </c>
      <c r="G16">
        <f t="shared" si="1"/>
        <v>9</v>
      </c>
      <c r="H16" t="s">
        <v>16</v>
      </c>
      <c r="I16" t="str">
        <f t="shared" si="0"/>
        <v>PAGE 9 OF 11</v>
      </c>
    </row>
    <row r="17" spans="1:9" x14ac:dyDescent="0.3">
      <c r="A17" s="45" t="s">
        <v>69</v>
      </c>
      <c r="C17" s="47" t="s">
        <v>123</v>
      </c>
      <c r="G17">
        <v>10</v>
      </c>
      <c r="H17" t="s">
        <v>141</v>
      </c>
      <c r="I17" t="str">
        <f t="shared" si="0"/>
        <v>PAGE 10 OF 11</v>
      </c>
    </row>
    <row r="18" spans="1:9" x14ac:dyDescent="0.3">
      <c r="C18" s="47" t="s">
        <v>124</v>
      </c>
      <c r="G18">
        <v>11</v>
      </c>
      <c r="H18" t="s">
        <v>151</v>
      </c>
      <c r="I18" t="str">
        <f t="shared" si="0"/>
        <v>PAGE 11 OF 11</v>
      </c>
    </row>
    <row r="19" spans="1:9" x14ac:dyDescent="0.3">
      <c r="C19" s="47" t="s">
        <v>125</v>
      </c>
    </row>
    <row r="20" spans="1:9" x14ac:dyDescent="0.3">
      <c r="C20" s="47" t="s">
        <v>126</v>
      </c>
      <c r="G20">
        <f>COUNT(G8:G19)</f>
        <v>11</v>
      </c>
    </row>
    <row r="21" spans="1:9" x14ac:dyDescent="0.3">
      <c r="C21" s="47" t="s">
        <v>127</v>
      </c>
    </row>
    <row r="22" spans="1:9" x14ac:dyDescent="0.3">
      <c r="C22" s="47" t="s">
        <v>128</v>
      </c>
    </row>
    <row r="24" spans="1:9" x14ac:dyDescent="0.3">
      <c r="A24" s="50" t="s">
        <v>80</v>
      </c>
      <c r="C24" s="63" t="s">
        <v>104</v>
      </c>
    </row>
    <row r="25" spans="1:9" x14ac:dyDescent="0.3">
      <c r="A25" s="50" t="s">
        <v>81</v>
      </c>
      <c r="C25" s="63" t="s">
        <v>110</v>
      </c>
    </row>
    <row r="26" spans="1:9" x14ac:dyDescent="0.3">
      <c r="A26" s="76" t="s">
        <v>102</v>
      </c>
      <c r="B26" s="67"/>
      <c r="C26" s="78" t="s">
        <v>111</v>
      </c>
    </row>
    <row r="27" spans="1:9" x14ac:dyDescent="0.3">
      <c r="C27" s="51"/>
    </row>
    <row r="28" spans="1:9" x14ac:dyDescent="0.3">
      <c r="A28" s="46" t="s">
        <v>70</v>
      </c>
      <c r="C28" s="48"/>
    </row>
    <row r="29" spans="1:9" x14ac:dyDescent="0.3">
      <c r="A29" s="45" t="s">
        <v>71</v>
      </c>
      <c r="C29" s="45" t="s">
        <v>72</v>
      </c>
    </row>
    <row r="30" spans="1:9" x14ac:dyDescent="0.3">
      <c r="A30" s="45" t="s">
        <v>73</v>
      </c>
      <c r="C30" s="45" t="s">
        <v>74</v>
      </c>
    </row>
    <row r="31" spans="1:9" x14ac:dyDescent="0.3">
      <c r="A31" s="45" t="s">
        <v>75</v>
      </c>
      <c r="C31" s="45" t="s">
        <v>76</v>
      </c>
    </row>
    <row r="33" spans="1:3" x14ac:dyDescent="0.3">
      <c r="C33" s="51" t="s">
        <v>82</v>
      </c>
    </row>
    <row r="34" spans="1:3" x14ac:dyDescent="0.3">
      <c r="C34" s="51" t="s">
        <v>83</v>
      </c>
    </row>
    <row r="35" spans="1:3" x14ac:dyDescent="0.3">
      <c r="A35" s="46" t="s">
        <v>77</v>
      </c>
    </row>
    <row r="36" spans="1:3" x14ac:dyDescent="0.3">
      <c r="A36" s="45" t="s">
        <v>129</v>
      </c>
      <c r="C36" s="45" t="str">
        <f>CONCATENATE($A$35,"   ", A36)</f>
        <v>WITNESS:   C. M. GARRETT</v>
      </c>
    </row>
    <row r="37" spans="1:3" x14ac:dyDescent="0.3">
      <c r="C37" s="45" t="str">
        <f t="shared" ref="C37:C48" si="2">CONCATENATE($A$35,"   ", A37)</f>
        <v xml:space="preserve">WITNESS:   </v>
      </c>
    </row>
    <row r="38" spans="1:3" x14ac:dyDescent="0.3">
      <c r="C38" s="45" t="str">
        <f t="shared" si="2"/>
        <v xml:space="preserve">WITNESS:   </v>
      </c>
    </row>
    <row r="39" spans="1:3" x14ac:dyDescent="0.3">
      <c r="C39" s="45" t="str">
        <f t="shared" si="2"/>
        <v xml:space="preserve">WITNESS:   </v>
      </c>
    </row>
    <row r="40" spans="1:3" x14ac:dyDescent="0.3">
      <c r="C40" s="45" t="str">
        <f t="shared" si="2"/>
        <v xml:space="preserve">WITNESS:   </v>
      </c>
    </row>
    <row r="41" spans="1:3" x14ac:dyDescent="0.3">
      <c r="C41" s="45" t="str">
        <f t="shared" si="2"/>
        <v xml:space="preserve">WITNESS:   </v>
      </c>
    </row>
    <row r="42" spans="1:3" x14ac:dyDescent="0.3">
      <c r="C42" s="45" t="str">
        <f t="shared" si="2"/>
        <v xml:space="preserve">WITNESS:   </v>
      </c>
    </row>
    <row r="43" spans="1:3" x14ac:dyDescent="0.3">
      <c r="C43" s="45" t="str">
        <f t="shared" si="2"/>
        <v xml:space="preserve">WITNESS:   </v>
      </c>
    </row>
    <row r="44" spans="1:3" x14ac:dyDescent="0.3">
      <c r="C44" s="45" t="str">
        <f t="shared" si="2"/>
        <v xml:space="preserve">WITNESS:   </v>
      </c>
    </row>
    <row r="45" spans="1:3" x14ac:dyDescent="0.3">
      <c r="C45" s="45" t="str">
        <f t="shared" si="2"/>
        <v xml:space="preserve">WITNESS:   </v>
      </c>
    </row>
    <row r="46" spans="1:3" x14ac:dyDescent="0.3">
      <c r="C46" s="45" t="str">
        <f t="shared" si="2"/>
        <v xml:space="preserve">WITNESS:   </v>
      </c>
    </row>
    <row r="47" spans="1:3" x14ac:dyDescent="0.3">
      <c r="C47" s="45" t="str">
        <f t="shared" si="2"/>
        <v xml:space="preserve">WITNESS:   </v>
      </c>
    </row>
    <row r="48" spans="1:3" x14ac:dyDescent="0.3">
      <c r="C48" s="45" t="str">
        <f t="shared" si="2"/>
        <v xml:space="preserve">WITNESS:   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"/>
  <sheetViews>
    <sheetView workbookViewId="0">
      <selection activeCell="C47" sqref="C47"/>
    </sheetView>
  </sheetViews>
  <sheetFormatPr defaultColWidth="9.109375" defaultRowHeight="13.2" x14ac:dyDescent="0.25"/>
  <cols>
    <col min="1" max="16384" width="9.109375" style="67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39"/>
  <sheetViews>
    <sheetView view="pageBreakPreview" topLeftCell="G19" zoomScaleNormal="100" zoomScaleSheetLayoutView="100" workbookViewId="0">
      <selection activeCell="T26" sqref="T26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7" width="12" style="33" customWidth="1"/>
    <col min="8" max="8" width="9.5546875" style="33" bestFit="1" customWidth="1"/>
    <col min="9" max="11" width="12" style="33" customWidth="1"/>
    <col min="12" max="12" width="13.109375" style="33" customWidth="1"/>
    <col min="13" max="13" width="12" style="33" customWidth="1"/>
    <col min="14" max="17" width="4.33203125" style="33" customWidth="1"/>
    <col min="18" max="18" width="9.33203125" style="33" bestFit="1" customWidth="1"/>
    <col min="19" max="19" width="10.88671875" style="33" bestFit="1" customWidth="1"/>
    <col min="20" max="20" width="9.33203125" style="33" bestFit="1" customWidth="1"/>
    <col min="21" max="21" width="9.109375" style="33"/>
    <col min="22" max="22" width="9.33203125" style="33" bestFit="1" customWidth="1"/>
    <col min="23" max="23" width="10.88671875" style="33" bestFit="1" customWidth="1"/>
    <col min="24" max="24" width="9.33203125" style="33" bestFit="1" customWidth="1"/>
    <col min="25" max="25" width="9.109375" style="33"/>
    <col min="26" max="26" width="12.33203125" style="33" customWidth="1"/>
    <col min="27" max="16384" width="9.109375" style="33"/>
  </cols>
  <sheetData>
    <row r="1" spans="1:29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9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9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29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S4" s="143"/>
      <c r="T4" s="144"/>
      <c r="U4" s="144"/>
      <c r="V4" s="144"/>
      <c r="W4" s="144"/>
      <c r="X4" s="144"/>
      <c r="Y4" s="144"/>
      <c r="Z4" s="144"/>
      <c r="AA4" s="144"/>
    </row>
    <row r="5" spans="1:29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9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29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29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Constants'!I8</f>
        <v>PAGE 1 OF 11</v>
      </c>
    </row>
    <row r="9" spans="1:29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29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R10" s="25" t="s">
        <v>34</v>
      </c>
      <c r="S10" s="21">
        <f>+INPUT!H40</f>
        <v>4.3510974373322346</v>
      </c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x14ac:dyDescent="0.25">
      <c r="A11" s="113" t="s">
        <v>55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+INPUT!I40</f>
        <v>0.10315589668098173</v>
      </c>
      <c r="T11" s="16"/>
      <c r="U11" s="16"/>
      <c r="V11" s="22"/>
      <c r="W11" s="16"/>
      <c r="X11" s="16"/>
      <c r="Y11" s="34"/>
      <c r="Z11" s="34"/>
      <c r="AA11" s="34"/>
      <c r="AB11" s="34"/>
      <c r="AC11" s="34"/>
    </row>
    <row r="12" spans="1:29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+INPUT!L40</f>
        <v>0.83388691894949851</v>
      </c>
      <c r="T12" s="16"/>
      <c r="U12" s="16"/>
      <c r="V12" s="16"/>
      <c r="W12" s="16"/>
      <c r="X12" s="16"/>
      <c r="Y12" s="34"/>
      <c r="Z12" s="34"/>
      <c r="AA12" s="34"/>
      <c r="AB12" s="34"/>
      <c r="AC12" s="34"/>
    </row>
    <row r="13" spans="1:29" x14ac:dyDescent="0.25">
      <c r="A13" s="16"/>
      <c r="B13" s="16"/>
      <c r="C13" s="17" t="s">
        <v>84</v>
      </c>
      <c r="D13" s="18" t="s">
        <v>92</v>
      </c>
      <c r="E13" s="18" t="s">
        <v>85</v>
      </c>
      <c r="F13" s="18" t="s">
        <v>86</v>
      </c>
      <c r="G13" s="17" t="s">
        <v>87</v>
      </c>
      <c r="H13" s="17" t="s">
        <v>88</v>
      </c>
      <c r="I13" s="17" t="s">
        <v>93</v>
      </c>
      <c r="J13" s="18" t="s">
        <v>89</v>
      </c>
      <c r="K13" s="17" t="s">
        <v>90</v>
      </c>
      <c r="L13" s="17" t="s">
        <v>91</v>
      </c>
      <c r="M13" s="17" t="s">
        <v>136</v>
      </c>
      <c r="R13" s="16"/>
      <c r="S13" s="16"/>
      <c r="T13" s="16"/>
      <c r="U13" s="16"/>
      <c r="V13" s="16"/>
      <c r="W13" s="16"/>
      <c r="X13" s="16"/>
      <c r="Y13" s="34"/>
      <c r="Z13" s="34"/>
      <c r="AA13" s="34"/>
      <c r="AB13" s="34"/>
      <c r="AC13" s="34"/>
    </row>
    <row r="14" spans="1:29" x14ac:dyDescent="0.25">
      <c r="A14" s="34"/>
      <c r="B14" s="34"/>
      <c r="C14" s="79" t="s">
        <v>112</v>
      </c>
      <c r="D14" s="79" t="s">
        <v>112</v>
      </c>
      <c r="E14" s="79" t="s">
        <v>35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34"/>
      <c r="V14" s="23" t="s">
        <v>25</v>
      </c>
      <c r="W14" s="23"/>
      <c r="X14" s="23"/>
      <c r="Y14" s="34"/>
      <c r="Z14" s="34"/>
      <c r="AA14" s="34"/>
      <c r="AB14" s="34"/>
      <c r="AC14" s="34"/>
    </row>
    <row r="15" spans="1:29" x14ac:dyDescent="0.25">
      <c r="A15" s="34"/>
      <c r="B15" s="34"/>
      <c r="C15" s="17" t="s">
        <v>21</v>
      </c>
      <c r="D15" s="17" t="s">
        <v>27</v>
      </c>
      <c r="E15" s="17" t="s">
        <v>135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8"/>
      <c r="U15" s="34"/>
      <c r="V15" s="18" t="s">
        <v>37</v>
      </c>
      <c r="W15" s="17"/>
      <c r="X15" s="18"/>
      <c r="Y15" s="34"/>
      <c r="Z15" s="34"/>
      <c r="AA15" s="34"/>
      <c r="AB15" s="34"/>
      <c r="AC15" s="34"/>
    </row>
    <row r="16" spans="1:29" x14ac:dyDescent="0.25">
      <c r="A16" s="17"/>
      <c r="B16" s="17"/>
      <c r="C16" s="17" t="s">
        <v>29</v>
      </c>
      <c r="D16" s="17" t="s">
        <v>29</v>
      </c>
      <c r="E16" s="17" t="s">
        <v>133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113</v>
      </c>
      <c r="T16" s="18" t="s">
        <v>26</v>
      </c>
      <c r="U16" s="34"/>
      <c r="V16" s="18" t="s">
        <v>38</v>
      </c>
      <c r="W16" s="17" t="s">
        <v>113</v>
      </c>
      <c r="X16" s="18" t="s">
        <v>26</v>
      </c>
      <c r="Y16" s="34" t="s">
        <v>137</v>
      </c>
      <c r="Z16" s="21"/>
      <c r="AA16" s="17" t="s">
        <v>39</v>
      </c>
      <c r="AB16" s="17"/>
      <c r="AC16" s="17" t="s">
        <v>40</v>
      </c>
    </row>
    <row r="17" spans="1:29" x14ac:dyDescent="0.25">
      <c r="A17" s="109" t="s">
        <v>36</v>
      </c>
      <c r="B17" s="109"/>
      <c r="C17" s="109"/>
      <c r="D17" s="109"/>
      <c r="E17" s="109"/>
      <c r="F17" s="109" t="s">
        <v>32</v>
      </c>
      <c r="G17" s="110" t="s">
        <v>33</v>
      </c>
      <c r="H17" s="111"/>
      <c r="I17" s="111"/>
      <c r="J17" s="112"/>
      <c r="K17" s="109" t="s">
        <v>32</v>
      </c>
      <c r="L17" s="109" t="s">
        <v>32</v>
      </c>
      <c r="M17" s="110" t="s">
        <v>33</v>
      </c>
      <c r="R17" s="39" t="s">
        <v>41</v>
      </c>
      <c r="S17" s="40" t="s">
        <v>41</v>
      </c>
      <c r="T17" s="39" t="s">
        <v>29</v>
      </c>
      <c r="U17" s="34"/>
      <c r="V17" s="39" t="s">
        <v>41</v>
      </c>
      <c r="W17" s="40" t="s">
        <v>41</v>
      </c>
      <c r="X17" s="39" t="s">
        <v>29</v>
      </c>
      <c r="Y17" s="34" t="s">
        <v>134</v>
      </c>
      <c r="Z17" s="21"/>
      <c r="AA17" s="17" t="s">
        <v>2</v>
      </c>
      <c r="AB17" s="17"/>
      <c r="AC17" s="17" t="s">
        <v>2</v>
      </c>
    </row>
    <row r="18" spans="1:29" x14ac:dyDescent="0.25">
      <c r="A18" s="100"/>
      <c r="B18" s="100"/>
      <c r="C18" s="100"/>
      <c r="D18" s="100"/>
      <c r="E18" s="100"/>
      <c r="F18" s="100" t="str">
        <f>("[ "&amp;D13&amp;" + "&amp;E13&amp;" - "&amp;C13&amp;"]")</f>
        <v>[ B + C - A]</v>
      </c>
      <c r="G18" s="100" t="str">
        <f>("[ "&amp;F13&amp;" / "&amp;C13&amp;" ]")</f>
        <v>[ D / A ]</v>
      </c>
      <c r="H18" s="108"/>
      <c r="I18" s="108"/>
      <c r="J18" s="108"/>
      <c r="K18" s="100" t="str">
        <f>("["&amp;C13&amp;"-"&amp;E13&amp;"+"&amp;$H$13&amp;"+"&amp;$I$13&amp;"+"&amp;$J$13&amp;"]")</f>
        <v>[A-C+F+G+H]</v>
      </c>
      <c r="L18" s="100" t="str">
        <f>("["&amp;D13&amp;"+"&amp;$H$13&amp;"+"&amp;$I$13&amp;"+"&amp;$J$13&amp;"]")</f>
        <v>[B+F+G+H]</v>
      </c>
      <c r="M18" s="100" t="str">
        <f>("[("&amp;L13&amp;" - "&amp;K13&amp;") / "&amp;K13&amp;"]")</f>
        <v>[(J - I) / I]</v>
      </c>
      <c r="R18" s="18"/>
      <c r="S18" s="24">
        <f>+INPUT!$C$9</f>
        <v>2.8693</v>
      </c>
      <c r="T18" s="18"/>
      <c r="U18" s="34"/>
      <c r="V18" s="18"/>
      <c r="W18" s="24">
        <f>+INPUT!$C$27</f>
        <v>2.5385</v>
      </c>
      <c r="X18" s="18"/>
      <c r="Y18" s="34"/>
      <c r="Z18" s="21"/>
      <c r="AA18" s="17"/>
      <c r="AB18" s="17"/>
      <c r="AC18" s="17"/>
    </row>
    <row r="19" spans="1:29" x14ac:dyDescent="0.25">
      <c r="A19" s="17"/>
      <c r="B19" s="17"/>
      <c r="C19" s="17"/>
      <c r="D19" s="17"/>
      <c r="E19" s="17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8"/>
      <c r="U19" s="34"/>
      <c r="V19" s="18"/>
      <c r="W19" s="18" t="s">
        <v>114</v>
      </c>
      <c r="X19" s="18"/>
      <c r="Y19" s="34"/>
      <c r="Z19" s="21"/>
      <c r="AA19" s="17"/>
      <c r="AB19" s="17"/>
      <c r="AC19" s="17"/>
    </row>
    <row r="20" spans="1:29" x14ac:dyDescent="0.25">
      <c r="A20" s="56">
        <v>3</v>
      </c>
      <c r="C20" s="35">
        <f>+T20</f>
        <v>22.11</v>
      </c>
      <c r="D20" s="35">
        <f>+X20</f>
        <v>31.62</v>
      </c>
      <c r="E20" s="102">
        <f>+$Y$20</f>
        <v>-5.6955651198604471</v>
      </c>
      <c r="F20" s="35">
        <f>+D20+E20-C20</f>
        <v>3.8144348801395545</v>
      </c>
      <c r="G20" s="36">
        <f>ROUND(+F20/C20,4)</f>
        <v>0.17249999999999999</v>
      </c>
      <c r="H20" s="35">
        <f>ROUND($A20*$S$10,2)</f>
        <v>13.05</v>
      </c>
      <c r="I20" s="35">
        <f>ROUND($A20*$S$11,2)</f>
        <v>0.31</v>
      </c>
      <c r="J20" s="35">
        <f>+$S$12</f>
        <v>0.83388691894949851</v>
      </c>
      <c r="K20" s="35">
        <f>+C20-E20+H20+I20+J20</f>
        <v>41.999452038809942</v>
      </c>
      <c r="L20" s="35">
        <f>+D20+H20+I20+J20</f>
        <v>45.8138869189495</v>
      </c>
      <c r="M20" s="36">
        <f>ROUND((L20-K20)/K20,4)</f>
        <v>9.0800000000000006E-2</v>
      </c>
      <c r="R20" s="37">
        <f>+INPUT!$C$5</f>
        <v>13.5</v>
      </c>
      <c r="S20" s="37">
        <f>ROUND($S$18*$A20,2)</f>
        <v>8.61</v>
      </c>
      <c r="T20" s="37">
        <f>SUM(R20:S20)</f>
        <v>22.11</v>
      </c>
      <c r="V20" s="37">
        <f>+INPUT!$C$23</f>
        <v>24</v>
      </c>
      <c r="W20" s="37">
        <f>ROUND($W$18*$A20,2)</f>
        <v>7.62</v>
      </c>
      <c r="X20" s="37">
        <f>SUM(V20:W20)</f>
        <v>31.62</v>
      </c>
      <c r="Y20" s="85">
        <f>+(2965728-23222068)/3556511</f>
        <v>-5.6955651198604471</v>
      </c>
      <c r="Z20" s="85"/>
    </row>
    <row r="21" spans="1:29" x14ac:dyDescent="0.25">
      <c r="A21" s="56"/>
      <c r="C21" s="34"/>
      <c r="D21" s="34"/>
      <c r="E21" s="103"/>
      <c r="K21" s="34"/>
      <c r="L21" s="34"/>
      <c r="M21" s="34"/>
    </row>
    <row r="22" spans="1:29" x14ac:dyDescent="0.25">
      <c r="A22" s="121">
        <f>INPUT!C17</f>
        <v>5.4870000000000001</v>
      </c>
      <c r="B22" s="122"/>
      <c r="C22" s="123">
        <f>+T22</f>
        <v>29.240000000000002</v>
      </c>
      <c r="D22" s="123">
        <f>+X22</f>
        <v>37.93</v>
      </c>
      <c r="E22" s="124">
        <f>+$Y$20</f>
        <v>-5.6955651198604471</v>
      </c>
      <c r="F22" s="123">
        <f>+D22+E22-C22</f>
        <v>2.9944348801395506</v>
      </c>
      <c r="G22" s="125">
        <f>ROUND(+F22/C22,4)</f>
        <v>0.1024</v>
      </c>
      <c r="H22" s="123">
        <f>$A22*$S$10</f>
        <v>23.874471638641971</v>
      </c>
      <c r="I22" s="123">
        <f>$A22*$S$11</f>
        <v>0.56601640508854678</v>
      </c>
      <c r="J22" s="123">
        <f>+$S$12</f>
        <v>0.83388691894949851</v>
      </c>
      <c r="K22" s="123">
        <f>+C22-E22+H22+I22+J22</f>
        <v>60.209940082540463</v>
      </c>
      <c r="L22" s="123">
        <f>+D22+H22+I22+J22</f>
        <v>63.204374962680014</v>
      </c>
      <c r="M22" s="125">
        <f>ROUND((L22-K22)/K22,4)</f>
        <v>4.9700000000000001E-2</v>
      </c>
      <c r="R22" s="37">
        <f>+$R$20</f>
        <v>13.5</v>
      </c>
      <c r="S22" s="37">
        <f>ROUND($S$18*$A22,2)</f>
        <v>15.74</v>
      </c>
      <c r="T22" s="37">
        <f>SUM(R22:S22)</f>
        <v>29.240000000000002</v>
      </c>
      <c r="V22" s="37">
        <f>+$V$20</f>
        <v>24</v>
      </c>
      <c r="W22" s="37">
        <f>ROUND($W$18*$A22,2)</f>
        <v>13.93</v>
      </c>
      <c r="X22" s="37">
        <f>SUM(V22:W22)</f>
        <v>37.93</v>
      </c>
      <c r="Y22" s="85"/>
      <c r="Z22" s="85"/>
    </row>
    <row r="23" spans="1:29" x14ac:dyDescent="0.25">
      <c r="A23" s="56"/>
      <c r="C23" s="35"/>
      <c r="D23" s="35"/>
      <c r="E23" s="103"/>
      <c r="K23" s="35"/>
      <c r="L23" s="35"/>
      <c r="M23" s="36"/>
    </row>
    <row r="24" spans="1:29" x14ac:dyDescent="0.25">
      <c r="A24" s="56">
        <v>10</v>
      </c>
      <c r="C24" s="35">
        <f>+T24</f>
        <v>42.19</v>
      </c>
      <c r="D24" s="35">
        <f>+X24</f>
        <v>49.39</v>
      </c>
      <c r="E24" s="103">
        <f>+$Y$20</f>
        <v>-5.6955651198604471</v>
      </c>
      <c r="F24" s="35">
        <f>+D24-C24</f>
        <v>7.2000000000000028</v>
      </c>
      <c r="G24" s="36">
        <f>ROUND(+F24/C24,4)</f>
        <v>0.17069999999999999</v>
      </c>
      <c r="H24" s="35">
        <f>ROUND($A24*$S$10,2)</f>
        <v>43.51</v>
      </c>
      <c r="I24" s="35">
        <f>ROUND($A24*$S$11,2)</f>
        <v>1.03</v>
      </c>
      <c r="J24" s="35">
        <f>+$S$12</f>
        <v>0.83388691894949851</v>
      </c>
      <c r="K24" s="38">
        <f>+C24-E24+H24+I24+J24</f>
        <v>93.25945203880994</v>
      </c>
      <c r="L24" s="35">
        <f>+D24+H24+I24+J24</f>
        <v>94.76388691894951</v>
      </c>
      <c r="M24" s="36">
        <f>ROUND((L24-K24)/K24,4)</f>
        <v>1.61E-2</v>
      </c>
      <c r="R24" s="37">
        <f>+$R$20</f>
        <v>13.5</v>
      </c>
      <c r="S24" s="37">
        <f>ROUND($S$18*$A24,2)</f>
        <v>28.69</v>
      </c>
      <c r="T24" s="37">
        <f>SUM(R24:S24)</f>
        <v>42.19</v>
      </c>
      <c r="V24" s="37">
        <f>+$V$20</f>
        <v>24</v>
      </c>
      <c r="W24" s="37">
        <f>ROUND($W$18*$A24,2)</f>
        <v>25.39</v>
      </c>
      <c r="X24" s="37">
        <f>SUM(V24:W24)</f>
        <v>49.39</v>
      </c>
      <c r="Z24" s="85"/>
    </row>
    <row r="25" spans="1:29" x14ac:dyDescent="0.25">
      <c r="A25" s="56"/>
      <c r="C25" s="34"/>
      <c r="D25" s="34"/>
      <c r="E25" s="103"/>
      <c r="K25" s="101"/>
      <c r="L25" s="34"/>
      <c r="M25" s="34"/>
    </row>
    <row r="26" spans="1:29" x14ac:dyDescent="0.25">
      <c r="A26" s="56">
        <v>20</v>
      </c>
      <c r="C26" s="38">
        <f>+T26</f>
        <v>70.89</v>
      </c>
      <c r="D26" s="38">
        <f>+X26</f>
        <v>74.77000000000001</v>
      </c>
      <c r="E26" s="103">
        <f>+$Y$20</f>
        <v>-5.6955651198604471</v>
      </c>
      <c r="F26" s="35">
        <f>+D26-C26</f>
        <v>3.8800000000000097</v>
      </c>
      <c r="G26" s="36">
        <f>ROUND(+F26/C26,4)</f>
        <v>5.4699999999999999E-2</v>
      </c>
      <c r="H26" s="35">
        <f>ROUND($A26*$S$10,2)</f>
        <v>87.02</v>
      </c>
      <c r="I26" s="35">
        <f>ROUND($A26*$S$11,2)</f>
        <v>2.06</v>
      </c>
      <c r="J26" s="35">
        <f>+$S$12</f>
        <v>0.83388691894949851</v>
      </c>
      <c r="K26" s="38">
        <f>+C26-E26+H26+I26+J26</f>
        <v>166.49945203880995</v>
      </c>
      <c r="L26" s="35">
        <f>+D26+H26+I26+J26</f>
        <v>164.68388691894953</v>
      </c>
      <c r="M26" s="36">
        <f>ROUND((L26-K26)/K26,4)</f>
        <v>-1.09E-2</v>
      </c>
      <c r="R26" s="37">
        <f>+$R$20</f>
        <v>13.5</v>
      </c>
      <c r="S26" s="37">
        <f>ROUND($S$18*$A26,2)</f>
        <v>57.39</v>
      </c>
      <c r="T26" s="37">
        <f>SUM(R26:S26)</f>
        <v>70.89</v>
      </c>
      <c r="V26" s="37">
        <f>+$V$20</f>
        <v>24</v>
      </c>
      <c r="W26" s="37">
        <f>ROUND($W$18*$A26,2)</f>
        <v>50.77</v>
      </c>
      <c r="X26" s="37">
        <f>SUM(V26:W26)</f>
        <v>74.77000000000001</v>
      </c>
      <c r="Z26" s="85"/>
    </row>
    <row r="27" spans="1:29" x14ac:dyDescent="0.25">
      <c r="A27" s="56"/>
      <c r="C27" s="34"/>
      <c r="D27" s="34"/>
      <c r="E27" s="103"/>
      <c r="K27" s="101"/>
      <c r="L27" s="34"/>
      <c r="M27" s="34"/>
    </row>
    <row r="28" spans="1:29" x14ac:dyDescent="0.25">
      <c r="A28" s="56">
        <v>40</v>
      </c>
      <c r="C28" s="35">
        <f>+T28</f>
        <v>128.26999999999998</v>
      </c>
      <c r="D28" s="35">
        <f>+X28</f>
        <v>125.54</v>
      </c>
      <c r="E28" s="103">
        <f>+$Y$20</f>
        <v>-5.6955651198604471</v>
      </c>
      <c r="F28" s="35">
        <f>+D28-C28</f>
        <v>-2.7299999999999756</v>
      </c>
      <c r="G28" s="36">
        <f>ROUND(+F28/C28,4)</f>
        <v>-2.1299999999999999E-2</v>
      </c>
      <c r="H28" s="35">
        <f>ROUND($A28*$S$10,2)</f>
        <v>174.04</v>
      </c>
      <c r="I28" s="35">
        <f>ROUND($A28*$S$11,2)</f>
        <v>4.13</v>
      </c>
      <c r="J28" s="35">
        <f>+$S$12</f>
        <v>0.83388691894949851</v>
      </c>
      <c r="K28" s="38">
        <f>+C28-E28+H28+I28+J28</f>
        <v>312.96945203880989</v>
      </c>
      <c r="L28" s="35">
        <f>+D28+H28+I28+J28</f>
        <v>304.54388691894945</v>
      </c>
      <c r="M28" s="36">
        <f>ROUND((L28-K28)/K28,4)</f>
        <v>-2.69E-2</v>
      </c>
      <c r="R28" s="37">
        <f>+$R$20</f>
        <v>13.5</v>
      </c>
      <c r="S28" s="37">
        <f>ROUND($S$18*$A28,2)</f>
        <v>114.77</v>
      </c>
      <c r="T28" s="37">
        <f>SUM(R28:S28)</f>
        <v>128.26999999999998</v>
      </c>
      <c r="V28" s="37">
        <f>+$V$20</f>
        <v>24</v>
      </c>
      <c r="W28" s="37">
        <f>ROUND($W$18*$A28,2)</f>
        <v>101.54</v>
      </c>
      <c r="X28" s="37">
        <f>SUM(V28:W28)</f>
        <v>125.54</v>
      </c>
      <c r="Z28" s="85"/>
    </row>
    <row r="29" spans="1:29" x14ac:dyDescent="0.25">
      <c r="A29" s="56"/>
      <c r="C29" s="34"/>
      <c r="D29" s="34"/>
      <c r="E29" s="103"/>
      <c r="K29" s="101"/>
      <c r="L29" s="34"/>
      <c r="M29" s="34"/>
    </row>
    <row r="30" spans="1:29" x14ac:dyDescent="0.25">
      <c r="A30" s="56">
        <v>60</v>
      </c>
      <c r="C30" s="35">
        <f>+T30</f>
        <v>185.66</v>
      </c>
      <c r="D30" s="35">
        <f>+X30</f>
        <v>176.31</v>
      </c>
      <c r="E30" s="103">
        <f>+$Y$20</f>
        <v>-5.6955651198604471</v>
      </c>
      <c r="F30" s="35">
        <f>+D30-C30</f>
        <v>-9.3499999999999943</v>
      </c>
      <c r="G30" s="36">
        <f>ROUND(+F30/C30,4)</f>
        <v>-5.04E-2</v>
      </c>
      <c r="H30" s="35">
        <f>ROUND($A30*$S$10,2)</f>
        <v>261.07</v>
      </c>
      <c r="I30" s="35">
        <f>ROUND($A30*$S$11,2)</f>
        <v>6.19</v>
      </c>
      <c r="J30" s="35">
        <f>+$S$12</f>
        <v>0.83388691894949851</v>
      </c>
      <c r="K30" s="38">
        <f>+C30-E30+H30+I30+J30</f>
        <v>459.44945203880991</v>
      </c>
      <c r="L30" s="35">
        <f>+D30+H30+I30+J30</f>
        <v>444.40388691894947</v>
      </c>
      <c r="M30" s="36">
        <f>ROUND((L30-K30)/K30,4)</f>
        <v>-3.27E-2</v>
      </c>
      <c r="R30" s="37">
        <f>+$R$20</f>
        <v>13.5</v>
      </c>
      <c r="S30" s="37">
        <f>ROUND($S$18*$A30,2)</f>
        <v>172.16</v>
      </c>
      <c r="T30" s="37">
        <f>SUM(R30:S30)</f>
        <v>185.66</v>
      </c>
      <c r="V30" s="37">
        <f>+$V$20</f>
        <v>24</v>
      </c>
      <c r="W30" s="37">
        <f>ROUND($W$18*$A30,2)</f>
        <v>152.31</v>
      </c>
      <c r="X30" s="37">
        <f>SUM(V30:W30)</f>
        <v>176.31</v>
      </c>
      <c r="Z30" s="85"/>
    </row>
    <row r="31" spans="1:29" x14ac:dyDescent="0.25">
      <c r="A31" s="56"/>
      <c r="C31" s="34"/>
      <c r="D31" s="34"/>
      <c r="E31" s="103"/>
      <c r="K31" s="101"/>
      <c r="L31" s="34"/>
      <c r="M31" s="34"/>
    </row>
    <row r="32" spans="1:29" x14ac:dyDescent="0.25">
      <c r="A32" s="56">
        <v>80</v>
      </c>
      <c r="C32" s="35">
        <f>+T32</f>
        <v>243.04</v>
      </c>
      <c r="D32" s="35">
        <f>+X32</f>
        <v>227.08</v>
      </c>
      <c r="E32" s="103">
        <f>+$Y$20</f>
        <v>-5.6955651198604471</v>
      </c>
      <c r="F32" s="35">
        <f>+D32-C32</f>
        <v>-15.95999999999998</v>
      </c>
      <c r="G32" s="36">
        <f>ROUND(+F32/C32,4)</f>
        <v>-6.5699999999999995E-2</v>
      </c>
      <c r="H32" s="35">
        <f>ROUND($A32*$S$10,2)</f>
        <v>348.09</v>
      </c>
      <c r="I32" s="35">
        <f>ROUND($A32*$S$11,2)</f>
        <v>8.25</v>
      </c>
      <c r="J32" s="35">
        <f>+$S$12</f>
        <v>0.83388691894949851</v>
      </c>
      <c r="K32" s="38">
        <f>+C32-E32+H32+I32+J32</f>
        <v>605.90945203880983</v>
      </c>
      <c r="L32" s="35">
        <f>+D32+H32+I32+J32</f>
        <v>584.25388691894943</v>
      </c>
      <c r="M32" s="36">
        <f>ROUND((L32-K32)/K32,4)</f>
        <v>-3.5700000000000003E-2</v>
      </c>
      <c r="R32" s="37">
        <f>+$R$20</f>
        <v>13.5</v>
      </c>
      <c r="S32" s="37">
        <f>ROUND($S$18*$A32,2)</f>
        <v>229.54</v>
      </c>
      <c r="T32" s="37">
        <f>SUM(R32:S32)</f>
        <v>243.04</v>
      </c>
      <c r="V32" s="37">
        <f>+$V$20</f>
        <v>24</v>
      </c>
      <c r="W32" s="37">
        <f>ROUND($W$18*$A32,2)</f>
        <v>203.08</v>
      </c>
      <c r="X32" s="37">
        <f>SUM(V32:W32)</f>
        <v>227.08</v>
      </c>
      <c r="Z32" s="85"/>
    </row>
    <row r="33" spans="1:26" x14ac:dyDescent="0.25">
      <c r="A33" s="56"/>
      <c r="C33" s="34"/>
      <c r="D33" s="34"/>
      <c r="E33" s="103"/>
      <c r="K33" s="101"/>
      <c r="L33" s="34"/>
      <c r="M33" s="34"/>
    </row>
    <row r="34" spans="1:26" x14ac:dyDescent="0.25">
      <c r="A34" s="56">
        <v>100</v>
      </c>
      <c r="C34" s="35">
        <f>+T34</f>
        <v>300.43</v>
      </c>
      <c r="D34" s="35">
        <f>+X34</f>
        <v>277.85000000000002</v>
      </c>
      <c r="E34" s="103">
        <f>+$Y$20</f>
        <v>-5.6955651198604471</v>
      </c>
      <c r="F34" s="35">
        <f>+D34-C34</f>
        <v>-22.579999999999984</v>
      </c>
      <c r="G34" s="36">
        <f>ROUND(+F34/C34,4)</f>
        <v>-7.5200000000000003E-2</v>
      </c>
      <c r="H34" s="35">
        <f>ROUND($A34*$S$10,2)</f>
        <v>435.11</v>
      </c>
      <c r="I34" s="35">
        <f>ROUND($A34*$S$11,2)</f>
        <v>10.32</v>
      </c>
      <c r="J34" s="35">
        <f>+$S$12</f>
        <v>0.83388691894949851</v>
      </c>
      <c r="K34" s="38">
        <f>+C34-E34+H34+I34+J34</f>
        <v>752.38945203880996</v>
      </c>
      <c r="L34" s="35">
        <f>+D34+H34+I34+J34</f>
        <v>724.11388691894956</v>
      </c>
      <c r="M34" s="36">
        <f>ROUND((L34-K34)/K34,4)</f>
        <v>-3.7600000000000001E-2</v>
      </c>
      <c r="R34" s="37">
        <f>+$R$20</f>
        <v>13.5</v>
      </c>
      <c r="S34" s="37">
        <f>ROUND($S$18*$A34,2)</f>
        <v>286.93</v>
      </c>
      <c r="T34" s="37">
        <f>SUM(R34:S34)</f>
        <v>300.43</v>
      </c>
      <c r="V34" s="37">
        <f>+$V$20</f>
        <v>24</v>
      </c>
      <c r="W34" s="37">
        <f>ROUND($W$18*$A34,2)</f>
        <v>253.85</v>
      </c>
      <c r="X34" s="37">
        <f>SUM(V34:W34)</f>
        <v>277.85000000000002</v>
      </c>
      <c r="Z34" s="85"/>
    </row>
    <row r="35" spans="1:26" x14ac:dyDescent="0.25">
      <c r="K35" s="34"/>
      <c r="L35" s="34"/>
      <c r="M35" s="34"/>
    </row>
    <row r="36" spans="1:26" x14ac:dyDescent="0.25">
      <c r="A36" s="33" t="s">
        <v>102</v>
      </c>
      <c r="C36" s="55"/>
      <c r="D36" s="56"/>
      <c r="E36" s="56"/>
      <c r="K36" s="35"/>
      <c r="L36" s="35"/>
      <c r="M36" s="36"/>
    </row>
    <row r="37" spans="1:26" x14ac:dyDescent="0.25">
      <c r="A37" s="59" t="str">
        <f>("Average usage = "&amp;INPUT!C17&amp;" Mcf per month")</f>
        <v>Average usage = 5.487 Mcf per month</v>
      </c>
    </row>
    <row r="38" spans="1:26" x14ac:dyDescent="0.25">
      <c r="A38" s="61" t="s">
        <v>103</v>
      </c>
    </row>
    <row r="39" spans="1:26" x14ac:dyDescent="0.25">
      <c r="A39" s="77" t="str">
        <f>+'Rate Case Constants'!$C$26</f>
        <v>Calculations may vary from other schedules due to rounding</v>
      </c>
    </row>
  </sheetData>
  <mergeCells count="6">
    <mergeCell ref="S4:AA4"/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39"/>
  <sheetViews>
    <sheetView view="pageBreakPreview" topLeftCell="A22" zoomScaleNormal="80" zoomScaleSheetLayoutView="100" workbookViewId="0">
      <selection activeCell="A23" sqref="A23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7" width="12" style="33" customWidth="1"/>
    <col min="8" max="8" width="11.33203125" style="33" bestFit="1" customWidth="1"/>
    <col min="9" max="11" width="12" style="33" customWidth="1"/>
    <col min="12" max="12" width="12.88671875" style="33" customWidth="1"/>
    <col min="13" max="13" width="12" style="33" customWidth="1"/>
    <col min="14" max="17" width="3.6640625" style="33" customWidth="1"/>
    <col min="18" max="18" width="9.109375" style="33"/>
    <col min="19" max="19" width="12" style="33" bestFit="1" customWidth="1"/>
    <col min="20" max="20" width="10.6640625" style="33" bestFit="1" customWidth="1"/>
    <col min="21" max="21" width="9.109375" style="33"/>
    <col min="22" max="22" width="11.44140625" style="33" bestFit="1" customWidth="1"/>
    <col min="23" max="24" width="10.6640625" style="33" bestFit="1" customWidth="1"/>
    <col min="25" max="16384" width="9.109375" style="33"/>
  </cols>
  <sheetData>
    <row r="1" spans="1:25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5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5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25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25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5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25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25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Constants'!I9</f>
        <v>PAGE 2 OF 11</v>
      </c>
    </row>
    <row r="9" spans="1:25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25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R10" s="25" t="s">
        <v>34</v>
      </c>
      <c r="S10" s="21">
        <f>+INPUT!H41</f>
        <v>4.3117414561595258</v>
      </c>
      <c r="T10" s="34"/>
      <c r="U10" s="34"/>
      <c r="V10" s="34"/>
      <c r="W10" s="34"/>
      <c r="X10" s="34"/>
      <c r="Y10" s="34"/>
    </row>
    <row r="11" spans="1:25" x14ac:dyDescent="0.25">
      <c r="A11" s="113" t="s">
        <v>54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+INPUT!I41</f>
        <v>0.11624659866414873</v>
      </c>
      <c r="T11" s="16"/>
      <c r="U11" s="16"/>
      <c r="V11" s="22"/>
      <c r="W11" s="16"/>
      <c r="X11" s="16"/>
      <c r="Y11" s="34"/>
    </row>
    <row r="12" spans="1:25" x14ac:dyDescent="0.25">
      <c r="A12" s="16" t="s">
        <v>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+INPUT!$L$41</f>
        <v>4.2494755268116036</v>
      </c>
      <c r="T12" s="16"/>
      <c r="U12" s="16"/>
      <c r="V12" s="16"/>
      <c r="W12" s="16"/>
      <c r="X12" s="16"/>
      <c r="Y12" s="34"/>
    </row>
    <row r="13" spans="1:25" x14ac:dyDescent="0.25">
      <c r="A13" s="16"/>
      <c r="B13" s="16"/>
      <c r="C13" s="17" t="s">
        <v>84</v>
      </c>
      <c r="D13" s="18" t="s">
        <v>92</v>
      </c>
      <c r="E13" s="18" t="s">
        <v>85</v>
      </c>
      <c r="F13" s="18" t="s">
        <v>86</v>
      </c>
      <c r="G13" s="17" t="s">
        <v>87</v>
      </c>
      <c r="H13" s="17" t="s">
        <v>88</v>
      </c>
      <c r="I13" s="17" t="s">
        <v>93</v>
      </c>
      <c r="J13" s="18" t="s">
        <v>89</v>
      </c>
      <c r="K13" s="17" t="s">
        <v>90</v>
      </c>
      <c r="L13" s="17" t="s">
        <v>91</v>
      </c>
      <c r="M13" s="17" t="s">
        <v>136</v>
      </c>
      <c r="R13" s="16"/>
      <c r="S13" s="16"/>
      <c r="T13" s="16"/>
      <c r="U13" s="16"/>
      <c r="V13" s="16"/>
      <c r="W13" s="16"/>
      <c r="X13" s="16"/>
      <c r="Y13" s="34"/>
    </row>
    <row r="14" spans="1:25" x14ac:dyDescent="0.25">
      <c r="A14" s="34"/>
      <c r="B14" s="34"/>
      <c r="C14" s="79" t="s">
        <v>112</v>
      </c>
      <c r="D14" s="79" t="s">
        <v>112</v>
      </c>
      <c r="E14" s="79" t="s">
        <v>35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34"/>
      <c r="V14" s="23" t="s">
        <v>25</v>
      </c>
      <c r="W14" s="23"/>
      <c r="X14" s="23"/>
      <c r="Y14" s="34"/>
    </row>
    <row r="15" spans="1:25" x14ac:dyDescent="0.25">
      <c r="A15" s="34"/>
      <c r="B15" s="34"/>
      <c r="C15" s="17" t="s">
        <v>21</v>
      </c>
      <c r="D15" s="17" t="s">
        <v>27</v>
      </c>
      <c r="E15" s="17" t="s">
        <v>135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8"/>
      <c r="U15" s="34"/>
      <c r="V15" s="18" t="s">
        <v>37</v>
      </c>
      <c r="W15" s="17"/>
      <c r="X15" s="18"/>
      <c r="Y15" s="34"/>
    </row>
    <row r="16" spans="1:25" x14ac:dyDescent="0.25">
      <c r="A16" s="17"/>
      <c r="B16" s="17"/>
      <c r="C16" s="17" t="s">
        <v>29</v>
      </c>
      <c r="D16" s="17" t="s">
        <v>29</v>
      </c>
      <c r="E16" s="17" t="s">
        <v>133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115</v>
      </c>
      <c r="T16" s="18" t="s">
        <v>26</v>
      </c>
      <c r="U16" s="34"/>
      <c r="V16" s="18" t="s">
        <v>38</v>
      </c>
      <c r="W16" s="17" t="s">
        <v>115</v>
      </c>
      <c r="X16" s="18" t="s">
        <v>26</v>
      </c>
      <c r="Y16" s="34" t="s">
        <v>137</v>
      </c>
    </row>
    <row r="17" spans="1:25" x14ac:dyDescent="0.25">
      <c r="A17" s="109" t="s">
        <v>36</v>
      </c>
      <c r="B17" s="109"/>
      <c r="C17" s="109"/>
      <c r="D17" s="109"/>
      <c r="E17" s="109"/>
      <c r="F17" s="109" t="s">
        <v>32</v>
      </c>
      <c r="G17" s="110" t="s">
        <v>33</v>
      </c>
      <c r="H17" s="111"/>
      <c r="I17" s="111"/>
      <c r="J17" s="112"/>
      <c r="K17" s="109" t="s">
        <v>32</v>
      </c>
      <c r="L17" s="109" t="s">
        <v>32</v>
      </c>
      <c r="M17" s="110" t="s">
        <v>33</v>
      </c>
      <c r="R17" s="39" t="s">
        <v>41</v>
      </c>
      <c r="S17" s="40" t="s">
        <v>41</v>
      </c>
      <c r="T17" s="39" t="s">
        <v>29</v>
      </c>
      <c r="U17" s="34"/>
      <c r="V17" s="39" t="s">
        <v>41</v>
      </c>
      <c r="W17" s="40" t="s">
        <v>41</v>
      </c>
      <c r="X17" s="39" t="s">
        <v>29</v>
      </c>
      <c r="Y17" s="34" t="s">
        <v>134</v>
      </c>
    </row>
    <row r="18" spans="1:25" x14ac:dyDescent="0.25">
      <c r="A18" s="100"/>
      <c r="B18" s="100"/>
      <c r="C18" s="100"/>
      <c r="D18" s="100"/>
      <c r="E18" s="100"/>
      <c r="F18" s="100" t="str">
        <f>("[ "&amp;D13&amp;" + "&amp;E13&amp;" - "&amp;C13&amp;"]")</f>
        <v>[ B + C - A]</v>
      </c>
      <c r="G18" s="100" t="str">
        <f>("[ "&amp;F13&amp;" / "&amp;C13&amp;" ]")</f>
        <v>[ D / A ]</v>
      </c>
      <c r="H18" s="108"/>
      <c r="I18" s="108"/>
      <c r="J18" s="108"/>
      <c r="K18" s="100" t="str">
        <f>("["&amp;C13&amp;"-"&amp;E13&amp;"+"&amp;$H$13&amp;"+"&amp;$I$13&amp;"+"&amp;$J$13&amp;"]")</f>
        <v>[A-C+F+G+H]</v>
      </c>
      <c r="L18" s="100" t="str">
        <f>("["&amp;D13&amp;"+"&amp;$H$13&amp;"+"&amp;$I$13&amp;"+"&amp;$J$13&amp;"]")</f>
        <v>[B+F+G+H]</v>
      </c>
      <c r="M18" s="100" t="str">
        <f>("[("&amp;L13&amp;" - "&amp;K13&amp;") / "&amp;K13&amp;"]")</f>
        <v>[(J - I) / I]</v>
      </c>
      <c r="R18" s="18"/>
      <c r="S18" s="24">
        <f>+INPUT!$D$9</f>
        <v>2.1504000000000003</v>
      </c>
      <c r="T18" s="18"/>
      <c r="U18" s="34"/>
      <c r="V18" s="18"/>
      <c r="W18" s="24">
        <f>+INPUT!$D$27</f>
        <v>2.6267</v>
      </c>
      <c r="X18" s="18"/>
      <c r="Y18" s="34"/>
    </row>
    <row r="19" spans="1:25" x14ac:dyDescent="0.25">
      <c r="A19" s="17"/>
      <c r="B19" s="17"/>
      <c r="C19" s="17"/>
      <c r="D19" s="17"/>
      <c r="E19" s="17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8"/>
      <c r="U19" s="34"/>
      <c r="V19" s="18"/>
      <c r="W19" s="18" t="s">
        <v>114</v>
      </c>
      <c r="X19" s="18"/>
      <c r="Y19" s="34"/>
    </row>
    <row r="20" spans="1:25" x14ac:dyDescent="0.25">
      <c r="A20" s="56">
        <v>25</v>
      </c>
      <c r="C20" s="35">
        <f>+T20</f>
        <v>93.759999999999991</v>
      </c>
      <c r="D20" s="35">
        <f>+X20</f>
        <v>125.67</v>
      </c>
      <c r="E20" s="103">
        <f>+$Y$20</f>
        <v>-29.024533319080135</v>
      </c>
      <c r="F20" s="35">
        <f>+D20+E20-C20</f>
        <v>2.8854666809198761</v>
      </c>
      <c r="G20" s="36">
        <f>ROUND(+F20/C20,4)</f>
        <v>3.0800000000000001E-2</v>
      </c>
      <c r="H20" s="35">
        <f>ROUND($A20*$S$10,2)</f>
        <v>107.79</v>
      </c>
      <c r="I20" s="35">
        <f>ROUND($A20*$S$11,2)</f>
        <v>2.91</v>
      </c>
      <c r="J20" s="35">
        <f>+$S$12</f>
        <v>4.2494755268116036</v>
      </c>
      <c r="K20" s="35">
        <f>+C20-E20+H20+I20+J20</f>
        <v>237.73400884589174</v>
      </c>
      <c r="L20" s="35">
        <f>+D20+H20+I20+J20</f>
        <v>240.61947552681161</v>
      </c>
      <c r="M20" s="36">
        <f>ROUND((L20-K20)/K20,4)</f>
        <v>1.21E-2</v>
      </c>
      <c r="R20" s="37">
        <f>+INPUT!$D$6</f>
        <v>40</v>
      </c>
      <c r="S20" s="37">
        <f>ROUND($S$18*$A20,2)</f>
        <v>53.76</v>
      </c>
      <c r="T20" s="37">
        <f>SUM(R20:S20)</f>
        <v>93.759999999999991</v>
      </c>
      <c r="V20" s="37">
        <f>+INPUT!$D$24</f>
        <v>60</v>
      </c>
      <c r="W20" s="37">
        <f>ROUND($W$18*$A20,2)</f>
        <v>65.67</v>
      </c>
      <c r="X20" s="37">
        <f>SUM(V20:W20)</f>
        <v>125.67</v>
      </c>
      <c r="Y20" s="85">
        <f>+(1272072-9960508)/299348</f>
        <v>-29.024533319080135</v>
      </c>
    </row>
    <row r="21" spans="1:25" x14ac:dyDescent="0.25">
      <c r="A21" s="56"/>
      <c r="C21" s="34"/>
      <c r="D21" s="34"/>
      <c r="E21" s="103"/>
      <c r="K21" s="34"/>
      <c r="L21" s="34"/>
      <c r="M21" s="34"/>
    </row>
    <row r="22" spans="1:25" x14ac:dyDescent="0.25">
      <c r="A22" s="56">
        <v>50</v>
      </c>
      <c r="C22" s="35">
        <f>+T22</f>
        <v>147.51999999999998</v>
      </c>
      <c r="D22" s="35">
        <f>+X22</f>
        <v>191.34</v>
      </c>
      <c r="E22" s="103">
        <f>+$Y$20</f>
        <v>-29.024533319080135</v>
      </c>
      <c r="F22" s="38">
        <f>+D22+E22-C22</f>
        <v>14.795466680919901</v>
      </c>
      <c r="G22" s="86">
        <f>ROUND(+F22/C22,4)</f>
        <v>0.1003</v>
      </c>
      <c r="H22" s="38">
        <f>$A22*$S$10</f>
        <v>215.58707280797628</v>
      </c>
      <c r="I22" s="38">
        <f>$A22*$S$11</f>
        <v>5.8123299332074367</v>
      </c>
      <c r="J22" s="38">
        <f>+$S$12</f>
        <v>4.2494755268116036</v>
      </c>
      <c r="K22" s="38">
        <f>+C22-E22+H22+I22+J22</f>
        <v>402.19341158707545</v>
      </c>
      <c r="L22" s="38">
        <f>+D22+H22+I22+J22</f>
        <v>416.98887826799529</v>
      </c>
      <c r="M22" s="86">
        <f>ROUND((L22-K22)/K22,4)</f>
        <v>3.6799999999999999E-2</v>
      </c>
      <c r="R22" s="37">
        <f>+$R$20</f>
        <v>40</v>
      </c>
      <c r="S22" s="37">
        <f>ROUND($S$18*$A22,2)</f>
        <v>107.52</v>
      </c>
      <c r="T22" s="37">
        <f>SUM(R22:S22)</f>
        <v>147.51999999999998</v>
      </c>
      <c r="V22" s="37">
        <f>+$V$20</f>
        <v>60</v>
      </c>
      <c r="W22" s="37">
        <f>ROUND($W$18*$A22,2)</f>
        <v>131.34</v>
      </c>
      <c r="X22" s="37">
        <f>SUM(V22:W22)</f>
        <v>191.34</v>
      </c>
      <c r="Y22" s="85"/>
    </row>
    <row r="23" spans="1:25" x14ac:dyDescent="0.25">
      <c r="A23" s="56"/>
      <c r="C23" s="35"/>
      <c r="D23" s="35"/>
      <c r="E23" s="103"/>
      <c r="K23" s="35"/>
      <c r="L23" s="35"/>
      <c r="M23" s="36"/>
    </row>
    <row r="24" spans="1:25" x14ac:dyDescent="0.25">
      <c r="A24" s="56">
        <v>100</v>
      </c>
      <c r="C24" s="35">
        <f>+T24</f>
        <v>255.04</v>
      </c>
      <c r="D24" s="35">
        <f>+X24</f>
        <v>322.67</v>
      </c>
      <c r="E24" s="103">
        <f>+$Y$20</f>
        <v>-29.024533319080135</v>
      </c>
      <c r="F24" s="35">
        <f>+D24-C24</f>
        <v>67.630000000000024</v>
      </c>
      <c r="G24" s="36">
        <f>ROUND(+F24/C24,4)</f>
        <v>0.26519999999999999</v>
      </c>
      <c r="H24" s="35">
        <f>ROUND($A24*$S$10,2)</f>
        <v>431.17</v>
      </c>
      <c r="I24" s="35">
        <f>ROUND($A24*$S$11,2)</f>
        <v>11.62</v>
      </c>
      <c r="J24" s="35">
        <f>+$S$12</f>
        <v>4.2494755268116036</v>
      </c>
      <c r="K24" s="38">
        <f>+C24-E24+H24+I24+J24</f>
        <v>731.10400884589171</v>
      </c>
      <c r="L24" s="35">
        <f>+D24+H24+I24+J24</f>
        <v>769.70947552681162</v>
      </c>
      <c r="M24" s="36">
        <f>ROUND((L24-K24)/K24,4)</f>
        <v>5.28E-2</v>
      </c>
      <c r="R24" s="37">
        <f>+$R$20</f>
        <v>40</v>
      </c>
      <c r="S24" s="37">
        <f>ROUND($S$18*$A24,2)</f>
        <v>215.04</v>
      </c>
      <c r="T24" s="37">
        <f>SUM(R24:S24)</f>
        <v>255.04</v>
      </c>
      <c r="V24" s="37">
        <f>+$V$20</f>
        <v>60</v>
      </c>
      <c r="W24" s="37">
        <f>ROUND($W$18*$A24,2)</f>
        <v>262.67</v>
      </c>
      <c r="X24" s="37">
        <f>SUM(V24:W24)</f>
        <v>322.67</v>
      </c>
    </row>
    <row r="25" spans="1:25" x14ac:dyDescent="0.25">
      <c r="A25" s="56"/>
      <c r="C25" s="34"/>
      <c r="D25" s="34"/>
      <c r="E25" s="103"/>
      <c r="K25" s="101"/>
      <c r="L25" s="34"/>
      <c r="M25" s="34"/>
    </row>
    <row r="26" spans="1:25" x14ac:dyDescent="0.25">
      <c r="A26" s="56">
        <v>500</v>
      </c>
      <c r="C26" s="38">
        <f>+T26</f>
        <v>1115.2</v>
      </c>
      <c r="D26" s="38">
        <f>+X26</f>
        <v>1373.35</v>
      </c>
      <c r="E26" s="103">
        <f>+$Y$20</f>
        <v>-29.024533319080135</v>
      </c>
      <c r="F26" s="35">
        <f>+D26-C26</f>
        <v>258.14999999999986</v>
      </c>
      <c r="G26" s="36">
        <f>ROUND(+F26/C26,4)</f>
        <v>0.23150000000000001</v>
      </c>
      <c r="H26" s="35">
        <f>ROUND($A26*$S$10,2)</f>
        <v>2155.87</v>
      </c>
      <c r="I26" s="35">
        <f>ROUND($A26*$S$11,2)</f>
        <v>58.12</v>
      </c>
      <c r="J26" s="35">
        <f>+$S$12</f>
        <v>4.2494755268116036</v>
      </c>
      <c r="K26" s="38">
        <f>+C26-E26+H26+I26+J26</f>
        <v>3362.4640088458918</v>
      </c>
      <c r="L26" s="35">
        <f>+D26+H26+I26+J26</f>
        <v>3591.5894755268114</v>
      </c>
      <c r="M26" s="36">
        <f>ROUND((L26-K26)/K26,4)</f>
        <v>6.8099999999999994E-2</v>
      </c>
      <c r="R26" s="37">
        <f>+$R$20</f>
        <v>40</v>
      </c>
      <c r="S26" s="37">
        <f>ROUND($S$18*$A26,2)</f>
        <v>1075.2</v>
      </c>
      <c r="T26" s="37">
        <f>SUM(R26:S26)</f>
        <v>1115.2</v>
      </c>
      <c r="V26" s="37">
        <f>+$V$20</f>
        <v>60</v>
      </c>
      <c r="W26" s="37">
        <f>ROUND($W$18*$A26,2)</f>
        <v>1313.35</v>
      </c>
      <c r="X26" s="37">
        <f>SUM(V26:W26)</f>
        <v>1373.35</v>
      </c>
    </row>
    <row r="27" spans="1:25" x14ac:dyDescent="0.25">
      <c r="A27" s="56"/>
      <c r="C27" s="34"/>
      <c r="D27" s="34"/>
      <c r="E27" s="103"/>
      <c r="K27" s="101"/>
      <c r="L27" s="34"/>
      <c r="M27" s="34"/>
    </row>
    <row r="28" spans="1:25" x14ac:dyDescent="0.25">
      <c r="A28" s="56">
        <v>1000</v>
      </c>
      <c r="C28" s="35">
        <f>+T28</f>
        <v>2190.4</v>
      </c>
      <c r="D28" s="35">
        <f>+X28</f>
        <v>2686.7</v>
      </c>
      <c r="E28" s="103">
        <f>+$Y$20</f>
        <v>-29.024533319080135</v>
      </c>
      <c r="F28" s="35">
        <f>+D28-C28</f>
        <v>496.29999999999973</v>
      </c>
      <c r="G28" s="36">
        <f>ROUND(+F28/C28,4)</f>
        <v>0.2266</v>
      </c>
      <c r="H28" s="35">
        <f>ROUND($A28*$S$10,2)</f>
        <v>4311.74</v>
      </c>
      <c r="I28" s="35">
        <f>ROUND($A28*$S$11,2)</f>
        <v>116.25</v>
      </c>
      <c r="J28" s="35">
        <f>+$S$12</f>
        <v>4.2494755268116036</v>
      </c>
      <c r="K28" s="38">
        <f>+C28-E28+H28+I28+J28</f>
        <v>6651.6640088458917</v>
      </c>
      <c r="L28" s="35">
        <f>+D28+H28+I28+J28</f>
        <v>7118.9394755268113</v>
      </c>
      <c r="M28" s="36">
        <f>ROUND((L28-K28)/K28,4)</f>
        <v>7.0199999999999999E-2</v>
      </c>
      <c r="R28" s="37">
        <f>+$R$20</f>
        <v>40</v>
      </c>
      <c r="S28" s="37">
        <f>ROUND($S$18*$A28,2)</f>
        <v>2150.4</v>
      </c>
      <c r="T28" s="37">
        <f>SUM(R28:S28)</f>
        <v>2190.4</v>
      </c>
      <c r="V28" s="37">
        <f>+$V$20</f>
        <v>60</v>
      </c>
      <c r="W28" s="37">
        <f>ROUND($W$18*$A28,2)</f>
        <v>2626.7</v>
      </c>
      <c r="X28" s="37">
        <f>SUM(V28:W28)</f>
        <v>2686.7</v>
      </c>
    </row>
    <row r="29" spans="1:25" x14ac:dyDescent="0.25">
      <c r="A29" s="56"/>
      <c r="C29" s="34"/>
      <c r="D29" s="34"/>
      <c r="E29" s="103"/>
      <c r="K29" s="101"/>
      <c r="L29" s="34"/>
      <c r="M29" s="34"/>
    </row>
    <row r="30" spans="1:25" x14ac:dyDescent="0.25">
      <c r="A30" s="56">
        <v>2500</v>
      </c>
      <c r="C30" s="35">
        <f>+T30</f>
        <v>5416</v>
      </c>
      <c r="D30" s="35">
        <f>+X30</f>
        <v>6626.75</v>
      </c>
      <c r="E30" s="103">
        <f>+$Y$20</f>
        <v>-29.024533319080135</v>
      </c>
      <c r="F30" s="35">
        <f>+D30-C30</f>
        <v>1210.75</v>
      </c>
      <c r="G30" s="36">
        <f>ROUND(+F30/C30,4)</f>
        <v>0.22359999999999999</v>
      </c>
      <c r="H30" s="35">
        <f>ROUND($A30*$S$10,2)</f>
        <v>10779.35</v>
      </c>
      <c r="I30" s="35">
        <f>ROUND($A30*$S$11,2)</f>
        <v>290.62</v>
      </c>
      <c r="J30" s="35">
        <f>+$S$12</f>
        <v>4.2494755268116036</v>
      </c>
      <c r="K30" s="38">
        <f>+C30-E30+H30+I30+J30</f>
        <v>16519.244008845893</v>
      </c>
      <c r="L30" s="35">
        <f>+D30+H30+I30+J30</f>
        <v>17700.96947552681</v>
      </c>
      <c r="M30" s="36">
        <f>ROUND((L30-K30)/K30,4)</f>
        <v>7.1499999999999994E-2</v>
      </c>
      <c r="R30" s="37">
        <f>+$R$20</f>
        <v>40</v>
      </c>
      <c r="S30" s="37">
        <f>ROUND($S$18*$A30,2)</f>
        <v>5376</v>
      </c>
      <c r="T30" s="37">
        <f>SUM(R30:S30)</f>
        <v>5416</v>
      </c>
      <c r="V30" s="37">
        <f>+$V$20</f>
        <v>60</v>
      </c>
      <c r="W30" s="37">
        <f>ROUND($W$18*$A30,2)</f>
        <v>6566.75</v>
      </c>
      <c r="X30" s="37">
        <f>SUM(V30:W30)</f>
        <v>6626.75</v>
      </c>
    </row>
    <row r="31" spans="1:25" x14ac:dyDescent="0.25">
      <c r="A31" s="56"/>
      <c r="C31" s="34"/>
      <c r="D31" s="34"/>
      <c r="E31" s="103"/>
      <c r="K31" s="101"/>
      <c r="L31" s="34"/>
      <c r="M31" s="34"/>
    </row>
    <row r="32" spans="1:25" x14ac:dyDescent="0.25">
      <c r="A32" s="56">
        <v>5000</v>
      </c>
      <c r="C32" s="35">
        <f>+T32</f>
        <v>10792</v>
      </c>
      <c r="D32" s="35">
        <f>+X32</f>
        <v>13193.5</v>
      </c>
      <c r="E32" s="103">
        <f>+$Y$20</f>
        <v>-29.024533319080135</v>
      </c>
      <c r="F32" s="35">
        <f>+D32-C32</f>
        <v>2401.5</v>
      </c>
      <c r="G32" s="36">
        <f>ROUND(+F32/C32,4)</f>
        <v>0.2225</v>
      </c>
      <c r="H32" s="35">
        <f>ROUND($A32*$S$10,2)</f>
        <v>21558.71</v>
      </c>
      <c r="I32" s="35">
        <f>ROUND($A32*$S$11,2)</f>
        <v>581.23</v>
      </c>
      <c r="J32" s="35">
        <f>+$S$12</f>
        <v>4.2494755268116036</v>
      </c>
      <c r="K32" s="38">
        <f>+C32-E32+H32+I32+J32</f>
        <v>32965.214008845891</v>
      </c>
      <c r="L32" s="35">
        <f>+D32+H32+I32+J32</f>
        <v>35337.689475526815</v>
      </c>
      <c r="M32" s="36">
        <f>ROUND((L32-K32)/K32,4)</f>
        <v>7.1999999999999995E-2</v>
      </c>
      <c r="R32" s="37">
        <f>+$R$20</f>
        <v>40</v>
      </c>
      <c r="S32" s="37">
        <f>ROUND($S$18*$A32,2)</f>
        <v>10752</v>
      </c>
      <c r="T32" s="37">
        <f>SUM(R32:S32)</f>
        <v>10792</v>
      </c>
      <c r="V32" s="37">
        <f>+$V$20</f>
        <v>60</v>
      </c>
      <c r="W32" s="37">
        <f>ROUND($W$18*$A32,2)</f>
        <v>13133.5</v>
      </c>
      <c r="X32" s="37">
        <f>SUM(V32:W32)</f>
        <v>13193.5</v>
      </c>
    </row>
    <row r="33" spans="1:24" x14ac:dyDescent="0.25">
      <c r="A33" s="56"/>
      <c r="C33" s="34"/>
      <c r="D33" s="34"/>
      <c r="E33" s="103"/>
      <c r="K33" s="101"/>
      <c r="L33" s="34"/>
      <c r="M33" s="34"/>
    </row>
    <row r="34" spans="1:24" x14ac:dyDescent="0.25">
      <c r="A34" s="56">
        <v>7500</v>
      </c>
      <c r="C34" s="35">
        <f>+T34</f>
        <v>16168</v>
      </c>
      <c r="D34" s="35">
        <f>+X34</f>
        <v>19760.25</v>
      </c>
      <c r="E34" s="103">
        <f>+$Y$20</f>
        <v>-29.024533319080135</v>
      </c>
      <c r="F34" s="35">
        <f>+D34-C34</f>
        <v>3592.25</v>
      </c>
      <c r="G34" s="36">
        <f>ROUND(+F34/C34,4)</f>
        <v>0.22220000000000001</v>
      </c>
      <c r="H34" s="35">
        <f>ROUND($A34*$S$10,2)</f>
        <v>32338.06</v>
      </c>
      <c r="I34" s="35">
        <f>ROUND($A34*$S$11,2)</f>
        <v>871.85</v>
      </c>
      <c r="J34" s="35">
        <f>+$S$12</f>
        <v>4.2494755268116036</v>
      </c>
      <c r="K34" s="38">
        <f>+C34-E34+H34+I34+J34</f>
        <v>49411.184008845892</v>
      </c>
      <c r="L34" s="35">
        <f>+D34+H34+I34+J34</f>
        <v>52974.409475526809</v>
      </c>
      <c r="M34" s="36">
        <f>ROUND((L34-K34)/K34,4)</f>
        <v>7.2099999999999997E-2</v>
      </c>
      <c r="R34" s="37">
        <f>+$R$20</f>
        <v>40</v>
      </c>
      <c r="S34" s="37">
        <f>ROUND($S$18*$A34,2)</f>
        <v>16128</v>
      </c>
      <c r="T34" s="37">
        <f>SUM(R34:S34)</f>
        <v>16168</v>
      </c>
      <c r="V34" s="37">
        <f>+$V$20</f>
        <v>60</v>
      </c>
      <c r="W34" s="37">
        <f>ROUND($W$18*$A34,2)</f>
        <v>19700.25</v>
      </c>
      <c r="X34" s="37">
        <f>SUM(V34:W34)</f>
        <v>19760.25</v>
      </c>
    </row>
    <row r="35" spans="1:24" x14ac:dyDescent="0.25">
      <c r="K35" s="34"/>
      <c r="L35" s="34"/>
      <c r="M35" s="34"/>
    </row>
    <row r="36" spans="1:24" x14ac:dyDescent="0.25">
      <c r="A36" s="33" t="s">
        <v>102</v>
      </c>
      <c r="C36" s="55"/>
      <c r="D36" s="56"/>
      <c r="E36" s="56"/>
      <c r="K36" s="35"/>
      <c r="L36" s="35"/>
      <c r="M36" s="36"/>
    </row>
    <row r="37" spans="1:24" x14ac:dyDescent="0.25">
      <c r="A37" s="59" t="str">
        <f>("Average usage = "&amp;INPUT!D17&amp;" Mcf per month")</f>
        <v>Average usage = 33.9 Mcf per month</v>
      </c>
    </row>
    <row r="38" spans="1:24" x14ac:dyDescent="0.25">
      <c r="A38" s="61" t="s">
        <v>103</v>
      </c>
    </row>
    <row r="39" spans="1:24" x14ac:dyDescent="0.25">
      <c r="A39" s="77" t="str">
        <f>+'Rate Case Constants'!$C$26</f>
        <v>Calculations may vary from other schedules due to rounding</v>
      </c>
    </row>
  </sheetData>
  <mergeCells count="5"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53"/>
  <sheetViews>
    <sheetView view="pageBreakPreview" zoomScale="90" zoomScaleNormal="100" zoomScaleSheetLayoutView="90" workbookViewId="0">
      <selection activeCell="A22" sqref="A22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7" width="12" style="33" customWidth="1"/>
    <col min="8" max="8" width="12.109375" style="33" bestFit="1" customWidth="1"/>
    <col min="9" max="13" width="12" style="33" customWidth="1"/>
    <col min="14" max="17" width="3.6640625" style="33" customWidth="1"/>
    <col min="18" max="18" width="9.109375" style="33"/>
    <col min="19" max="19" width="13.33203125" style="33" bestFit="1" customWidth="1"/>
    <col min="20" max="20" width="11.5546875" style="33" bestFit="1" customWidth="1"/>
    <col min="21" max="21" width="9.109375" style="33"/>
    <col min="22" max="22" width="11.44140625" style="33" bestFit="1" customWidth="1"/>
    <col min="23" max="24" width="11.5546875" style="33" bestFit="1" customWidth="1"/>
    <col min="25" max="16384" width="9.109375" style="33"/>
  </cols>
  <sheetData>
    <row r="1" spans="1:25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5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5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25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25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5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25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25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Constants'!I10</f>
        <v>PAGE 3 OF 11</v>
      </c>
    </row>
    <row r="9" spans="1:25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25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R10" s="25" t="s">
        <v>34</v>
      </c>
      <c r="S10" s="21">
        <f>+INPUT!H41</f>
        <v>4.3117414561595258</v>
      </c>
      <c r="T10" s="34"/>
      <c r="U10" s="34"/>
      <c r="V10" s="34"/>
      <c r="W10" s="34"/>
      <c r="X10" s="34"/>
      <c r="Y10" s="34"/>
    </row>
    <row r="11" spans="1:25" x14ac:dyDescent="0.25">
      <c r="A11" s="113" t="s">
        <v>54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+INPUT!I41</f>
        <v>0.11624659866414873</v>
      </c>
      <c r="T11" s="16"/>
      <c r="U11" s="16"/>
      <c r="V11" s="22"/>
      <c r="W11" s="16"/>
      <c r="X11" s="16"/>
      <c r="Y11" s="34"/>
    </row>
    <row r="12" spans="1:25" x14ac:dyDescent="0.25">
      <c r="A12" s="16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+INPUT!$L$41</f>
        <v>4.2494755268116036</v>
      </c>
      <c r="T12" s="16"/>
      <c r="U12" s="16"/>
      <c r="V12" s="16"/>
      <c r="W12" s="16"/>
      <c r="X12" s="16"/>
      <c r="Y12" s="34"/>
    </row>
    <row r="13" spans="1:25" x14ac:dyDescent="0.25">
      <c r="A13" s="16"/>
      <c r="B13" s="16"/>
      <c r="C13" s="17" t="s">
        <v>84</v>
      </c>
      <c r="D13" s="18" t="s">
        <v>92</v>
      </c>
      <c r="E13" s="18" t="s">
        <v>85</v>
      </c>
      <c r="F13" s="18" t="s">
        <v>86</v>
      </c>
      <c r="G13" s="17" t="s">
        <v>87</v>
      </c>
      <c r="H13" s="17" t="s">
        <v>88</v>
      </c>
      <c r="I13" s="17" t="s">
        <v>93</v>
      </c>
      <c r="J13" s="18" t="s">
        <v>89</v>
      </c>
      <c r="K13" s="17" t="s">
        <v>90</v>
      </c>
      <c r="L13" s="17" t="s">
        <v>91</v>
      </c>
      <c r="M13" s="17" t="s">
        <v>136</v>
      </c>
      <c r="R13" s="16"/>
      <c r="S13" s="16"/>
      <c r="T13" s="16"/>
      <c r="U13" s="16"/>
      <c r="V13" s="16"/>
      <c r="W13" s="16"/>
      <c r="X13" s="16"/>
      <c r="Y13" s="34"/>
    </row>
    <row r="14" spans="1:25" x14ac:dyDescent="0.25">
      <c r="A14" s="34"/>
      <c r="B14" s="34"/>
      <c r="C14" s="79" t="s">
        <v>112</v>
      </c>
      <c r="D14" s="79" t="s">
        <v>112</v>
      </c>
      <c r="E14" s="79" t="s">
        <v>35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34"/>
      <c r="V14" s="23" t="s">
        <v>25</v>
      </c>
      <c r="W14" s="23"/>
      <c r="X14" s="23"/>
      <c r="Y14" s="34"/>
    </row>
    <row r="15" spans="1:25" x14ac:dyDescent="0.25">
      <c r="A15" s="34"/>
      <c r="B15" s="34"/>
      <c r="C15" s="17" t="s">
        <v>21</v>
      </c>
      <c r="D15" s="17" t="s">
        <v>27</v>
      </c>
      <c r="E15" s="17" t="s">
        <v>135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8"/>
      <c r="U15" s="34"/>
      <c r="V15" s="18" t="s">
        <v>37</v>
      </c>
      <c r="W15" s="17"/>
      <c r="X15" s="18"/>
      <c r="Y15" s="34"/>
    </row>
    <row r="16" spans="1:25" x14ac:dyDescent="0.25">
      <c r="A16" s="17"/>
      <c r="B16" s="17"/>
      <c r="C16" s="17" t="s">
        <v>29</v>
      </c>
      <c r="D16" s="17" t="s">
        <v>29</v>
      </c>
      <c r="E16" s="17" t="s">
        <v>133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113</v>
      </c>
      <c r="T16" s="18" t="s">
        <v>26</v>
      </c>
      <c r="U16" s="34"/>
      <c r="V16" s="18" t="s">
        <v>38</v>
      </c>
      <c r="W16" s="17" t="s">
        <v>113</v>
      </c>
      <c r="X16" s="18" t="s">
        <v>26</v>
      </c>
      <c r="Y16" s="34" t="s">
        <v>137</v>
      </c>
    </row>
    <row r="17" spans="1:25" x14ac:dyDescent="0.25">
      <c r="A17" s="17" t="s">
        <v>36</v>
      </c>
      <c r="B17" s="17"/>
      <c r="C17" s="17"/>
      <c r="D17" s="17"/>
      <c r="E17" s="17"/>
      <c r="F17" s="17" t="s">
        <v>32</v>
      </c>
      <c r="G17" s="18" t="s">
        <v>33</v>
      </c>
      <c r="H17" s="19"/>
      <c r="I17" s="19"/>
      <c r="J17" s="20"/>
      <c r="K17" s="17" t="s">
        <v>32</v>
      </c>
      <c r="L17" s="17" t="s">
        <v>32</v>
      </c>
      <c r="M17" s="18" t="s">
        <v>33</v>
      </c>
      <c r="R17" s="39" t="s">
        <v>41</v>
      </c>
      <c r="S17" s="40" t="s">
        <v>41</v>
      </c>
      <c r="T17" s="39" t="s">
        <v>29</v>
      </c>
      <c r="U17" s="34"/>
      <c r="V17" s="39" t="s">
        <v>41</v>
      </c>
      <c r="W17" s="40" t="s">
        <v>41</v>
      </c>
      <c r="X17" s="39" t="s">
        <v>29</v>
      </c>
      <c r="Y17" s="34" t="s">
        <v>134</v>
      </c>
    </row>
    <row r="18" spans="1:25" x14ac:dyDescent="0.25">
      <c r="A18" s="100"/>
      <c r="B18" s="100"/>
      <c r="C18" s="100"/>
      <c r="D18" s="100"/>
      <c r="E18" s="100"/>
      <c r="F18" s="100" t="str">
        <f>("[ "&amp;D13&amp;" + "&amp;E13&amp;" - "&amp;C13&amp;"]")</f>
        <v>[ B + C - A]</v>
      </c>
      <c r="G18" s="100" t="str">
        <f>("[ "&amp;F13&amp;" / "&amp;C13&amp;" ]")</f>
        <v>[ D / A ]</v>
      </c>
      <c r="H18" s="108"/>
      <c r="I18" s="108"/>
      <c r="J18" s="108"/>
      <c r="K18" s="100" t="str">
        <f>("["&amp;C13&amp;"-"&amp;E13&amp;"+"&amp;$H$13&amp;"+"&amp;$I$13&amp;"+"&amp;$J$13&amp;"]")</f>
        <v>[A-C+F+G+H]</v>
      </c>
      <c r="L18" s="100" t="str">
        <f>("["&amp;D13&amp;"+"&amp;$H$13&amp;"+"&amp;$I$13&amp;"+"&amp;$J$13&amp;"]")</f>
        <v>[B+F+G+H]</v>
      </c>
      <c r="M18" s="100" t="str">
        <f>("[("&amp;L13&amp;" - "&amp;K13&amp;") / "&amp;K13&amp;"]")</f>
        <v>[(J - I) / I]</v>
      </c>
      <c r="R18" s="18"/>
      <c r="S18" s="24">
        <f>+INPUT!$D$9</f>
        <v>2.1504000000000003</v>
      </c>
      <c r="T18" s="18"/>
      <c r="U18" s="34"/>
      <c r="V18" s="18"/>
      <c r="W18" s="24">
        <f>+INPUT!$D$27</f>
        <v>2.6267</v>
      </c>
      <c r="X18" s="18"/>
      <c r="Y18" s="34"/>
    </row>
    <row r="19" spans="1:25" x14ac:dyDescent="0.25">
      <c r="A19" s="17"/>
      <c r="B19" s="17"/>
      <c r="C19" s="17"/>
      <c r="D19" s="17"/>
      <c r="E19" s="17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8"/>
      <c r="U19" s="34"/>
      <c r="V19" s="18"/>
      <c r="W19" s="18" t="s">
        <v>114</v>
      </c>
      <c r="X19" s="18"/>
      <c r="Y19" s="34"/>
    </row>
    <row r="20" spans="1:25" x14ac:dyDescent="0.25">
      <c r="A20" s="56">
        <v>25</v>
      </c>
      <c r="C20" s="35">
        <f>+T20</f>
        <v>233.76</v>
      </c>
      <c r="D20" s="126">
        <f>+X20</f>
        <v>350.67</v>
      </c>
      <c r="E20" s="103">
        <f>+$Y$20</f>
        <v>-29.024533319080135</v>
      </c>
      <c r="F20" s="35">
        <f>+D20+E20-C20</f>
        <v>87.885466680919876</v>
      </c>
      <c r="G20" s="36">
        <f>ROUND(+F20/C20,4)</f>
        <v>0.376</v>
      </c>
      <c r="H20" s="35">
        <f>ROUND($A20*$S$10,2)</f>
        <v>107.79</v>
      </c>
      <c r="I20" s="35">
        <f>ROUND($A20*$S$11,2)</f>
        <v>2.91</v>
      </c>
      <c r="J20" s="35">
        <f>+$S$12</f>
        <v>4.2494755268116036</v>
      </c>
      <c r="K20" s="35">
        <f>+C20-E20+H20+I20+J20</f>
        <v>377.73400884589176</v>
      </c>
      <c r="L20" s="35">
        <f>+D20+H20+I20+J20</f>
        <v>465.61947552681164</v>
      </c>
      <c r="M20" s="36">
        <f>ROUND((L20-K20)/K20,4)</f>
        <v>0.23269999999999999</v>
      </c>
      <c r="R20" s="37">
        <f>+INPUT!$D$7</f>
        <v>180</v>
      </c>
      <c r="S20" s="37">
        <f>ROUND($S$18*$A20,2)</f>
        <v>53.76</v>
      </c>
      <c r="T20" s="37">
        <f>SUM(R20:S20)</f>
        <v>233.76</v>
      </c>
      <c r="V20" s="37">
        <f>+INPUT!$D$25</f>
        <v>285</v>
      </c>
      <c r="W20" s="37">
        <f>ROUND($W$18*$A20,2)</f>
        <v>65.67</v>
      </c>
      <c r="X20" s="37">
        <f>SUM(V20:W20)</f>
        <v>350.67</v>
      </c>
      <c r="Y20" s="127">
        <f>+(1272072-9960508)/299348</f>
        <v>-29.024533319080135</v>
      </c>
    </row>
    <row r="21" spans="1:25" x14ac:dyDescent="0.25">
      <c r="A21" s="56"/>
      <c r="C21" s="34"/>
      <c r="D21" s="34"/>
      <c r="E21" s="103"/>
      <c r="K21" s="34"/>
      <c r="L21" s="34"/>
      <c r="M21" s="34"/>
    </row>
    <row r="22" spans="1:25" x14ac:dyDescent="0.25">
      <c r="A22" s="56">
        <v>50</v>
      </c>
      <c r="C22" s="35">
        <f>+T22</f>
        <v>287.52</v>
      </c>
      <c r="D22" s="35">
        <f>+X22</f>
        <v>416.34000000000003</v>
      </c>
      <c r="E22" s="103">
        <f>+$Y$20</f>
        <v>-29.024533319080135</v>
      </c>
      <c r="F22" s="38">
        <f>+D22+E22-C22</f>
        <v>99.795466680919901</v>
      </c>
      <c r="G22" s="86">
        <f>ROUND(+F22/C22,4)</f>
        <v>0.34710000000000002</v>
      </c>
      <c r="H22" s="38">
        <f>$A22*$S$10</f>
        <v>215.58707280797628</v>
      </c>
      <c r="I22" s="38">
        <f>$A22*$S$11</f>
        <v>5.8123299332074367</v>
      </c>
      <c r="J22" s="38">
        <f>+$S$12</f>
        <v>4.2494755268116036</v>
      </c>
      <c r="K22" s="38">
        <f>+C22-E22+H22+I22+J22</f>
        <v>542.1934115870755</v>
      </c>
      <c r="L22" s="38">
        <f>+D22+H22+I22+J22</f>
        <v>641.98887826799535</v>
      </c>
      <c r="M22" s="86">
        <f>ROUND((L22-K22)/K22,4)</f>
        <v>0.18410000000000001</v>
      </c>
      <c r="R22" s="37">
        <f>+$R$20</f>
        <v>180</v>
      </c>
      <c r="S22" s="37">
        <f>ROUND($S$18*$A22,2)</f>
        <v>107.52</v>
      </c>
      <c r="T22" s="37">
        <f>SUM(R22:S22)</f>
        <v>287.52</v>
      </c>
      <c r="V22" s="37">
        <f>+$V$20</f>
        <v>285</v>
      </c>
      <c r="W22" s="37">
        <f>ROUND($W$18*$A22,2)</f>
        <v>131.34</v>
      </c>
      <c r="X22" s="37">
        <f>SUM(V22:W22)</f>
        <v>416.34000000000003</v>
      </c>
      <c r="Y22" s="85"/>
    </row>
    <row r="23" spans="1:25" x14ac:dyDescent="0.25">
      <c r="A23" s="56"/>
      <c r="C23" s="35"/>
      <c r="D23" s="35"/>
      <c r="E23" s="103"/>
      <c r="K23" s="35"/>
      <c r="L23" s="35"/>
      <c r="M23" s="36"/>
    </row>
    <row r="24" spans="1:25" x14ac:dyDescent="0.25">
      <c r="A24" s="56">
        <v>100</v>
      </c>
      <c r="C24" s="35">
        <f>+T24</f>
        <v>395.03999999999996</v>
      </c>
      <c r="D24" s="35">
        <f>+X24</f>
        <v>547.67000000000007</v>
      </c>
      <c r="E24" s="103">
        <f>+$Y$20</f>
        <v>-29.024533319080135</v>
      </c>
      <c r="F24" s="35">
        <f>+D24-C24</f>
        <v>152.63000000000011</v>
      </c>
      <c r="G24" s="36">
        <f>ROUND(+F24/C24,4)</f>
        <v>0.38640000000000002</v>
      </c>
      <c r="H24" s="35">
        <f>ROUND($A24*$S$10,2)</f>
        <v>431.17</v>
      </c>
      <c r="I24" s="35">
        <f>ROUND($A24*$S$11,2)</f>
        <v>11.62</v>
      </c>
      <c r="J24" s="35">
        <f>+$S$12</f>
        <v>4.2494755268116036</v>
      </c>
      <c r="K24" s="38">
        <f>+C24-E24+H24+I24+J24</f>
        <v>871.10400884589171</v>
      </c>
      <c r="L24" s="35">
        <f>+D24+H24+I24+J24</f>
        <v>994.70947552681173</v>
      </c>
      <c r="M24" s="36">
        <f>ROUND((L24-K24)/K24,4)</f>
        <v>0.1419</v>
      </c>
      <c r="R24" s="37">
        <f>+$R$20</f>
        <v>180</v>
      </c>
      <c r="S24" s="37">
        <f>ROUND($S$18*$A24,2)</f>
        <v>215.04</v>
      </c>
      <c r="T24" s="37">
        <f>SUM(R24:S24)</f>
        <v>395.03999999999996</v>
      </c>
      <c r="V24" s="37">
        <f>+$V$20</f>
        <v>285</v>
      </c>
      <c r="W24" s="37">
        <f>ROUND($W$18*$A24,2)</f>
        <v>262.67</v>
      </c>
      <c r="X24" s="37">
        <f>SUM(V24:W24)</f>
        <v>547.67000000000007</v>
      </c>
    </row>
    <row r="25" spans="1:25" x14ac:dyDescent="0.25">
      <c r="A25" s="56"/>
      <c r="C25" s="34"/>
      <c r="D25" s="34"/>
      <c r="E25" s="103"/>
      <c r="K25" s="101"/>
      <c r="L25" s="34"/>
      <c r="M25" s="34"/>
    </row>
    <row r="26" spans="1:25" x14ac:dyDescent="0.25">
      <c r="A26" s="56">
        <v>500</v>
      </c>
      <c r="C26" s="38">
        <f>+T26</f>
        <v>1255.2</v>
      </c>
      <c r="D26" s="38">
        <f>+X26</f>
        <v>1598.35</v>
      </c>
      <c r="E26" s="103">
        <f>+$Y$20</f>
        <v>-29.024533319080135</v>
      </c>
      <c r="F26" s="35">
        <f>+D26-C26</f>
        <v>343.14999999999986</v>
      </c>
      <c r="G26" s="36">
        <f>ROUND(+F26/C26,4)</f>
        <v>0.27339999999999998</v>
      </c>
      <c r="H26" s="35">
        <f>ROUND($A26*$S$10,2)</f>
        <v>2155.87</v>
      </c>
      <c r="I26" s="35">
        <f>ROUND($A26*$S$11,2)</f>
        <v>58.12</v>
      </c>
      <c r="J26" s="35">
        <f>+$S$12</f>
        <v>4.2494755268116036</v>
      </c>
      <c r="K26" s="38">
        <f>+C26-E26+H26+I26+J26</f>
        <v>3502.4640088458918</v>
      </c>
      <c r="L26" s="35">
        <f>+D26+H26+I26+J26</f>
        <v>3816.5894755268114</v>
      </c>
      <c r="M26" s="36">
        <f>ROUND((L26-K26)/K26,4)</f>
        <v>8.9700000000000002E-2</v>
      </c>
      <c r="R26" s="37">
        <f>+$R$20</f>
        <v>180</v>
      </c>
      <c r="S26" s="37">
        <f>ROUND($S$18*$A26,2)</f>
        <v>1075.2</v>
      </c>
      <c r="T26" s="37">
        <f>SUM(R26:S26)</f>
        <v>1255.2</v>
      </c>
      <c r="V26" s="37">
        <f>+$V$20</f>
        <v>285</v>
      </c>
      <c r="W26" s="37">
        <f>ROUND($W$18*$A26,2)</f>
        <v>1313.35</v>
      </c>
      <c r="X26" s="37">
        <f>SUM(V26:W26)</f>
        <v>1598.35</v>
      </c>
    </row>
    <row r="27" spans="1:25" x14ac:dyDescent="0.25">
      <c r="A27" s="56"/>
      <c r="C27" s="34"/>
      <c r="D27" s="34"/>
      <c r="E27" s="103"/>
      <c r="K27" s="101"/>
      <c r="L27" s="34"/>
      <c r="M27" s="34"/>
    </row>
    <row r="28" spans="1:25" x14ac:dyDescent="0.25">
      <c r="A28" s="56">
        <v>1000</v>
      </c>
      <c r="C28" s="35">
        <f>+T28</f>
        <v>2330.4</v>
      </c>
      <c r="D28" s="35">
        <f>+X28</f>
        <v>2911.7</v>
      </c>
      <c r="E28" s="103">
        <f>+$Y$20</f>
        <v>-29.024533319080135</v>
      </c>
      <c r="F28" s="35">
        <f>+D28-C28</f>
        <v>581.29999999999973</v>
      </c>
      <c r="G28" s="36">
        <f>ROUND(+F28/C28,4)</f>
        <v>0.24940000000000001</v>
      </c>
      <c r="H28" s="35">
        <f>ROUND($A28*$S$10,2)</f>
        <v>4311.74</v>
      </c>
      <c r="I28" s="35">
        <f>ROUND($A28*$S$11,2)</f>
        <v>116.25</v>
      </c>
      <c r="J28" s="35">
        <f>+$S$12</f>
        <v>4.2494755268116036</v>
      </c>
      <c r="K28" s="38">
        <f>+C28-E28+H28+I28+J28</f>
        <v>6791.6640088458917</v>
      </c>
      <c r="L28" s="35">
        <f>+D28+H28+I28+J28</f>
        <v>7343.9394755268113</v>
      </c>
      <c r="M28" s="36">
        <f>ROUND((L28-K28)/K28,4)</f>
        <v>8.1299999999999997E-2</v>
      </c>
      <c r="R28" s="37">
        <f>+$R$20</f>
        <v>180</v>
      </c>
      <c r="S28" s="37">
        <f>ROUND($S$18*$A28,2)</f>
        <v>2150.4</v>
      </c>
      <c r="T28" s="37">
        <f>SUM(R28:S28)</f>
        <v>2330.4</v>
      </c>
      <c r="V28" s="37">
        <f>+$V$20</f>
        <v>285</v>
      </c>
      <c r="W28" s="37">
        <f>ROUND($W$18*$A28,2)</f>
        <v>2626.7</v>
      </c>
      <c r="X28" s="37">
        <f>SUM(V28:W28)</f>
        <v>2911.7</v>
      </c>
    </row>
    <row r="29" spans="1:25" x14ac:dyDescent="0.25">
      <c r="A29" s="56"/>
      <c r="C29" s="34"/>
      <c r="D29" s="34"/>
      <c r="E29" s="103"/>
      <c r="K29" s="101"/>
      <c r="L29" s="34"/>
      <c r="M29" s="34"/>
    </row>
    <row r="30" spans="1:25" x14ac:dyDescent="0.25">
      <c r="A30" s="56">
        <v>2500</v>
      </c>
      <c r="C30" s="35">
        <f>+T30</f>
        <v>5556</v>
      </c>
      <c r="D30" s="35">
        <f>+X30</f>
        <v>6851.75</v>
      </c>
      <c r="E30" s="103">
        <f>+$Y$20</f>
        <v>-29.024533319080135</v>
      </c>
      <c r="F30" s="35">
        <f>+D30-C30</f>
        <v>1295.75</v>
      </c>
      <c r="G30" s="36">
        <f>ROUND(+F30/C30,4)</f>
        <v>0.23319999999999999</v>
      </c>
      <c r="H30" s="35">
        <f>ROUND($A30*$S$10,2)</f>
        <v>10779.35</v>
      </c>
      <c r="I30" s="35">
        <f>ROUND($A30*$S$11,2)</f>
        <v>290.62</v>
      </c>
      <c r="J30" s="35">
        <f>+$S$12</f>
        <v>4.2494755268116036</v>
      </c>
      <c r="K30" s="38">
        <f>+C30-E30+H30+I30+J30</f>
        <v>16659.244008845893</v>
      </c>
      <c r="L30" s="35">
        <f>+D30+H30+I30+J30</f>
        <v>17925.96947552681</v>
      </c>
      <c r="M30" s="36">
        <f>ROUND((L30-K30)/K30,4)</f>
        <v>7.5999999999999998E-2</v>
      </c>
      <c r="R30" s="37">
        <f>+$R$20</f>
        <v>180</v>
      </c>
      <c r="S30" s="37">
        <f>ROUND($S$18*$A30,2)</f>
        <v>5376</v>
      </c>
      <c r="T30" s="37">
        <f>SUM(R30:S30)</f>
        <v>5556</v>
      </c>
      <c r="V30" s="37">
        <f>+$V$20</f>
        <v>285</v>
      </c>
      <c r="W30" s="37">
        <f>ROUND($W$18*$A30,2)</f>
        <v>6566.75</v>
      </c>
      <c r="X30" s="37">
        <f>SUM(V30:W30)</f>
        <v>6851.75</v>
      </c>
    </row>
    <row r="31" spans="1:25" x14ac:dyDescent="0.25">
      <c r="A31" s="56"/>
      <c r="C31" s="34"/>
      <c r="D31" s="34"/>
      <c r="E31" s="103"/>
      <c r="K31" s="101"/>
      <c r="L31" s="34"/>
      <c r="M31" s="34"/>
    </row>
    <row r="32" spans="1:25" x14ac:dyDescent="0.25">
      <c r="A32" s="56">
        <v>5000</v>
      </c>
      <c r="C32" s="35">
        <f>+T32</f>
        <v>10932</v>
      </c>
      <c r="D32" s="35">
        <f>+X32</f>
        <v>13418.5</v>
      </c>
      <c r="E32" s="103">
        <f>+$Y$20</f>
        <v>-29.024533319080135</v>
      </c>
      <c r="F32" s="35">
        <f>+D32-C32</f>
        <v>2486.5</v>
      </c>
      <c r="G32" s="36">
        <f>ROUND(+F32/C32,4)</f>
        <v>0.22750000000000001</v>
      </c>
      <c r="H32" s="35">
        <f>ROUND($A32*$S$10,2)</f>
        <v>21558.71</v>
      </c>
      <c r="I32" s="35">
        <f>ROUND($A32*$S$11,2)</f>
        <v>581.23</v>
      </c>
      <c r="J32" s="35">
        <f>+$S$12</f>
        <v>4.2494755268116036</v>
      </c>
      <c r="K32" s="38">
        <f>+C32-E32+H32+I32+J32</f>
        <v>33105.214008845891</v>
      </c>
      <c r="L32" s="35">
        <f>+D32+H32+I32+J32</f>
        <v>35562.689475526815</v>
      </c>
      <c r="M32" s="36">
        <f>ROUND((L32-K32)/K32,4)</f>
        <v>7.4200000000000002E-2</v>
      </c>
      <c r="R32" s="37">
        <f>+$R$20</f>
        <v>180</v>
      </c>
      <c r="S32" s="37">
        <f>ROUND($S$18*$A32,2)</f>
        <v>10752</v>
      </c>
      <c r="T32" s="37">
        <f>SUM(R32:S32)</f>
        <v>10932</v>
      </c>
      <c r="V32" s="37">
        <f>+$V$20</f>
        <v>285</v>
      </c>
      <c r="W32" s="37">
        <f>ROUND($W$18*$A32,2)</f>
        <v>13133.5</v>
      </c>
      <c r="X32" s="37">
        <f>SUM(V32:W32)</f>
        <v>13418.5</v>
      </c>
    </row>
    <row r="33" spans="1:24" x14ac:dyDescent="0.25">
      <c r="A33" s="56"/>
      <c r="C33" s="34"/>
      <c r="D33" s="34"/>
      <c r="E33" s="103"/>
      <c r="K33" s="101"/>
      <c r="L33" s="34"/>
      <c r="M33" s="34"/>
    </row>
    <row r="34" spans="1:24" x14ac:dyDescent="0.25">
      <c r="A34" s="56">
        <v>7500</v>
      </c>
      <c r="C34" s="35">
        <f>+T34</f>
        <v>16308</v>
      </c>
      <c r="D34" s="35">
        <f>+X34</f>
        <v>19985.25</v>
      </c>
      <c r="E34" s="103">
        <f>+$Y$20</f>
        <v>-29.024533319080135</v>
      </c>
      <c r="F34" s="35">
        <f>+D34-C34</f>
        <v>3677.25</v>
      </c>
      <c r="G34" s="36">
        <f>ROUND(+F34/C34,4)</f>
        <v>0.22550000000000001</v>
      </c>
      <c r="H34" s="35">
        <f>ROUND($A34*$S$10,2)</f>
        <v>32338.06</v>
      </c>
      <c r="I34" s="35">
        <f>ROUND($A34*$S$11,2)</f>
        <v>871.85</v>
      </c>
      <c r="J34" s="35">
        <f>+$S$12</f>
        <v>4.2494755268116036</v>
      </c>
      <c r="K34" s="38">
        <f>+C34-E34+H34+I34+J34</f>
        <v>49551.184008845892</v>
      </c>
      <c r="L34" s="35">
        <f>+D34+H34+I34+J34</f>
        <v>53199.409475526809</v>
      </c>
      <c r="M34" s="36">
        <f>ROUND((L34-K34)/K34,4)</f>
        <v>7.3599999999999999E-2</v>
      </c>
      <c r="R34" s="37">
        <f>+$R$20</f>
        <v>180</v>
      </c>
      <c r="S34" s="37">
        <f>ROUND($S$18*$A34,2)</f>
        <v>16128</v>
      </c>
      <c r="T34" s="37">
        <f>SUM(R34:S34)</f>
        <v>16308</v>
      </c>
      <c r="V34" s="37">
        <f>+$V$20</f>
        <v>285</v>
      </c>
      <c r="W34" s="37">
        <f>ROUND($W$18*$A34,2)</f>
        <v>19700.25</v>
      </c>
      <c r="X34" s="37">
        <f>SUM(V34:W34)</f>
        <v>19985.25</v>
      </c>
    </row>
    <row r="35" spans="1:24" x14ac:dyDescent="0.25">
      <c r="K35" s="34"/>
      <c r="L35" s="34"/>
      <c r="M35" s="34"/>
    </row>
    <row r="36" spans="1:24" x14ac:dyDescent="0.25">
      <c r="A36" s="33" t="s">
        <v>102</v>
      </c>
      <c r="C36" s="55"/>
      <c r="D36" s="56"/>
      <c r="E36" s="56"/>
      <c r="K36" s="35"/>
      <c r="L36" s="35"/>
      <c r="M36" s="36"/>
    </row>
    <row r="37" spans="1:24" x14ac:dyDescent="0.25">
      <c r="A37" s="59" t="str">
        <f>("Average usage = "&amp;INPUT!D17&amp;" Mcf per month")</f>
        <v>Average usage = 33.9 Mcf per month</v>
      </c>
    </row>
    <row r="38" spans="1:24" x14ac:dyDescent="0.25">
      <c r="A38" s="61" t="s">
        <v>103</v>
      </c>
    </row>
    <row r="39" spans="1:24" x14ac:dyDescent="0.25">
      <c r="A39" s="77" t="str">
        <f>+'Rate Case Constants'!$C$26</f>
        <v>Calculations may vary from other schedules due to rounding</v>
      </c>
    </row>
    <row r="53" spans="11:11" x14ac:dyDescent="0.25">
      <c r="K53" s="17"/>
    </row>
  </sheetData>
  <mergeCells count="5"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39"/>
  <sheetViews>
    <sheetView view="pageBreakPreview" topLeftCell="A25" zoomScaleNormal="100" zoomScaleSheetLayoutView="100" workbookViewId="0">
      <selection activeCell="A27" sqref="A27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7" width="12" style="33" customWidth="1"/>
    <col min="8" max="8" width="11.33203125" style="33" bestFit="1" customWidth="1"/>
    <col min="9" max="13" width="12" style="33" customWidth="1"/>
    <col min="14" max="17" width="4.88671875" style="33" customWidth="1"/>
    <col min="18" max="18" width="9.109375" style="33"/>
    <col min="19" max="19" width="12" style="33" bestFit="1" customWidth="1"/>
    <col min="20" max="20" width="10.6640625" style="33" bestFit="1" customWidth="1"/>
    <col min="21" max="22" width="9.109375" style="33"/>
    <col min="23" max="24" width="10.6640625" style="33" bestFit="1" customWidth="1"/>
    <col min="25" max="16384" width="9.109375" style="33"/>
  </cols>
  <sheetData>
    <row r="1" spans="1:25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5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5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25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25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5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25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25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Constants'!I11</f>
        <v>PAGE 4 OF 11</v>
      </c>
    </row>
    <row r="9" spans="1:25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25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R10" s="25" t="s">
        <v>34</v>
      </c>
      <c r="S10" s="21">
        <f>+INPUT!H42</f>
        <v>3.1503372321092358</v>
      </c>
      <c r="T10" s="34"/>
      <c r="U10" s="34"/>
      <c r="V10" s="34"/>
      <c r="W10" s="34"/>
      <c r="X10" s="34"/>
      <c r="Y10" s="34"/>
    </row>
    <row r="11" spans="1:25" x14ac:dyDescent="0.25">
      <c r="A11" s="113" t="s">
        <v>57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+INPUT!I42</f>
        <v>0</v>
      </c>
      <c r="T11" s="16"/>
      <c r="U11" s="16"/>
      <c r="V11" s="22"/>
      <c r="W11" s="16"/>
      <c r="X11" s="16"/>
      <c r="Y11" s="34"/>
    </row>
    <row r="12" spans="1:25" x14ac:dyDescent="0.25">
      <c r="A12" s="16" t="s">
        <v>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+INPUT!$L$42</f>
        <v>39.993746091307067</v>
      </c>
      <c r="T12" s="16"/>
      <c r="U12" s="16"/>
      <c r="V12" s="16"/>
      <c r="W12" s="16"/>
      <c r="X12" s="16"/>
      <c r="Y12" s="34"/>
    </row>
    <row r="13" spans="1:25" x14ac:dyDescent="0.25">
      <c r="A13" s="16"/>
      <c r="B13" s="16"/>
      <c r="C13" s="17" t="s">
        <v>84</v>
      </c>
      <c r="D13" s="18" t="s">
        <v>92</v>
      </c>
      <c r="E13" s="18" t="s">
        <v>85</v>
      </c>
      <c r="F13" s="18" t="s">
        <v>86</v>
      </c>
      <c r="G13" s="17" t="s">
        <v>87</v>
      </c>
      <c r="H13" s="17" t="s">
        <v>88</v>
      </c>
      <c r="I13" s="17" t="s">
        <v>93</v>
      </c>
      <c r="J13" s="18" t="s">
        <v>89</v>
      </c>
      <c r="K13" s="17" t="s">
        <v>90</v>
      </c>
      <c r="L13" s="17" t="s">
        <v>91</v>
      </c>
      <c r="M13" s="17" t="s">
        <v>136</v>
      </c>
      <c r="R13" s="16"/>
      <c r="S13" s="16"/>
      <c r="T13" s="16"/>
      <c r="U13" s="16"/>
      <c r="V13" s="16"/>
      <c r="W13" s="16"/>
      <c r="X13" s="16"/>
      <c r="Y13" s="34"/>
    </row>
    <row r="14" spans="1:25" x14ac:dyDescent="0.25">
      <c r="A14" s="34"/>
      <c r="B14" s="34"/>
      <c r="C14" s="79" t="s">
        <v>112</v>
      </c>
      <c r="D14" s="79" t="s">
        <v>112</v>
      </c>
      <c r="E14" s="79" t="s">
        <v>35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34"/>
      <c r="V14" s="23" t="s">
        <v>25</v>
      </c>
      <c r="W14" s="23"/>
      <c r="X14" s="23"/>
      <c r="Y14" s="34"/>
    </row>
    <row r="15" spans="1:25" x14ac:dyDescent="0.25">
      <c r="A15" s="34"/>
      <c r="B15" s="34"/>
      <c r="C15" s="17" t="s">
        <v>21</v>
      </c>
      <c r="D15" s="17" t="s">
        <v>27</v>
      </c>
      <c r="E15" s="17" t="s">
        <v>135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8"/>
      <c r="U15" s="34"/>
      <c r="V15" s="18" t="s">
        <v>37</v>
      </c>
      <c r="W15" s="17"/>
      <c r="X15" s="18"/>
      <c r="Y15" s="34"/>
    </row>
    <row r="16" spans="1:25" x14ac:dyDescent="0.25">
      <c r="A16" s="17"/>
      <c r="B16" s="17"/>
      <c r="C16" s="17" t="s">
        <v>29</v>
      </c>
      <c r="D16" s="17" t="s">
        <v>29</v>
      </c>
      <c r="E16" s="17" t="s">
        <v>133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113</v>
      </c>
      <c r="T16" s="18" t="s">
        <v>26</v>
      </c>
      <c r="U16" s="34"/>
      <c r="V16" s="18" t="s">
        <v>38</v>
      </c>
      <c r="W16" s="17" t="s">
        <v>113</v>
      </c>
      <c r="X16" s="18" t="s">
        <v>26</v>
      </c>
      <c r="Y16" s="34" t="s">
        <v>137</v>
      </c>
    </row>
    <row r="17" spans="1:25" x14ac:dyDescent="0.25">
      <c r="A17" s="17" t="s">
        <v>36</v>
      </c>
      <c r="B17" s="17"/>
      <c r="C17" s="17"/>
      <c r="D17" s="17"/>
      <c r="E17" s="17"/>
      <c r="F17" s="17" t="s">
        <v>32</v>
      </c>
      <c r="G17" s="18" t="s">
        <v>33</v>
      </c>
      <c r="H17" s="19"/>
      <c r="I17" s="19"/>
      <c r="J17" s="20"/>
      <c r="K17" s="17" t="s">
        <v>32</v>
      </c>
      <c r="L17" s="17" t="s">
        <v>32</v>
      </c>
      <c r="M17" s="18" t="s">
        <v>33</v>
      </c>
      <c r="R17" s="39" t="s">
        <v>41</v>
      </c>
      <c r="S17" s="40" t="s">
        <v>41</v>
      </c>
      <c r="T17" s="39" t="s">
        <v>29</v>
      </c>
      <c r="U17" s="34"/>
      <c r="V17" s="39" t="s">
        <v>41</v>
      </c>
      <c r="W17" s="40" t="s">
        <v>41</v>
      </c>
      <c r="X17" s="39" t="s">
        <v>29</v>
      </c>
      <c r="Y17" s="34" t="s">
        <v>134</v>
      </c>
    </row>
    <row r="18" spans="1:25" x14ac:dyDescent="0.25">
      <c r="A18" s="100"/>
      <c r="B18" s="100"/>
      <c r="C18" s="100"/>
      <c r="D18" s="100"/>
      <c r="E18" s="100"/>
      <c r="F18" s="100" t="str">
        <f>("[ "&amp;D13&amp;" + "&amp;E13&amp;" - "&amp;C13&amp;"]")</f>
        <v>[ B + C - A]</v>
      </c>
      <c r="G18" s="100" t="str">
        <f>("[ "&amp;F13&amp;" / "&amp;C13&amp;" ]")</f>
        <v>[ D / A ]</v>
      </c>
      <c r="H18" s="108"/>
      <c r="I18" s="108"/>
      <c r="J18" s="108"/>
      <c r="K18" s="100" t="str">
        <f>("["&amp;C13&amp;"-"&amp;E13&amp;"+"&amp;$H$13&amp;"+"&amp;$I$13&amp;"+"&amp;$J$13&amp;"]")</f>
        <v>[A-C+F+G+H]</v>
      </c>
      <c r="L18" s="100" t="str">
        <f>("["&amp;D13&amp;"+"&amp;$H$13&amp;"+"&amp;$I$13&amp;"+"&amp;$J$13&amp;"]")</f>
        <v>[B+F+G+H]</v>
      </c>
      <c r="M18" s="100" t="str">
        <f>("[("&amp;L13&amp;" - "&amp;K13&amp;") / "&amp;K13&amp;"]")</f>
        <v>[(J - I) / I]</v>
      </c>
      <c r="R18" s="18"/>
      <c r="S18" s="24">
        <f>+INPUT!$E$9</f>
        <v>2.2778999999999998</v>
      </c>
      <c r="T18" s="18"/>
      <c r="U18" s="34"/>
      <c r="V18" s="18"/>
      <c r="W18" s="24">
        <f>+INPUT!$E$27</f>
        <v>2.1928999999999998</v>
      </c>
      <c r="X18" s="18"/>
      <c r="Y18" s="34"/>
    </row>
    <row r="19" spans="1:25" x14ac:dyDescent="0.25">
      <c r="A19" s="17"/>
      <c r="B19" s="17"/>
      <c r="C19" s="17"/>
      <c r="D19" s="17"/>
      <c r="E19" s="17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8"/>
      <c r="U19" s="34"/>
      <c r="V19" s="18"/>
      <c r="W19" s="18" t="s">
        <v>114</v>
      </c>
      <c r="X19" s="18"/>
      <c r="Y19" s="34"/>
    </row>
    <row r="20" spans="1:25" x14ac:dyDescent="0.25">
      <c r="A20" s="56">
        <v>25</v>
      </c>
      <c r="C20" s="35">
        <f>+T20</f>
        <v>96.95</v>
      </c>
      <c r="D20" s="35">
        <f>+X20</f>
        <v>219.82</v>
      </c>
      <c r="E20" s="103">
        <f>+$Y$20</f>
        <v>-273.16353971232019</v>
      </c>
      <c r="F20" s="35">
        <f>+D20+E20-C20</f>
        <v>-150.29353971232018</v>
      </c>
      <c r="G20" s="36">
        <f>ROUND(+F20/C20,4)</f>
        <v>-1.5502</v>
      </c>
      <c r="H20" s="35">
        <f>ROUND($A20*$S$10,2)</f>
        <v>78.760000000000005</v>
      </c>
      <c r="I20" s="35">
        <f>ROUND($A20*$S$11,2)</f>
        <v>0</v>
      </c>
      <c r="J20" s="35">
        <f>+$S$12</f>
        <v>39.993746091307067</v>
      </c>
      <c r="K20" s="35">
        <f>+C20-E20+H20+I20+J20</f>
        <v>488.86728580362723</v>
      </c>
      <c r="L20" s="35">
        <f>+D20+H20+I20+J20</f>
        <v>338.57374609130704</v>
      </c>
      <c r="M20" s="36">
        <f>ROUND((L20-K20)/K20,4)</f>
        <v>-0.30740000000000001</v>
      </c>
      <c r="R20" s="37">
        <f>+INPUT!$E$6</f>
        <v>40</v>
      </c>
      <c r="S20" s="37">
        <f>ROUND($S$18*$A20,2)</f>
        <v>56.95</v>
      </c>
      <c r="T20" s="37">
        <f>SUM(R20:S20)</f>
        <v>96.95</v>
      </c>
      <c r="V20" s="37">
        <f>+INPUT!$E$24</f>
        <v>165</v>
      </c>
      <c r="W20" s="37">
        <f>ROUND($W$18*$A20,2)</f>
        <v>54.82</v>
      </c>
      <c r="X20" s="37">
        <f>SUM(V20:W20)</f>
        <v>219.82</v>
      </c>
      <c r="Y20" s="127">
        <f>+(127900-1001477)/3198</f>
        <v>-273.16353971232019</v>
      </c>
    </row>
    <row r="21" spans="1:25" x14ac:dyDescent="0.25">
      <c r="A21" s="56"/>
      <c r="C21" s="34"/>
      <c r="D21" s="34"/>
      <c r="E21" s="103"/>
      <c r="K21" s="34"/>
      <c r="L21" s="34"/>
      <c r="M21" s="34"/>
    </row>
    <row r="22" spans="1:25" x14ac:dyDescent="0.25">
      <c r="A22" s="56">
        <v>50</v>
      </c>
      <c r="C22" s="35">
        <f>+T22</f>
        <v>153.9</v>
      </c>
      <c r="D22" s="35">
        <f>+X22</f>
        <v>274.64999999999998</v>
      </c>
      <c r="E22" s="103">
        <f>+$Y$20</f>
        <v>-273.16353971232019</v>
      </c>
      <c r="F22" s="38">
        <f>+D22+E22-C22</f>
        <v>-152.41353971232022</v>
      </c>
      <c r="G22" s="86">
        <f>ROUND(+F22/C22,4)</f>
        <v>-0.99029999999999996</v>
      </c>
      <c r="H22" s="38">
        <f>$A22*$S$10</f>
        <v>157.5168616054618</v>
      </c>
      <c r="I22" s="38">
        <f>$A22*$S$11</f>
        <v>0</v>
      </c>
      <c r="J22" s="38">
        <f>+$S$12</f>
        <v>39.993746091307067</v>
      </c>
      <c r="K22" s="38">
        <f>+C22-E22+H22+I22+J22</f>
        <v>624.57414740908916</v>
      </c>
      <c r="L22" s="38">
        <f>+D22+H22+I22+J22</f>
        <v>472.16060769676886</v>
      </c>
      <c r="M22" s="86">
        <f>ROUND((L22-K22)/K22,4)</f>
        <v>-0.24399999999999999</v>
      </c>
      <c r="R22" s="37">
        <f>+$R$20</f>
        <v>40</v>
      </c>
      <c r="S22" s="37">
        <f>ROUND($S$18*$A22,2)</f>
        <v>113.9</v>
      </c>
      <c r="T22" s="37">
        <f>SUM(R22:S22)</f>
        <v>153.9</v>
      </c>
      <c r="V22" s="37">
        <f>+$V$20</f>
        <v>165</v>
      </c>
      <c r="W22" s="37">
        <f>ROUND($W$18*$A22,2)</f>
        <v>109.65</v>
      </c>
      <c r="X22" s="37">
        <f>SUM(V22:W22)</f>
        <v>274.64999999999998</v>
      </c>
      <c r="Y22" s="85"/>
    </row>
    <row r="23" spans="1:25" x14ac:dyDescent="0.25">
      <c r="A23" s="56"/>
      <c r="C23" s="35"/>
      <c r="D23" s="35"/>
      <c r="E23" s="103"/>
      <c r="K23" s="35"/>
      <c r="L23" s="35"/>
      <c r="M23" s="36"/>
    </row>
    <row r="24" spans="1:25" x14ac:dyDescent="0.25">
      <c r="A24" s="56">
        <v>100</v>
      </c>
      <c r="C24" s="35">
        <f>+T24</f>
        <v>267.78999999999996</v>
      </c>
      <c r="D24" s="35">
        <f>+X24</f>
        <v>384.28999999999996</v>
      </c>
      <c r="E24" s="103">
        <f>+$Y$20</f>
        <v>-273.16353971232019</v>
      </c>
      <c r="F24" s="35">
        <f>+D24-C24</f>
        <v>116.5</v>
      </c>
      <c r="G24" s="36">
        <f>ROUND(+F24/C24,4)</f>
        <v>0.435</v>
      </c>
      <c r="H24" s="35">
        <f>ROUND($A24*$S$10,2)</f>
        <v>315.02999999999997</v>
      </c>
      <c r="I24" s="35">
        <f>ROUND($A24*$S$11,2)</f>
        <v>0</v>
      </c>
      <c r="J24" s="35">
        <f>+$S$12</f>
        <v>39.993746091307067</v>
      </c>
      <c r="K24" s="38">
        <f>+C24-E24+H24+I24+J24</f>
        <v>895.9772858036273</v>
      </c>
      <c r="L24" s="35">
        <f>+D24+H24+I24+J24</f>
        <v>739.31374609130705</v>
      </c>
      <c r="M24" s="36">
        <f>ROUND((L24-K24)/K24,4)</f>
        <v>-0.1749</v>
      </c>
      <c r="R24" s="37">
        <f>+$R$20</f>
        <v>40</v>
      </c>
      <c r="S24" s="37">
        <f>ROUND($S$18*$A24,2)</f>
        <v>227.79</v>
      </c>
      <c r="T24" s="37">
        <f>SUM(R24:S24)</f>
        <v>267.78999999999996</v>
      </c>
      <c r="V24" s="37">
        <f>+$V$20</f>
        <v>165</v>
      </c>
      <c r="W24" s="37">
        <f>ROUND($W$18*$A24,2)</f>
        <v>219.29</v>
      </c>
      <c r="X24" s="37">
        <f>SUM(V24:W24)</f>
        <v>384.28999999999996</v>
      </c>
    </row>
    <row r="25" spans="1:25" x14ac:dyDescent="0.25">
      <c r="A25" s="56"/>
      <c r="C25" s="34"/>
      <c r="D25" s="34"/>
      <c r="E25" s="103"/>
      <c r="K25" s="101"/>
      <c r="L25" s="34"/>
      <c r="M25" s="34"/>
    </row>
    <row r="26" spans="1:25" x14ac:dyDescent="0.25">
      <c r="A26" s="56">
        <v>500</v>
      </c>
      <c r="C26" s="38">
        <f>+T26</f>
        <v>1178.95</v>
      </c>
      <c r="D26" s="38">
        <f>+X26</f>
        <v>1261.45</v>
      </c>
      <c r="E26" s="103">
        <f>+$Y$20</f>
        <v>-273.16353971232019</v>
      </c>
      <c r="F26" s="35">
        <f>+D26-C26</f>
        <v>82.5</v>
      </c>
      <c r="G26" s="36">
        <f>ROUND(+F26/C26,4)</f>
        <v>7.0000000000000007E-2</v>
      </c>
      <c r="H26" s="35">
        <f>ROUND($A26*$S$10,2)</f>
        <v>1575.17</v>
      </c>
      <c r="I26" s="35">
        <f>ROUND($A26*$S$11,2)</f>
        <v>0</v>
      </c>
      <c r="J26" s="35">
        <f>+$S$12</f>
        <v>39.993746091307067</v>
      </c>
      <c r="K26" s="38">
        <f>+C26-E26+H26+I26+J26</f>
        <v>3067.2772858036274</v>
      </c>
      <c r="L26" s="35">
        <f>+D26+H26+I26+J26</f>
        <v>2876.6137460913069</v>
      </c>
      <c r="M26" s="36">
        <f>ROUND((L26-K26)/K26,4)</f>
        <v>-6.2199999999999998E-2</v>
      </c>
      <c r="R26" s="37">
        <f>+$R$20</f>
        <v>40</v>
      </c>
      <c r="S26" s="37">
        <f>ROUND($S$18*$A26,2)</f>
        <v>1138.95</v>
      </c>
      <c r="T26" s="37">
        <f>SUM(R26:S26)</f>
        <v>1178.95</v>
      </c>
      <c r="V26" s="37">
        <f>+$V$20</f>
        <v>165</v>
      </c>
      <c r="W26" s="37">
        <f>ROUND($W$18*$A26,2)</f>
        <v>1096.45</v>
      </c>
      <c r="X26" s="37">
        <f>SUM(V26:W26)</f>
        <v>1261.45</v>
      </c>
    </row>
    <row r="27" spans="1:25" x14ac:dyDescent="0.25">
      <c r="A27" s="56"/>
      <c r="C27" s="34"/>
      <c r="D27" s="34"/>
      <c r="E27" s="103"/>
      <c r="K27" s="101"/>
      <c r="L27" s="34"/>
      <c r="M27" s="34"/>
    </row>
    <row r="28" spans="1:25" x14ac:dyDescent="0.25">
      <c r="A28" s="56">
        <v>1000</v>
      </c>
      <c r="C28" s="35">
        <f>+T28</f>
        <v>2317.9</v>
      </c>
      <c r="D28" s="35">
        <f>+X28</f>
        <v>2357.9</v>
      </c>
      <c r="E28" s="103">
        <f>+$Y$20</f>
        <v>-273.16353971232019</v>
      </c>
      <c r="F28" s="35">
        <f>+D28-C28</f>
        <v>40</v>
      </c>
      <c r="G28" s="36">
        <f>ROUND(+F28/C28,4)</f>
        <v>1.7299999999999999E-2</v>
      </c>
      <c r="H28" s="35">
        <f>ROUND($A28*$S$10,2)</f>
        <v>3150.34</v>
      </c>
      <c r="I28" s="35">
        <f>ROUND($A28*$S$11,2)</f>
        <v>0</v>
      </c>
      <c r="J28" s="35">
        <f>+$S$12</f>
        <v>39.993746091307067</v>
      </c>
      <c r="K28" s="38">
        <f>+C28-E28+H28+I28+J28</f>
        <v>5781.3972858036277</v>
      </c>
      <c r="L28" s="35">
        <f>+D28+H28+I28+J28</f>
        <v>5548.2337460913068</v>
      </c>
      <c r="M28" s="36">
        <f>ROUND((L28-K28)/K28,4)</f>
        <v>-4.0300000000000002E-2</v>
      </c>
      <c r="R28" s="37">
        <f>+$R$20</f>
        <v>40</v>
      </c>
      <c r="S28" s="37">
        <f>ROUND($S$18*$A28,2)</f>
        <v>2277.9</v>
      </c>
      <c r="T28" s="37">
        <f>SUM(R28:S28)</f>
        <v>2317.9</v>
      </c>
      <c r="V28" s="37">
        <f>+$V$20</f>
        <v>165</v>
      </c>
      <c r="W28" s="37">
        <f>ROUND($W$18*$A28,2)</f>
        <v>2192.9</v>
      </c>
      <c r="X28" s="37">
        <f>SUM(V28:W28)</f>
        <v>2357.9</v>
      </c>
    </row>
    <row r="29" spans="1:25" x14ac:dyDescent="0.25">
      <c r="A29" s="56"/>
      <c r="C29" s="34"/>
      <c r="D29" s="34"/>
      <c r="E29" s="103"/>
      <c r="K29" s="101"/>
      <c r="L29" s="34"/>
      <c r="M29" s="34"/>
    </row>
    <row r="30" spans="1:25" x14ac:dyDescent="0.25">
      <c r="A30" s="56">
        <v>2500</v>
      </c>
      <c r="C30" s="35">
        <f>+T30</f>
        <v>5734.75</v>
      </c>
      <c r="D30" s="35">
        <f>+X30</f>
        <v>5647.25</v>
      </c>
      <c r="E30" s="103">
        <f>+$Y$20</f>
        <v>-273.16353971232019</v>
      </c>
      <c r="F30" s="35">
        <f>+D30-C30</f>
        <v>-87.5</v>
      </c>
      <c r="G30" s="36">
        <f>ROUND(+F30/C30,4)</f>
        <v>-1.5299999999999999E-2</v>
      </c>
      <c r="H30" s="35">
        <f>ROUND($A30*$S$10,2)</f>
        <v>7875.84</v>
      </c>
      <c r="I30" s="35">
        <f>ROUND($A30*$S$11,2)</f>
        <v>0</v>
      </c>
      <c r="J30" s="35">
        <f>+$S$12</f>
        <v>39.993746091307067</v>
      </c>
      <c r="K30" s="38">
        <f>+C30-E30+H30+I30+J30</f>
        <v>13923.747285803629</v>
      </c>
      <c r="L30" s="35">
        <f>+D30+H30+I30+J30</f>
        <v>13563.083746091308</v>
      </c>
      <c r="M30" s="36">
        <f>ROUND((L30-K30)/K30,4)</f>
        <v>-2.5899999999999999E-2</v>
      </c>
      <c r="R30" s="37">
        <f>+$R$20</f>
        <v>40</v>
      </c>
      <c r="S30" s="37">
        <f>ROUND($S$18*$A30,2)</f>
        <v>5694.75</v>
      </c>
      <c r="T30" s="37">
        <f>SUM(R30:S30)</f>
        <v>5734.75</v>
      </c>
      <c r="V30" s="37">
        <f>+$V$20</f>
        <v>165</v>
      </c>
      <c r="W30" s="37">
        <f>ROUND($W$18*$A30,2)</f>
        <v>5482.25</v>
      </c>
      <c r="X30" s="37">
        <f>SUM(V30:W30)</f>
        <v>5647.25</v>
      </c>
    </row>
    <row r="31" spans="1:25" x14ac:dyDescent="0.25">
      <c r="A31" s="56"/>
      <c r="C31" s="34"/>
      <c r="D31" s="34"/>
      <c r="E31" s="103"/>
      <c r="K31" s="101"/>
      <c r="L31" s="34"/>
      <c r="M31" s="34"/>
    </row>
    <row r="32" spans="1:25" x14ac:dyDescent="0.25">
      <c r="A32" s="56">
        <v>5000</v>
      </c>
      <c r="C32" s="35">
        <f>+T32</f>
        <v>11429.5</v>
      </c>
      <c r="D32" s="35">
        <f>+X32</f>
        <v>11129.5</v>
      </c>
      <c r="E32" s="103">
        <f>+$Y$20</f>
        <v>-273.16353971232019</v>
      </c>
      <c r="F32" s="35">
        <f>+D32-C32</f>
        <v>-300</v>
      </c>
      <c r="G32" s="36">
        <f>ROUND(+F32/C32,4)</f>
        <v>-2.6200000000000001E-2</v>
      </c>
      <c r="H32" s="35">
        <f>ROUND($A32*$S$10,2)</f>
        <v>15751.69</v>
      </c>
      <c r="I32" s="35">
        <f>ROUND($A32*$S$11,2)</f>
        <v>0</v>
      </c>
      <c r="J32" s="35">
        <f>+$S$12</f>
        <v>39.993746091307067</v>
      </c>
      <c r="K32" s="38">
        <f>+C32-E32+H32+I32+J32</f>
        <v>27494.347285803626</v>
      </c>
      <c r="L32" s="35">
        <f>+D32+H32+I32+J32</f>
        <v>26921.183746091308</v>
      </c>
      <c r="M32" s="36">
        <f>ROUND((L32-K32)/K32,4)</f>
        <v>-2.0799999999999999E-2</v>
      </c>
      <c r="R32" s="37">
        <f>+$R$20</f>
        <v>40</v>
      </c>
      <c r="S32" s="37">
        <f>ROUND($S$18*$A32,2)</f>
        <v>11389.5</v>
      </c>
      <c r="T32" s="37">
        <f>SUM(R32:S32)</f>
        <v>11429.5</v>
      </c>
      <c r="V32" s="37">
        <f>+$V$20</f>
        <v>165</v>
      </c>
      <c r="W32" s="37">
        <f>ROUND($W$18*$A32,2)</f>
        <v>10964.5</v>
      </c>
      <c r="X32" s="37">
        <f>SUM(V32:W32)</f>
        <v>11129.5</v>
      </c>
    </row>
    <row r="33" spans="1:24" x14ac:dyDescent="0.25">
      <c r="A33" s="56"/>
      <c r="C33" s="34"/>
      <c r="D33" s="34"/>
      <c r="E33" s="103"/>
      <c r="K33" s="101"/>
      <c r="L33" s="34"/>
      <c r="M33" s="34"/>
    </row>
    <row r="34" spans="1:24" x14ac:dyDescent="0.25">
      <c r="A34" s="56">
        <v>7500</v>
      </c>
      <c r="C34" s="35">
        <f>+T34</f>
        <v>17124.25</v>
      </c>
      <c r="D34" s="35">
        <f>+X34</f>
        <v>16611.75</v>
      </c>
      <c r="E34" s="103">
        <f>+$Y$20</f>
        <v>-273.16353971232019</v>
      </c>
      <c r="F34" s="35">
        <f>+D34-C34</f>
        <v>-512.5</v>
      </c>
      <c r="G34" s="36">
        <f>ROUND(+F34/C34,4)</f>
        <v>-2.9899999999999999E-2</v>
      </c>
      <c r="H34" s="35">
        <f>ROUND($A34*$S$10,2)</f>
        <v>23627.53</v>
      </c>
      <c r="I34" s="35">
        <f>ROUND($A34*$S$11,2)</f>
        <v>0</v>
      </c>
      <c r="J34" s="35">
        <f>+$S$12</f>
        <v>39.993746091307067</v>
      </c>
      <c r="K34" s="38">
        <f>+C34-E34+H34+I34+J34</f>
        <v>41064.937285803622</v>
      </c>
      <c r="L34" s="35">
        <f>+D34+H34+I34+J34</f>
        <v>40279.273746091305</v>
      </c>
      <c r="M34" s="36">
        <f>ROUND((L34-K34)/K34,4)</f>
        <v>-1.9099999999999999E-2</v>
      </c>
      <c r="R34" s="37">
        <f>+$R$20</f>
        <v>40</v>
      </c>
      <c r="S34" s="37">
        <f>ROUND($S$18*$A34,2)</f>
        <v>17084.25</v>
      </c>
      <c r="T34" s="37">
        <f>SUM(R34:S34)</f>
        <v>17124.25</v>
      </c>
      <c r="V34" s="37">
        <f>+$V$20</f>
        <v>165</v>
      </c>
      <c r="W34" s="37">
        <f>ROUND($W$18*$A34,2)</f>
        <v>16446.75</v>
      </c>
      <c r="X34" s="37">
        <f>SUM(V34:W34)</f>
        <v>16611.75</v>
      </c>
    </row>
    <row r="35" spans="1:24" x14ac:dyDescent="0.25">
      <c r="K35" s="34"/>
      <c r="L35" s="34"/>
      <c r="M35" s="34"/>
    </row>
    <row r="36" spans="1:24" x14ac:dyDescent="0.25">
      <c r="A36" s="33" t="s">
        <v>102</v>
      </c>
      <c r="C36" s="55"/>
      <c r="D36" s="56"/>
      <c r="E36" s="56"/>
      <c r="K36" s="35"/>
      <c r="L36" s="35"/>
      <c r="M36" s="36"/>
    </row>
    <row r="37" spans="1:24" x14ac:dyDescent="0.25">
      <c r="A37" s="59" t="str">
        <f>("Average usage = "&amp;INPUT!E17&amp;" Mcf per month")</f>
        <v>Average usage = 609.4 Mcf per month</v>
      </c>
    </row>
    <row r="38" spans="1:24" x14ac:dyDescent="0.25">
      <c r="A38" s="61" t="s">
        <v>103</v>
      </c>
    </row>
    <row r="39" spans="1:24" x14ac:dyDescent="0.25">
      <c r="A39" s="77" t="str">
        <f>+'Rate Case Constants'!$C$26</f>
        <v>Calculations may vary from other schedules due to rounding</v>
      </c>
    </row>
  </sheetData>
  <mergeCells count="5"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39"/>
  <sheetViews>
    <sheetView view="pageBreakPreview" topLeftCell="A19" zoomScale="90" zoomScaleNormal="100" zoomScaleSheetLayoutView="90" workbookViewId="0">
      <selection activeCell="A22" sqref="A22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7" width="12" style="33" customWidth="1"/>
    <col min="8" max="8" width="12.109375" style="33" bestFit="1" customWidth="1"/>
    <col min="9" max="13" width="12" style="33" customWidth="1"/>
    <col min="14" max="17" width="3.109375" style="33" customWidth="1"/>
    <col min="18" max="18" width="9.109375" style="33"/>
    <col min="19" max="19" width="13.33203125" style="33" bestFit="1" customWidth="1"/>
    <col min="20" max="20" width="11.5546875" style="33" bestFit="1" customWidth="1"/>
    <col min="21" max="22" width="9.109375" style="33"/>
    <col min="23" max="24" width="11.5546875" style="33" bestFit="1" customWidth="1"/>
    <col min="25" max="16384" width="9.109375" style="33"/>
  </cols>
  <sheetData>
    <row r="1" spans="1:25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5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5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25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25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5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25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25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Constants'!I12</f>
        <v>PAGE 5 OF 11</v>
      </c>
    </row>
    <row r="9" spans="1:25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25" x14ac:dyDescent="0.2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118"/>
      <c r="R10" s="25" t="s">
        <v>34</v>
      </c>
      <c r="S10" s="21">
        <f>+INPUT!$H$42</f>
        <v>3.1503372321092358</v>
      </c>
      <c r="T10" s="34"/>
      <c r="U10" s="34"/>
      <c r="V10" s="34"/>
      <c r="W10" s="34"/>
      <c r="X10" s="34"/>
      <c r="Y10" s="34"/>
    </row>
    <row r="11" spans="1:25" x14ac:dyDescent="0.25">
      <c r="A11" s="113" t="s">
        <v>57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+INPUT!$I$42</f>
        <v>0</v>
      </c>
      <c r="T11" s="16"/>
      <c r="U11" s="16"/>
      <c r="V11" s="22"/>
      <c r="W11" s="16"/>
      <c r="X11" s="16"/>
      <c r="Y11" s="34"/>
    </row>
    <row r="12" spans="1:25" x14ac:dyDescent="0.25">
      <c r="A12" s="16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+INPUT!$L$42</f>
        <v>39.993746091307067</v>
      </c>
      <c r="T12" s="16"/>
      <c r="U12" s="16"/>
      <c r="V12" s="16"/>
      <c r="W12" s="16"/>
      <c r="X12" s="16"/>
      <c r="Y12" s="34"/>
    </row>
    <row r="13" spans="1:25" x14ac:dyDescent="0.25">
      <c r="A13" s="16"/>
      <c r="B13" s="16"/>
      <c r="C13" s="17" t="s">
        <v>84</v>
      </c>
      <c r="D13" s="18" t="s">
        <v>92</v>
      </c>
      <c r="E13" s="18" t="s">
        <v>85</v>
      </c>
      <c r="F13" s="18" t="s">
        <v>86</v>
      </c>
      <c r="G13" s="17" t="s">
        <v>87</v>
      </c>
      <c r="H13" s="17" t="s">
        <v>88</v>
      </c>
      <c r="I13" s="17" t="s">
        <v>93</v>
      </c>
      <c r="J13" s="18" t="s">
        <v>89</v>
      </c>
      <c r="K13" s="17" t="s">
        <v>90</v>
      </c>
      <c r="L13" s="17" t="s">
        <v>91</v>
      </c>
      <c r="M13" s="17" t="s">
        <v>136</v>
      </c>
      <c r="R13" s="16"/>
      <c r="S13" s="16"/>
      <c r="T13" s="16"/>
      <c r="U13" s="16"/>
      <c r="V13" s="16"/>
      <c r="W13" s="16"/>
      <c r="X13" s="16"/>
      <c r="Y13" s="34"/>
    </row>
    <row r="14" spans="1:25" x14ac:dyDescent="0.25">
      <c r="A14" s="34"/>
      <c r="B14" s="34"/>
      <c r="C14" s="79" t="s">
        <v>112</v>
      </c>
      <c r="D14" s="79" t="s">
        <v>112</v>
      </c>
      <c r="E14" s="79" t="s">
        <v>35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34"/>
      <c r="V14" s="23" t="s">
        <v>25</v>
      </c>
      <c r="W14" s="23"/>
      <c r="X14" s="23"/>
      <c r="Y14" s="34"/>
    </row>
    <row r="15" spans="1:25" x14ac:dyDescent="0.25">
      <c r="A15" s="34"/>
      <c r="B15" s="34"/>
      <c r="C15" s="17" t="s">
        <v>21</v>
      </c>
      <c r="D15" s="17" t="s">
        <v>27</v>
      </c>
      <c r="E15" s="17" t="s">
        <v>135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8"/>
      <c r="U15" s="34"/>
      <c r="V15" s="18" t="s">
        <v>37</v>
      </c>
      <c r="W15" s="17"/>
      <c r="X15" s="18"/>
      <c r="Y15" s="34"/>
    </row>
    <row r="16" spans="1:25" x14ac:dyDescent="0.25">
      <c r="A16" s="17"/>
      <c r="B16" s="17"/>
      <c r="C16" s="17" t="s">
        <v>29</v>
      </c>
      <c r="D16" s="17" t="s">
        <v>29</v>
      </c>
      <c r="E16" s="17" t="s">
        <v>133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113</v>
      </c>
      <c r="T16" s="18" t="s">
        <v>26</v>
      </c>
      <c r="U16" s="34"/>
      <c r="V16" s="18" t="s">
        <v>38</v>
      </c>
      <c r="W16" s="17" t="s">
        <v>113</v>
      </c>
      <c r="X16" s="18" t="s">
        <v>26</v>
      </c>
      <c r="Y16" s="34" t="s">
        <v>137</v>
      </c>
    </row>
    <row r="17" spans="1:25" x14ac:dyDescent="0.25">
      <c r="A17" s="17" t="s">
        <v>36</v>
      </c>
      <c r="B17" s="17"/>
      <c r="C17" s="17"/>
      <c r="D17" s="17"/>
      <c r="E17" s="17"/>
      <c r="F17" s="17" t="s">
        <v>32</v>
      </c>
      <c r="G17" s="18" t="s">
        <v>33</v>
      </c>
      <c r="H17" s="19"/>
      <c r="I17" s="19"/>
      <c r="J17" s="20"/>
      <c r="K17" s="17" t="s">
        <v>32</v>
      </c>
      <c r="L17" s="17" t="s">
        <v>32</v>
      </c>
      <c r="M17" s="18" t="s">
        <v>33</v>
      </c>
      <c r="R17" s="39" t="s">
        <v>41</v>
      </c>
      <c r="S17" s="40" t="s">
        <v>41</v>
      </c>
      <c r="T17" s="39" t="s">
        <v>29</v>
      </c>
      <c r="U17" s="34"/>
      <c r="V17" s="39" t="s">
        <v>41</v>
      </c>
      <c r="W17" s="40" t="s">
        <v>41</v>
      </c>
      <c r="X17" s="39" t="s">
        <v>29</v>
      </c>
      <c r="Y17" s="34" t="s">
        <v>134</v>
      </c>
    </row>
    <row r="18" spans="1:25" x14ac:dyDescent="0.25">
      <c r="A18" s="100"/>
      <c r="B18" s="100"/>
      <c r="C18" s="100"/>
      <c r="D18" s="100"/>
      <c r="E18" s="100"/>
      <c r="F18" s="100" t="str">
        <f>("[ "&amp;D13&amp;" + "&amp;E13&amp;" - "&amp;C13&amp;"]")</f>
        <v>[ B + C - A]</v>
      </c>
      <c r="G18" s="100" t="str">
        <f>("[ "&amp;F13&amp;" / "&amp;C13&amp;" ]")</f>
        <v>[ D / A ]</v>
      </c>
      <c r="H18" s="108"/>
      <c r="I18" s="108"/>
      <c r="J18" s="108"/>
      <c r="K18" s="100" t="str">
        <f>("["&amp;C13&amp;"-"&amp;E13&amp;"+"&amp;$H$13&amp;"+"&amp;$I$13&amp;"+"&amp;$J$13&amp;"]")</f>
        <v>[A-C+F+G+H]</v>
      </c>
      <c r="L18" s="100" t="str">
        <f>("["&amp;D13&amp;"+"&amp;$H$13&amp;"+"&amp;$I$13&amp;"+"&amp;$J$13&amp;"]")</f>
        <v>[B+F+G+H]</v>
      </c>
      <c r="M18" s="100" t="str">
        <f>("[("&amp;L13&amp;" - "&amp;K13&amp;") / "&amp;K13&amp;"]")</f>
        <v>[(J - I) / I]</v>
      </c>
      <c r="R18" s="18"/>
      <c r="S18" s="24">
        <f>+INPUT!$E$9</f>
        <v>2.2778999999999998</v>
      </c>
      <c r="T18" s="18"/>
      <c r="U18" s="34"/>
      <c r="V18" s="18"/>
      <c r="W18" s="24">
        <f>+INPUT!$E$27</f>
        <v>2.1928999999999998</v>
      </c>
      <c r="X18" s="18"/>
      <c r="Y18" s="34"/>
    </row>
    <row r="19" spans="1:25" x14ac:dyDescent="0.25">
      <c r="A19" s="17"/>
      <c r="B19" s="17"/>
      <c r="C19" s="17"/>
      <c r="D19" s="17"/>
      <c r="E19" s="17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8"/>
      <c r="U19" s="34"/>
      <c r="V19" s="18"/>
      <c r="W19" s="18" t="s">
        <v>114</v>
      </c>
      <c r="X19" s="18"/>
      <c r="Y19" s="34"/>
    </row>
    <row r="20" spans="1:25" x14ac:dyDescent="0.25">
      <c r="A20" s="56">
        <v>25</v>
      </c>
      <c r="C20" s="35">
        <f>+T20</f>
        <v>236.95</v>
      </c>
      <c r="D20" s="35">
        <f>+X20</f>
        <v>804.82</v>
      </c>
      <c r="E20" s="103">
        <f>+$Y$20</f>
        <v>-273.16353971232019</v>
      </c>
      <c r="F20" s="35">
        <f>+D20+E20-C20</f>
        <v>294.70646028767993</v>
      </c>
      <c r="G20" s="36">
        <f>ROUND(+F20/C20,4)</f>
        <v>1.2437</v>
      </c>
      <c r="H20" s="35">
        <f>ROUND($A20*$S$10,2)</f>
        <v>78.760000000000005</v>
      </c>
      <c r="I20" s="35">
        <f>ROUND($A20*$S$11,2)</f>
        <v>0</v>
      </c>
      <c r="J20" s="35">
        <f>+$S$12</f>
        <v>39.993746091307067</v>
      </c>
      <c r="K20" s="35">
        <f>+C20-E20+H20+I20+J20</f>
        <v>628.86728580362728</v>
      </c>
      <c r="L20" s="35">
        <f>+D20+H20+I20+J20</f>
        <v>923.57374609130716</v>
      </c>
      <c r="M20" s="36">
        <f>ROUND((L20-K20)/K20,4)</f>
        <v>0.46860000000000002</v>
      </c>
      <c r="R20" s="37">
        <f>+INPUT!$E$7</f>
        <v>180</v>
      </c>
      <c r="S20" s="37">
        <f>ROUND($S$18*$A20,2)</f>
        <v>56.95</v>
      </c>
      <c r="T20" s="37">
        <f>SUM(R20:S20)</f>
        <v>236.95</v>
      </c>
      <c r="V20" s="37">
        <f>+INPUT!$E$25</f>
        <v>750</v>
      </c>
      <c r="W20" s="37">
        <f>ROUND($W$18*$A20,2)</f>
        <v>54.82</v>
      </c>
      <c r="X20" s="37">
        <f>SUM(V20:W20)</f>
        <v>804.82</v>
      </c>
      <c r="Y20" s="127">
        <f>+(127900-1001477)/3198</f>
        <v>-273.16353971232019</v>
      </c>
    </row>
    <row r="21" spans="1:25" x14ac:dyDescent="0.25">
      <c r="A21" s="56"/>
      <c r="C21" s="34"/>
      <c r="D21" s="34"/>
      <c r="E21" s="103"/>
      <c r="K21" s="34"/>
      <c r="L21" s="34"/>
      <c r="M21" s="34"/>
    </row>
    <row r="22" spans="1:25" x14ac:dyDescent="0.25">
      <c r="A22" s="56">
        <v>50</v>
      </c>
      <c r="C22" s="35">
        <f>+T22</f>
        <v>293.89999999999998</v>
      </c>
      <c r="D22" s="35">
        <f>+X22</f>
        <v>859.65</v>
      </c>
      <c r="E22" s="103">
        <f>+$Y$20</f>
        <v>-273.16353971232019</v>
      </c>
      <c r="F22" s="38">
        <f>+D22+E22-C22</f>
        <v>292.58646028767987</v>
      </c>
      <c r="G22" s="86">
        <f>ROUND(+F22/C22,4)</f>
        <v>0.99550000000000005</v>
      </c>
      <c r="H22" s="38">
        <f>$A22*$S$10</f>
        <v>157.5168616054618</v>
      </c>
      <c r="I22" s="38">
        <f>$A22*$S$11</f>
        <v>0</v>
      </c>
      <c r="J22" s="38">
        <f>+$S$12</f>
        <v>39.993746091307067</v>
      </c>
      <c r="K22" s="38">
        <f>+C22-E22+H22+I22+J22</f>
        <v>764.57414740908905</v>
      </c>
      <c r="L22" s="38">
        <f>+D22+H22+I22+J22</f>
        <v>1057.1606076967689</v>
      </c>
      <c r="M22" s="86">
        <f>ROUND((L22-K22)/K22,4)</f>
        <v>0.38269999999999998</v>
      </c>
      <c r="R22" s="37">
        <f>+$R$20</f>
        <v>180</v>
      </c>
      <c r="S22" s="37">
        <f>ROUND($S$18*$A22,2)</f>
        <v>113.9</v>
      </c>
      <c r="T22" s="37">
        <f>SUM(R22:S22)</f>
        <v>293.89999999999998</v>
      </c>
      <c r="V22" s="37">
        <f>+$V$20</f>
        <v>750</v>
      </c>
      <c r="W22" s="37">
        <f>ROUND($W$18*$A22,2)</f>
        <v>109.65</v>
      </c>
      <c r="X22" s="37">
        <f>SUM(V22:W22)</f>
        <v>859.65</v>
      </c>
      <c r="Y22" s="85"/>
    </row>
    <row r="23" spans="1:25" x14ac:dyDescent="0.25">
      <c r="A23" s="56"/>
      <c r="C23" s="35"/>
      <c r="D23" s="35"/>
      <c r="E23" s="103"/>
      <c r="K23" s="35"/>
      <c r="L23" s="35"/>
      <c r="M23" s="36"/>
    </row>
    <row r="24" spans="1:25" x14ac:dyDescent="0.25">
      <c r="A24" s="56">
        <v>100</v>
      </c>
      <c r="C24" s="35">
        <f>+T24</f>
        <v>407.78999999999996</v>
      </c>
      <c r="D24" s="35">
        <f>+X24</f>
        <v>969.29</v>
      </c>
      <c r="E24" s="103">
        <f>+$Y$20</f>
        <v>-273.16353971232019</v>
      </c>
      <c r="F24" s="35">
        <f>+D24-C24</f>
        <v>561.5</v>
      </c>
      <c r="G24" s="36">
        <f>ROUND(+F24/C24,4)</f>
        <v>1.3769</v>
      </c>
      <c r="H24" s="35">
        <f>ROUND($A24*$S$10,2)</f>
        <v>315.02999999999997</v>
      </c>
      <c r="I24" s="35">
        <f>ROUND($A24*$S$11,2)</f>
        <v>0</v>
      </c>
      <c r="J24" s="35">
        <f>+$S$12</f>
        <v>39.993746091307067</v>
      </c>
      <c r="K24" s="38">
        <f>+C24-E24+H24+I24+J24</f>
        <v>1035.9772858036272</v>
      </c>
      <c r="L24" s="35">
        <f>+D24+H24+I24+J24</f>
        <v>1324.3137460913069</v>
      </c>
      <c r="M24" s="36">
        <f>ROUND((L24-K24)/K24,4)</f>
        <v>0.27829999999999999</v>
      </c>
      <c r="R24" s="37">
        <f>+$R$20</f>
        <v>180</v>
      </c>
      <c r="S24" s="37">
        <f>ROUND($S$18*$A24,2)</f>
        <v>227.79</v>
      </c>
      <c r="T24" s="37">
        <f>SUM(R24:S24)</f>
        <v>407.78999999999996</v>
      </c>
      <c r="V24" s="37">
        <f>+$V$20</f>
        <v>750</v>
      </c>
      <c r="W24" s="37">
        <f>ROUND($W$18*$A24,2)</f>
        <v>219.29</v>
      </c>
      <c r="X24" s="37">
        <f>SUM(V24:W24)</f>
        <v>969.29</v>
      </c>
    </row>
    <row r="25" spans="1:25" x14ac:dyDescent="0.25">
      <c r="A25" s="56"/>
      <c r="C25" s="34"/>
      <c r="D25" s="34"/>
      <c r="E25" s="103"/>
      <c r="K25" s="101"/>
      <c r="L25" s="34"/>
      <c r="M25" s="34"/>
    </row>
    <row r="26" spans="1:25" x14ac:dyDescent="0.25">
      <c r="A26" s="56">
        <v>500</v>
      </c>
      <c r="C26" s="38">
        <f>+T26</f>
        <v>1318.95</v>
      </c>
      <c r="D26" s="38">
        <f>+X26</f>
        <v>1846.45</v>
      </c>
      <c r="E26" s="103">
        <f>+$Y$20</f>
        <v>-273.16353971232019</v>
      </c>
      <c r="F26" s="35">
        <f>+D26-C26</f>
        <v>527.5</v>
      </c>
      <c r="G26" s="36">
        <f>ROUND(+F26/C26,4)</f>
        <v>0.39989999999999998</v>
      </c>
      <c r="H26" s="35">
        <f>ROUND($A26*$S$10,2)</f>
        <v>1575.17</v>
      </c>
      <c r="I26" s="35">
        <f>ROUND($A26*$S$11,2)</f>
        <v>0</v>
      </c>
      <c r="J26" s="35">
        <f>+$S$12</f>
        <v>39.993746091307067</v>
      </c>
      <c r="K26" s="38">
        <f>+C26-E26+H26+I26+J26</f>
        <v>3207.2772858036274</v>
      </c>
      <c r="L26" s="35">
        <f>+D26+H26+I26+J26</f>
        <v>3461.6137460913069</v>
      </c>
      <c r="M26" s="36">
        <f>ROUND((L26-K26)/K26,4)</f>
        <v>7.9299999999999995E-2</v>
      </c>
      <c r="R26" s="37">
        <f>+$R$20</f>
        <v>180</v>
      </c>
      <c r="S26" s="37">
        <f>ROUND($S$18*$A26,2)</f>
        <v>1138.95</v>
      </c>
      <c r="T26" s="37">
        <f>SUM(R26:S26)</f>
        <v>1318.95</v>
      </c>
      <c r="V26" s="37">
        <f>+$V$20</f>
        <v>750</v>
      </c>
      <c r="W26" s="37">
        <f>ROUND($W$18*$A26,2)</f>
        <v>1096.45</v>
      </c>
      <c r="X26" s="37">
        <f>SUM(V26:W26)</f>
        <v>1846.45</v>
      </c>
    </row>
    <row r="27" spans="1:25" x14ac:dyDescent="0.25">
      <c r="A27" s="56"/>
      <c r="C27" s="34"/>
      <c r="D27" s="34"/>
      <c r="E27" s="103"/>
      <c r="K27" s="101"/>
      <c r="L27" s="34"/>
      <c r="M27" s="34"/>
    </row>
    <row r="28" spans="1:25" x14ac:dyDescent="0.25">
      <c r="A28" s="56">
        <v>1000</v>
      </c>
      <c r="C28" s="35">
        <f>+T28</f>
        <v>2457.9</v>
      </c>
      <c r="D28" s="35">
        <f>+X28</f>
        <v>2942.9</v>
      </c>
      <c r="E28" s="103">
        <f>+$Y$20</f>
        <v>-273.16353971232019</v>
      </c>
      <c r="F28" s="35">
        <f>+D28-C28</f>
        <v>485</v>
      </c>
      <c r="G28" s="36">
        <f>ROUND(+F28/C28,4)</f>
        <v>0.1973</v>
      </c>
      <c r="H28" s="35">
        <f>ROUND($A28*$S$10,2)</f>
        <v>3150.34</v>
      </c>
      <c r="I28" s="35">
        <f>ROUND($A28*$S$11,2)</f>
        <v>0</v>
      </c>
      <c r="J28" s="35">
        <f>+$S$12</f>
        <v>39.993746091307067</v>
      </c>
      <c r="K28" s="38">
        <f>+C28-E28+H28+I28+J28</f>
        <v>5921.3972858036277</v>
      </c>
      <c r="L28" s="35">
        <f>+D28+H28+I28+J28</f>
        <v>6133.2337460913068</v>
      </c>
      <c r="M28" s="36">
        <f>ROUND((L28-K28)/K28,4)</f>
        <v>3.5799999999999998E-2</v>
      </c>
      <c r="R28" s="37">
        <f>+$R$20</f>
        <v>180</v>
      </c>
      <c r="S28" s="37">
        <f>ROUND($S$18*$A28,2)</f>
        <v>2277.9</v>
      </c>
      <c r="T28" s="37">
        <f>SUM(R28:S28)</f>
        <v>2457.9</v>
      </c>
      <c r="V28" s="37">
        <f>+$V$20</f>
        <v>750</v>
      </c>
      <c r="W28" s="37">
        <f>ROUND($W$18*$A28,2)</f>
        <v>2192.9</v>
      </c>
      <c r="X28" s="37">
        <f>SUM(V28:W28)</f>
        <v>2942.9</v>
      </c>
    </row>
    <row r="29" spans="1:25" x14ac:dyDescent="0.25">
      <c r="A29" s="56"/>
      <c r="C29" s="34"/>
      <c r="D29" s="34"/>
      <c r="E29" s="103"/>
      <c r="K29" s="101"/>
      <c r="L29" s="34"/>
      <c r="M29" s="34"/>
    </row>
    <row r="30" spans="1:25" x14ac:dyDescent="0.25">
      <c r="A30" s="56">
        <v>2500</v>
      </c>
      <c r="C30" s="35">
        <f>+T30</f>
        <v>5874.75</v>
      </c>
      <c r="D30" s="35">
        <f>+X30</f>
        <v>6232.25</v>
      </c>
      <c r="E30" s="103">
        <f>+$Y$20</f>
        <v>-273.16353971232019</v>
      </c>
      <c r="F30" s="35">
        <f>+D30-C30</f>
        <v>357.5</v>
      </c>
      <c r="G30" s="36">
        <f>ROUND(+F30/C30,4)</f>
        <v>6.0900000000000003E-2</v>
      </c>
      <c r="H30" s="35">
        <f>ROUND($A30*$S$10,2)</f>
        <v>7875.84</v>
      </c>
      <c r="I30" s="35">
        <f>ROUND($A30*$S$11,2)</f>
        <v>0</v>
      </c>
      <c r="J30" s="35">
        <f>+$S$12</f>
        <v>39.993746091307067</v>
      </c>
      <c r="K30" s="38">
        <f>+C30-E30+H30+I30+J30</f>
        <v>14063.747285803629</v>
      </c>
      <c r="L30" s="35">
        <f>+D30+H30+I30+J30</f>
        <v>14148.083746091308</v>
      </c>
      <c r="M30" s="36">
        <f>ROUND((L30-K30)/K30,4)</f>
        <v>6.0000000000000001E-3</v>
      </c>
      <c r="R30" s="37">
        <f>+$R$20</f>
        <v>180</v>
      </c>
      <c r="S30" s="37">
        <f>ROUND($S$18*$A30,2)</f>
        <v>5694.75</v>
      </c>
      <c r="T30" s="37">
        <f>SUM(R30:S30)</f>
        <v>5874.75</v>
      </c>
      <c r="V30" s="37">
        <f>+$V$20</f>
        <v>750</v>
      </c>
      <c r="W30" s="37">
        <f>ROUND($W$18*$A30,2)</f>
        <v>5482.25</v>
      </c>
      <c r="X30" s="37">
        <f>SUM(V30:W30)</f>
        <v>6232.25</v>
      </c>
    </row>
    <row r="31" spans="1:25" x14ac:dyDescent="0.25">
      <c r="A31" s="56"/>
      <c r="C31" s="34"/>
      <c r="D31" s="34"/>
      <c r="E31" s="103"/>
      <c r="K31" s="101"/>
      <c r="L31" s="34"/>
      <c r="M31" s="34"/>
    </row>
    <row r="32" spans="1:25" x14ac:dyDescent="0.25">
      <c r="A32" s="56">
        <v>5000</v>
      </c>
      <c r="C32" s="35">
        <f>+T32</f>
        <v>11569.5</v>
      </c>
      <c r="D32" s="35">
        <f>+X32</f>
        <v>11714.5</v>
      </c>
      <c r="E32" s="103">
        <f>+$Y$20</f>
        <v>-273.16353971232019</v>
      </c>
      <c r="F32" s="35">
        <f>+D32-C32</f>
        <v>145</v>
      </c>
      <c r="G32" s="36">
        <f>ROUND(+F32/C32,4)</f>
        <v>1.2500000000000001E-2</v>
      </c>
      <c r="H32" s="35">
        <f>ROUND($A32*$S$10,2)</f>
        <v>15751.69</v>
      </c>
      <c r="I32" s="35">
        <f>ROUND($A32*$S$11,2)</f>
        <v>0</v>
      </c>
      <c r="J32" s="35">
        <f>+$S$12</f>
        <v>39.993746091307067</v>
      </c>
      <c r="K32" s="38">
        <f>+C32-E32+H32+I32+J32</f>
        <v>27634.347285803626</v>
      </c>
      <c r="L32" s="35">
        <f>+D32+H32+I32+J32</f>
        <v>27506.183746091308</v>
      </c>
      <c r="M32" s="36">
        <f>ROUND((L32-K32)/K32,4)</f>
        <v>-4.5999999999999999E-3</v>
      </c>
      <c r="R32" s="37">
        <f>+$R$20</f>
        <v>180</v>
      </c>
      <c r="S32" s="37">
        <f>ROUND($S$18*$A32,2)</f>
        <v>11389.5</v>
      </c>
      <c r="T32" s="37">
        <f>SUM(R32:S32)</f>
        <v>11569.5</v>
      </c>
      <c r="V32" s="37">
        <f>+$V$20</f>
        <v>750</v>
      </c>
      <c r="W32" s="37">
        <f>ROUND($W$18*$A32,2)</f>
        <v>10964.5</v>
      </c>
      <c r="X32" s="37">
        <f>SUM(V32:W32)</f>
        <v>11714.5</v>
      </c>
    </row>
    <row r="33" spans="1:24" x14ac:dyDescent="0.25">
      <c r="A33" s="56"/>
      <c r="C33" s="34"/>
      <c r="D33" s="34"/>
      <c r="E33" s="103"/>
      <c r="K33" s="101"/>
      <c r="L33" s="34"/>
      <c r="M33" s="34"/>
    </row>
    <row r="34" spans="1:24" x14ac:dyDescent="0.25">
      <c r="A34" s="56">
        <v>7500</v>
      </c>
      <c r="C34" s="35">
        <f>+T34</f>
        <v>17264.25</v>
      </c>
      <c r="D34" s="35">
        <f>+X34</f>
        <v>17196.75</v>
      </c>
      <c r="E34" s="103">
        <f>+$Y$20</f>
        <v>-273.16353971232019</v>
      </c>
      <c r="F34" s="35">
        <f>+D34-C34</f>
        <v>-67.5</v>
      </c>
      <c r="G34" s="36">
        <f>ROUND(+F34/C34,4)</f>
        <v>-3.8999999999999998E-3</v>
      </c>
      <c r="H34" s="35">
        <f>ROUND($A34*$S$10,2)</f>
        <v>23627.53</v>
      </c>
      <c r="I34" s="35">
        <f>ROUND($A34*$S$11,2)</f>
        <v>0</v>
      </c>
      <c r="J34" s="35">
        <f>+$S$12</f>
        <v>39.993746091307067</v>
      </c>
      <c r="K34" s="38">
        <f>+C34-E34+H34+I34+J34</f>
        <v>41204.937285803622</v>
      </c>
      <c r="L34" s="35">
        <f>+D34+H34+I34+J34</f>
        <v>40864.273746091305</v>
      </c>
      <c r="M34" s="36">
        <f>ROUND((L34-K34)/K34,4)</f>
        <v>-8.3000000000000001E-3</v>
      </c>
      <c r="R34" s="37">
        <f>+$R$20</f>
        <v>180</v>
      </c>
      <c r="S34" s="37">
        <f>ROUND($S$18*$A34,2)</f>
        <v>17084.25</v>
      </c>
      <c r="T34" s="37">
        <f>SUM(R34:S34)</f>
        <v>17264.25</v>
      </c>
      <c r="V34" s="37">
        <f>+$V$20</f>
        <v>750</v>
      </c>
      <c r="W34" s="37">
        <f>ROUND($W$18*$A34,2)</f>
        <v>16446.75</v>
      </c>
      <c r="X34" s="37">
        <f>SUM(V34:W34)</f>
        <v>17196.75</v>
      </c>
    </row>
    <row r="35" spans="1:24" x14ac:dyDescent="0.25">
      <c r="K35" s="34"/>
      <c r="L35" s="34"/>
      <c r="M35" s="34"/>
    </row>
    <row r="36" spans="1:24" x14ac:dyDescent="0.25">
      <c r="A36" s="33" t="s">
        <v>102</v>
      </c>
      <c r="C36" s="55"/>
      <c r="D36" s="56"/>
      <c r="E36" s="56"/>
      <c r="K36" s="35"/>
      <c r="L36" s="35"/>
      <c r="M36" s="36"/>
    </row>
    <row r="37" spans="1:24" x14ac:dyDescent="0.25">
      <c r="A37" s="59" t="str">
        <f>("Average usage = "&amp;INPUT!E17&amp;" Mcf per month")</f>
        <v>Average usage = 609.4 Mcf per month</v>
      </c>
    </row>
    <row r="38" spans="1:24" x14ac:dyDescent="0.25">
      <c r="A38" s="61" t="s">
        <v>103</v>
      </c>
    </row>
    <row r="39" spans="1:24" x14ac:dyDescent="0.25">
      <c r="A39" s="77" t="str">
        <f>+'Rate Case Constants'!$C$26</f>
        <v>Calculations may vary from other schedules due to rounding</v>
      </c>
    </row>
  </sheetData>
  <mergeCells count="5"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B39"/>
  <sheetViews>
    <sheetView view="pageBreakPreview" topLeftCell="A19" zoomScale="90" zoomScaleNormal="100" zoomScaleSheetLayoutView="90" workbookViewId="0">
      <selection activeCell="A30" sqref="A30"/>
    </sheetView>
  </sheetViews>
  <sheetFormatPr defaultColWidth="9.109375" defaultRowHeight="13.2" x14ac:dyDescent="0.25"/>
  <cols>
    <col min="1" max="1" width="9.33203125" style="33" bestFit="1" customWidth="1"/>
    <col min="2" max="2" width="2" style="33" customWidth="1"/>
    <col min="3" max="7" width="12" style="33" customWidth="1"/>
    <col min="8" max="8" width="12.33203125" style="33" bestFit="1" customWidth="1"/>
    <col min="9" max="10" width="12" style="33" customWidth="1"/>
    <col min="11" max="11" width="12.6640625" style="33" customWidth="1"/>
    <col min="12" max="12" width="13.33203125" style="33" customWidth="1"/>
    <col min="13" max="13" width="12" style="33" customWidth="1"/>
    <col min="14" max="17" width="4.33203125" style="33" customWidth="1"/>
    <col min="18" max="18" width="9.33203125" style="33" bestFit="1" customWidth="1"/>
    <col min="19" max="19" width="10.88671875" style="33" bestFit="1" customWidth="1"/>
    <col min="20" max="20" width="10.6640625" style="33" bestFit="1" customWidth="1"/>
    <col min="21" max="21" width="9.109375" style="33"/>
    <col min="22" max="22" width="9.33203125" style="33" bestFit="1" customWidth="1"/>
    <col min="23" max="23" width="10.88671875" style="33" bestFit="1" customWidth="1"/>
    <col min="24" max="24" width="10.6640625" style="33" bestFit="1" customWidth="1"/>
    <col min="25" max="25" width="11.109375" style="33" bestFit="1" customWidth="1"/>
    <col min="26" max="16384" width="9.109375" style="33"/>
  </cols>
  <sheetData>
    <row r="1" spans="1:28" x14ac:dyDescent="0.25">
      <c r="A1" s="147" t="str">
        <f>+'Rate Case Constants'!C9</f>
        <v>LOUISVILLE GAS AND ELECTRIC COMPANY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28" x14ac:dyDescent="0.25">
      <c r="A2" s="147" t="str">
        <f>+'Rate Case Constants'!C10</f>
        <v>CASE NO. 2016-00371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28" x14ac:dyDescent="0.25">
      <c r="A3" s="148" t="str">
        <f>+'Rate Case Constants'!C24</f>
        <v>Typical Gas Bill Comparison under Present &amp; Proposed Rates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28" x14ac:dyDescent="0.25">
      <c r="A4" s="147" t="str">
        <f>+'Rate Case Constants'!C21</f>
        <v>FORECAST PERIOD FOR THE 12 MONTHS ENDED JUNE 30, 2018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28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28" x14ac:dyDescent="0.25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28" x14ac:dyDescent="0.25">
      <c r="A7" s="104" t="str">
        <f>+'Rate Case Constants'!C33</f>
        <v>DATA: ____BASE PERIOD__X___FORECASTED PERIOD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6" t="str">
        <f>+'Rate Case Constants'!C25</f>
        <v>SCHEDULE N (Gas)</v>
      </c>
    </row>
    <row r="8" spans="1:28" x14ac:dyDescent="0.25">
      <c r="A8" s="104" t="str">
        <f>+'Rate Case Constants'!C29</f>
        <v>TYPE OF FILING: __X__ ORIGINAL  _____ UPDATED  _____ REVISED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7" t="str">
        <f>+'Rate Case Constants'!I13</f>
        <v>PAGE 6 OF 11</v>
      </c>
    </row>
    <row r="9" spans="1:28" x14ac:dyDescent="0.25">
      <c r="A9" s="104" t="str">
        <f>+'Rate Case Constants'!C34</f>
        <v>WORKPAPER REFERENCE NO(S):________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6" t="str">
        <f>+'Rate Case Constants'!C36</f>
        <v>WITNESS:   C. M. GARRETT</v>
      </c>
    </row>
    <row r="10" spans="1:28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R10" s="25" t="s">
        <v>34</v>
      </c>
      <c r="S10" s="21">
        <f>+INPUT!$H$43</f>
        <v>1.3145625171124571</v>
      </c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113" t="s">
        <v>58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52"/>
      <c r="O11" s="52"/>
      <c r="P11" s="52"/>
      <c r="Q11" s="52"/>
      <c r="R11" s="53" t="s">
        <v>31</v>
      </c>
      <c r="S11" s="54">
        <f>+INPUT!$I$43</f>
        <v>2.7061048586990506E-2</v>
      </c>
      <c r="T11" s="16"/>
      <c r="U11" s="16"/>
      <c r="V11" s="22"/>
      <c r="W11" s="16"/>
      <c r="X11" s="16"/>
      <c r="Y11" s="34"/>
      <c r="Z11" s="34"/>
      <c r="AA11" s="34"/>
      <c r="AB11" s="34"/>
    </row>
    <row r="12" spans="1:2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R12" s="25" t="s">
        <v>35</v>
      </c>
      <c r="S12" s="64">
        <f>+INPUT!$L$43</f>
        <v>444.08333333333331</v>
      </c>
      <c r="T12" s="16"/>
      <c r="U12" s="16"/>
      <c r="V12" s="16"/>
      <c r="W12" s="16"/>
      <c r="X12" s="16"/>
      <c r="Y12" s="34"/>
      <c r="Z12" s="34"/>
      <c r="AA12" s="34"/>
      <c r="AB12" s="34"/>
    </row>
    <row r="13" spans="1:28" x14ac:dyDescent="0.25">
      <c r="A13" s="16"/>
      <c r="B13" s="16"/>
      <c r="C13" s="17" t="s">
        <v>84</v>
      </c>
      <c r="D13" s="18" t="s">
        <v>92</v>
      </c>
      <c r="E13" s="18" t="s">
        <v>85</v>
      </c>
      <c r="F13" s="18" t="s">
        <v>86</v>
      </c>
      <c r="G13" s="17" t="s">
        <v>87</v>
      </c>
      <c r="H13" s="17" t="s">
        <v>88</v>
      </c>
      <c r="I13" s="17" t="s">
        <v>93</v>
      </c>
      <c r="J13" s="18" t="s">
        <v>89</v>
      </c>
      <c r="K13" s="17" t="s">
        <v>90</v>
      </c>
      <c r="L13" s="17" t="s">
        <v>91</v>
      </c>
      <c r="M13" s="17" t="s">
        <v>136</v>
      </c>
      <c r="R13" s="16"/>
      <c r="S13" s="16"/>
      <c r="T13" s="16"/>
      <c r="U13" s="16"/>
      <c r="V13" s="16"/>
      <c r="W13" s="16"/>
      <c r="X13" s="16"/>
      <c r="Y13" s="34"/>
      <c r="Z13" s="34"/>
      <c r="AA13" s="34"/>
      <c r="AB13" s="34"/>
    </row>
    <row r="14" spans="1:28" x14ac:dyDescent="0.25">
      <c r="A14" s="34"/>
      <c r="B14" s="34"/>
      <c r="C14" s="79" t="s">
        <v>112</v>
      </c>
      <c r="D14" s="79" t="s">
        <v>112</v>
      </c>
      <c r="E14" s="79" t="s">
        <v>35</v>
      </c>
      <c r="F14" s="34"/>
      <c r="G14" s="34"/>
      <c r="H14" s="34"/>
      <c r="I14" s="34"/>
      <c r="J14" s="34"/>
      <c r="K14" s="17" t="s">
        <v>26</v>
      </c>
      <c r="L14" s="17" t="s">
        <v>26</v>
      </c>
      <c r="M14" s="34"/>
      <c r="R14" s="23" t="s">
        <v>0</v>
      </c>
      <c r="S14" s="23"/>
      <c r="T14" s="23"/>
      <c r="U14" s="34"/>
      <c r="V14" s="23" t="s">
        <v>25</v>
      </c>
      <c r="W14" s="23"/>
      <c r="X14" s="23"/>
      <c r="Y14" s="34"/>
      <c r="Z14" s="34"/>
      <c r="AA14" s="34"/>
      <c r="AB14" s="34"/>
    </row>
    <row r="15" spans="1:28" x14ac:dyDescent="0.25">
      <c r="A15" s="34"/>
      <c r="B15" s="34"/>
      <c r="C15" s="17" t="s">
        <v>21</v>
      </c>
      <c r="D15" s="17" t="s">
        <v>27</v>
      </c>
      <c r="E15" s="17" t="s">
        <v>135</v>
      </c>
      <c r="F15" s="17"/>
      <c r="G15" s="17"/>
      <c r="H15" s="145" t="s">
        <v>28</v>
      </c>
      <c r="I15" s="145"/>
      <c r="J15" s="146"/>
      <c r="K15" s="17" t="s">
        <v>21</v>
      </c>
      <c r="L15" s="17" t="s">
        <v>27</v>
      </c>
      <c r="M15" s="17"/>
      <c r="R15" s="18" t="s">
        <v>37</v>
      </c>
      <c r="S15" s="17"/>
      <c r="T15" s="18"/>
      <c r="U15" s="34"/>
      <c r="V15" s="18" t="s">
        <v>37</v>
      </c>
      <c r="W15" s="17"/>
      <c r="X15" s="18"/>
      <c r="Y15" s="34"/>
      <c r="Z15" s="34"/>
      <c r="AA15" s="34"/>
      <c r="AB15" s="34"/>
    </row>
    <row r="16" spans="1:28" x14ac:dyDescent="0.25">
      <c r="A16" s="17"/>
      <c r="B16" s="17"/>
      <c r="C16" s="17" t="s">
        <v>29</v>
      </c>
      <c r="D16" s="17" t="s">
        <v>29</v>
      </c>
      <c r="E16" s="17" t="s">
        <v>133</v>
      </c>
      <c r="F16" s="17" t="s">
        <v>30</v>
      </c>
      <c r="G16" s="17" t="s">
        <v>30</v>
      </c>
      <c r="H16" s="17" t="s">
        <v>34</v>
      </c>
      <c r="I16" s="17" t="s">
        <v>31</v>
      </c>
      <c r="J16" s="17" t="s">
        <v>35</v>
      </c>
      <c r="K16" s="17" t="s">
        <v>29</v>
      </c>
      <c r="L16" s="17" t="s">
        <v>29</v>
      </c>
      <c r="M16" s="17" t="s">
        <v>30</v>
      </c>
      <c r="R16" s="18" t="s">
        <v>38</v>
      </c>
      <c r="S16" s="17" t="s">
        <v>113</v>
      </c>
      <c r="T16" s="18" t="s">
        <v>26</v>
      </c>
      <c r="U16" s="34"/>
      <c r="V16" s="18" t="s">
        <v>38</v>
      </c>
      <c r="W16" s="17" t="s">
        <v>113</v>
      </c>
      <c r="X16" s="18" t="s">
        <v>26</v>
      </c>
      <c r="Y16" s="34" t="s">
        <v>137</v>
      </c>
      <c r="Z16" s="17" t="s">
        <v>39</v>
      </c>
      <c r="AA16" s="17"/>
      <c r="AB16" s="17" t="s">
        <v>40</v>
      </c>
    </row>
    <row r="17" spans="1:28" x14ac:dyDescent="0.25">
      <c r="A17" s="17" t="s">
        <v>36</v>
      </c>
      <c r="B17" s="17"/>
      <c r="C17" s="17"/>
      <c r="D17" s="17"/>
      <c r="E17" s="17"/>
      <c r="F17" s="17" t="s">
        <v>32</v>
      </c>
      <c r="G17" s="18" t="s">
        <v>33</v>
      </c>
      <c r="H17" s="19"/>
      <c r="I17" s="19"/>
      <c r="J17" s="20"/>
      <c r="K17" s="17" t="s">
        <v>32</v>
      </c>
      <c r="L17" s="17" t="s">
        <v>32</v>
      </c>
      <c r="M17" s="18" t="s">
        <v>33</v>
      </c>
      <c r="R17" s="39" t="s">
        <v>41</v>
      </c>
      <c r="S17" s="40" t="s">
        <v>41</v>
      </c>
      <c r="T17" s="39" t="s">
        <v>29</v>
      </c>
      <c r="U17" s="34"/>
      <c r="V17" s="39" t="s">
        <v>41</v>
      </c>
      <c r="W17" s="40" t="s">
        <v>41</v>
      </c>
      <c r="X17" s="39" t="s">
        <v>29</v>
      </c>
      <c r="Y17" s="34" t="s">
        <v>134</v>
      </c>
      <c r="Z17" s="17" t="s">
        <v>2</v>
      </c>
      <c r="AA17" s="17"/>
      <c r="AB17" s="17" t="s">
        <v>2</v>
      </c>
    </row>
    <row r="18" spans="1:28" x14ac:dyDescent="0.25">
      <c r="A18" s="100"/>
      <c r="B18" s="100"/>
      <c r="C18" s="100"/>
      <c r="D18" s="100"/>
      <c r="E18" s="100"/>
      <c r="F18" s="100" t="str">
        <f>("[ "&amp;D13&amp;" + "&amp;E13&amp;" - "&amp;C13&amp;"]")</f>
        <v>[ B + C - A]</v>
      </c>
      <c r="G18" s="100" t="str">
        <f>("[ "&amp;F13&amp;" / "&amp;C13&amp;" ]")</f>
        <v>[ D / A ]</v>
      </c>
      <c r="H18" s="108"/>
      <c r="I18" s="108"/>
      <c r="J18" s="108"/>
      <c r="K18" s="100" t="str">
        <f>("["&amp;C13&amp;"-"&amp;E13&amp;"+"&amp;$H$13&amp;"+"&amp;$I$13&amp;"+"&amp;$J$13&amp;"]")</f>
        <v>[A-C+F+G+H]</v>
      </c>
      <c r="L18" s="100" t="str">
        <f>("["&amp;D13&amp;"+"&amp;$H$13&amp;"+"&amp;$I$13&amp;"+"&amp;$J$13&amp;"]")</f>
        <v>[B+F+G+H]</v>
      </c>
      <c r="M18" s="100" t="str">
        <f>("[("&amp;L13&amp;" - "&amp;K13&amp;") / "&amp;K13&amp;"]")</f>
        <v>[(J - I) / I]</v>
      </c>
      <c r="R18" s="18"/>
      <c r="S18" s="24">
        <f>+INPUT!$F$9</f>
        <v>0.70089999999999997</v>
      </c>
      <c r="T18" s="18"/>
      <c r="U18" s="34"/>
      <c r="V18" s="18"/>
      <c r="W18" s="24">
        <f>+INPUT!$F$27</f>
        <v>1.0644</v>
      </c>
      <c r="X18" s="18"/>
      <c r="Y18" s="34"/>
      <c r="Z18" s="17"/>
      <c r="AA18" s="17"/>
      <c r="AB18" s="17"/>
    </row>
    <row r="19" spans="1:28" x14ac:dyDescent="0.25">
      <c r="A19" s="17"/>
      <c r="B19" s="17"/>
      <c r="C19" s="17"/>
      <c r="D19" s="17"/>
      <c r="E19" s="17"/>
      <c r="G19" s="17"/>
      <c r="H19" s="17"/>
      <c r="I19" s="17"/>
      <c r="J19" s="17"/>
      <c r="K19" s="18"/>
      <c r="L19" s="18"/>
      <c r="M19" s="18"/>
      <c r="R19" s="18"/>
      <c r="S19" s="18" t="s">
        <v>114</v>
      </c>
      <c r="T19" s="18"/>
      <c r="U19" s="34"/>
      <c r="V19" s="18"/>
      <c r="W19" s="18" t="s">
        <v>114</v>
      </c>
      <c r="X19" s="18"/>
      <c r="Y19" s="34"/>
      <c r="Z19" s="17"/>
      <c r="AA19" s="17"/>
      <c r="AB19" s="17"/>
    </row>
    <row r="20" spans="1:28" x14ac:dyDescent="0.25">
      <c r="A20" s="56">
        <v>500</v>
      </c>
      <c r="C20" s="35">
        <f>+T20</f>
        <v>750.45</v>
      </c>
      <c r="D20" s="35">
        <f>+X20</f>
        <v>1032.2</v>
      </c>
      <c r="E20" s="103">
        <f>+$Y$20</f>
        <v>-3033.1527777777778</v>
      </c>
      <c r="F20" s="35">
        <f>+D20+E20-C20</f>
        <v>-2751.4027777777778</v>
      </c>
      <c r="G20" s="36">
        <f>ROUND(+F20/C20,4)</f>
        <v>-3.6663000000000001</v>
      </c>
      <c r="H20" s="35">
        <f>ROUND($A20*$S$10,2)</f>
        <v>657.28</v>
      </c>
      <c r="I20" s="35">
        <f>ROUND($A20*$S$11,2)</f>
        <v>13.53</v>
      </c>
      <c r="J20" s="35">
        <f>+$S$12</f>
        <v>444.08333333333331</v>
      </c>
      <c r="K20" s="35">
        <f>+C20-E20+H20+I20+J20</f>
        <v>4898.4961111111106</v>
      </c>
      <c r="L20" s="35">
        <f>+D20+H20+I20+J20</f>
        <v>2147.0933333333332</v>
      </c>
      <c r="M20" s="36">
        <f>ROUND((L20-K20)/K20,4)</f>
        <v>-0.56169999999999998</v>
      </c>
      <c r="R20" s="37">
        <f>+INPUT!$F$5</f>
        <v>400</v>
      </c>
      <c r="S20" s="37">
        <f>ROUND($S$18*$A20,2)</f>
        <v>350.45</v>
      </c>
      <c r="T20" s="37">
        <f>SUM(R20:S20)</f>
        <v>750.45</v>
      </c>
      <c r="V20" s="37">
        <f>+INPUT!$F$23</f>
        <v>500</v>
      </c>
      <c r="W20" s="37">
        <f>ROUND($W$18*$A20,2)</f>
        <v>532.20000000000005</v>
      </c>
      <c r="X20" s="37">
        <f>SUM(V20:W20)</f>
        <v>1032.2</v>
      </c>
      <c r="Y20" s="85">
        <f>+(31974-250361)/72</f>
        <v>-3033.1527777777778</v>
      </c>
    </row>
    <row r="21" spans="1:28" x14ac:dyDescent="0.25">
      <c r="A21" s="56"/>
      <c r="C21" s="34"/>
      <c r="D21" s="34"/>
      <c r="E21" s="103"/>
      <c r="K21" s="34"/>
      <c r="L21" s="34"/>
      <c r="M21" s="34"/>
    </row>
    <row r="22" spans="1:28" x14ac:dyDescent="0.25">
      <c r="A22" s="56">
        <v>1000</v>
      </c>
      <c r="C22" s="35">
        <f>+T22</f>
        <v>1100.9000000000001</v>
      </c>
      <c r="D22" s="35">
        <f>+X22</f>
        <v>1564.4</v>
      </c>
      <c r="E22" s="103">
        <f>+$Y$20</f>
        <v>-3033.1527777777778</v>
      </c>
      <c r="F22" s="38">
        <f>+D22+E22-C22</f>
        <v>-2569.6527777777778</v>
      </c>
      <c r="G22" s="86">
        <f>ROUND(+F22/C22,4)</f>
        <v>-2.3340999999999998</v>
      </c>
      <c r="H22" s="38">
        <f>$A22*$S$10</f>
        <v>1314.562517112457</v>
      </c>
      <c r="I22" s="38">
        <f>$A22*$S$11</f>
        <v>27.061048586990506</v>
      </c>
      <c r="J22" s="38">
        <f>+$S$12</f>
        <v>444.08333333333331</v>
      </c>
      <c r="K22" s="38">
        <f>+C22-E22+H22+I22+J22</f>
        <v>5919.7596768105577</v>
      </c>
      <c r="L22" s="38">
        <f>+D22+H22+I22+J22</f>
        <v>3350.1068990327813</v>
      </c>
      <c r="M22" s="86">
        <f>ROUND((L22-K22)/K22,4)</f>
        <v>-0.43409999999999999</v>
      </c>
      <c r="R22" s="37">
        <f>+$R$20</f>
        <v>400</v>
      </c>
      <c r="S22" s="37">
        <f>ROUND($S$18*$A22,2)</f>
        <v>700.9</v>
      </c>
      <c r="T22" s="37">
        <f>SUM(R22:S22)</f>
        <v>1100.9000000000001</v>
      </c>
      <c r="V22" s="37">
        <f>+$V$20</f>
        <v>500</v>
      </c>
      <c r="W22" s="37">
        <f>ROUND($W$18*$A22,2)</f>
        <v>1064.4000000000001</v>
      </c>
      <c r="X22" s="37">
        <f>SUM(V22:W22)</f>
        <v>1564.4</v>
      </c>
      <c r="Y22" s="85"/>
    </row>
    <row r="23" spans="1:28" x14ac:dyDescent="0.25">
      <c r="A23" s="56"/>
      <c r="C23" s="35"/>
      <c r="D23" s="35"/>
      <c r="E23" s="103"/>
      <c r="K23" s="35"/>
      <c r="L23" s="35"/>
      <c r="M23" s="36"/>
    </row>
    <row r="24" spans="1:28" x14ac:dyDescent="0.25">
      <c r="A24" s="131">
        <v>5000</v>
      </c>
      <c r="B24" s="96"/>
      <c r="C24" s="38">
        <f>+T24</f>
        <v>3904.5</v>
      </c>
      <c r="D24" s="38">
        <f>+X24</f>
        <v>5822</v>
      </c>
      <c r="E24" s="132">
        <f>+$Y$20</f>
        <v>-3033.1527777777778</v>
      </c>
      <c r="F24" s="38">
        <f>+D24-C24</f>
        <v>1917.5</v>
      </c>
      <c r="G24" s="86">
        <f>ROUND(+F24/C24,4)</f>
        <v>0.49109999999999998</v>
      </c>
      <c r="H24" s="38">
        <f>ROUND($A24*$S$10,2)</f>
        <v>6572.81</v>
      </c>
      <c r="I24" s="38">
        <f>ROUND($A24*$S$11,2)</f>
        <v>135.31</v>
      </c>
      <c r="J24" s="38">
        <f>+$S$12</f>
        <v>444.08333333333331</v>
      </c>
      <c r="K24" s="38">
        <f>+C24-E24+H24+I24+J24</f>
        <v>14089.856111111112</v>
      </c>
      <c r="L24" s="38">
        <f>+D24+H24+I24+J24</f>
        <v>12974.203333333335</v>
      </c>
      <c r="M24" s="86">
        <f>ROUND((L24-K24)/K24,4)</f>
        <v>-7.9200000000000007E-2</v>
      </c>
      <c r="R24" s="37">
        <f>+$R$20</f>
        <v>400</v>
      </c>
      <c r="S24" s="37">
        <f>ROUND($S$18*$A24,2)</f>
        <v>3504.5</v>
      </c>
      <c r="T24" s="37">
        <f>SUM(R24:S24)</f>
        <v>3904.5</v>
      </c>
      <c r="V24" s="37">
        <f>+$V$20</f>
        <v>500</v>
      </c>
      <c r="W24" s="37">
        <f>ROUND($W$18*$A24,2)</f>
        <v>5322</v>
      </c>
      <c r="X24" s="37">
        <f>SUM(V24:W24)</f>
        <v>5822</v>
      </c>
    </row>
    <row r="25" spans="1:28" x14ac:dyDescent="0.25">
      <c r="A25" s="56"/>
      <c r="C25" s="34"/>
      <c r="D25" s="34"/>
      <c r="E25" s="103"/>
      <c r="K25" s="101"/>
      <c r="L25" s="34"/>
      <c r="M25" s="34"/>
    </row>
    <row r="26" spans="1:28" x14ac:dyDescent="0.25">
      <c r="A26" s="56">
        <v>7500</v>
      </c>
      <c r="C26" s="38">
        <f>+T26</f>
        <v>5656.75</v>
      </c>
      <c r="D26" s="38">
        <f>+X26</f>
        <v>8483</v>
      </c>
      <c r="E26" s="103">
        <f>+$Y$20</f>
        <v>-3033.1527777777778</v>
      </c>
      <c r="F26" s="35">
        <f>+D26-C26</f>
        <v>2826.25</v>
      </c>
      <c r="G26" s="36">
        <f>ROUND(+F26/C26,4)</f>
        <v>0.49959999999999999</v>
      </c>
      <c r="H26" s="35">
        <f>ROUND($A26*$S$10,2)</f>
        <v>9859.2199999999993</v>
      </c>
      <c r="I26" s="35">
        <f>ROUND($A26*$S$11,2)</f>
        <v>202.96</v>
      </c>
      <c r="J26" s="35">
        <f>+$S$12</f>
        <v>444.08333333333331</v>
      </c>
      <c r="K26" s="38">
        <f>+C26-E26+H26+I26+J26</f>
        <v>19196.166111111106</v>
      </c>
      <c r="L26" s="35">
        <f>+D26+H26+I26+J26</f>
        <v>18989.263333333332</v>
      </c>
      <c r="M26" s="36">
        <f>ROUND((L26-K26)/K26,4)</f>
        <v>-1.0800000000000001E-2</v>
      </c>
      <c r="R26" s="37">
        <f>+$R$20</f>
        <v>400</v>
      </c>
      <c r="S26" s="37">
        <f>ROUND($S$18*$A26,2)</f>
        <v>5256.75</v>
      </c>
      <c r="T26" s="37">
        <f>SUM(R26:S26)</f>
        <v>5656.75</v>
      </c>
      <c r="V26" s="37">
        <f>+$V$20</f>
        <v>500</v>
      </c>
      <c r="W26" s="37">
        <f>ROUND($W$18*$A26,2)</f>
        <v>7983</v>
      </c>
      <c r="X26" s="37">
        <f>SUM(V26:W26)</f>
        <v>8483</v>
      </c>
    </row>
    <row r="27" spans="1:28" x14ac:dyDescent="0.25">
      <c r="A27" s="56"/>
      <c r="C27" s="34"/>
      <c r="D27" s="34"/>
      <c r="E27" s="103"/>
      <c r="K27" s="101"/>
      <c r="L27" s="34"/>
      <c r="M27" s="34"/>
    </row>
    <row r="28" spans="1:28" x14ac:dyDescent="0.25">
      <c r="A28" s="56">
        <v>10000</v>
      </c>
      <c r="C28" s="35">
        <f>+T28</f>
        <v>7409</v>
      </c>
      <c r="D28" s="35">
        <f>+X28</f>
        <v>11144</v>
      </c>
      <c r="E28" s="103">
        <f>+$Y$20</f>
        <v>-3033.1527777777778</v>
      </c>
      <c r="F28" s="35">
        <f>+D28-C28</f>
        <v>3735</v>
      </c>
      <c r="G28" s="36">
        <f>ROUND(+F28/C28,4)</f>
        <v>0.50409999999999999</v>
      </c>
      <c r="H28" s="35">
        <f>ROUND($A28*$S$10,2)</f>
        <v>13145.63</v>
      </c>
      <c r="I28" s="35">
        <f>ROUND($A28*$S$11,2)</f>
        <v>270.61</v>
      </c>
      <c r="J28" s="35">
        <f>+$S$12</f>
        <v>444.08333333333331</v>
      </c>
      <c r="K28" s="38">
        <f>+C28-E28+H28+I28+J28</f>
        <v>24302.476111111111</v>
      </c>
      <c r="L28" s="35">
        <f>+D28+H28+I28+J28</f>
        <v>25004.32333333333</v>
      </c>
      <c r="M28" s="36">
        <f>ROUND((L28-K28)/K28,4)</f>
        <v>2.8899999999999999E-2</v>
      </c>
      <c r="R28" s="37">
        <f>+$R$20</f>
        <v>400</v>
      </c>
      <c r="S28" s="37">
        <f>ROUND($S$18*$A28,2)</f>
        <v>7009</v>
      </c>
      <c r="T28" s="37">
        <f>SUM(R28:S28)</f>
        <v>7409</v>
      </c>
      <c r="V28" s="37">
        <f>+$V$20</f>
        <v>500</v>
      </c>
      <c r="W28" s="37">
        <f>ROUND($W$18*$A28,2)</f>
        <v>10644</v>
      </c>
      <c r="X28" s="37">
        <f>SUM(V28:W28)</f>
        <v>11144</v>
      </c>
    </row>
    <row r="29" spans="1:28" x14ac:dyDescent="0.25">
      <c r="A29" s="56"/>
      <c r="C29" s="34"/>
      <c r="D29" s="34"/>
      <c r="E29" s="103"/>
      <c r="K29" s="101"/>
      <c r="L29" s="34"/>
      <c r="M29" s="34"/>
    </row>
    <row r="30" spans="1:28" x14ac:dyDescent="0.25">
      <c r="A30" s="56">
        <v>15000</v>
      </c>
      <c r="C30" s="35">
        <f>+T30</f>
        <v>10913.5</v>
      </c>
      <c r="D30" s="35">
        <f>+X30</f>
        <v>16466</v>
      </c>
      <c r="E30" s="103">
        <f>+$Y$20</f>
        <v>-3033.1527777777778</v>
      </c>
      <c r="F30" s="35">
        <f>+D30-C30</f>
        <v>5552.5</v>
      </c>
      <c r="G30" s="36">
        <f>ROUND(+F30/C30,4)</f>
        <v>0.50880000000000003</v>
      </c>
      <c r="H30" s="35">
        <f>ROUND($A30*$S$10,2)</f>
        <v>19718.439999999999</v>
      </c>
      <c r="I30" s="35">
        <f>ROUND($A30*$S$11,2)</f>
        <v>405.92</v>
      </c>
      <c r="J30" s="35">
        <f>+$S$12</f>
        <v>444.08333333333331</v>
      </c>
      <c r="K30" s="38">
        <f>+C30-E30+H30+I30+J30</f>
        <v>34515.09611111111</v>
      </c>
      <c r="L30" s="35">
        <f>+D30+H30+I30+J30</f>
        <v>37034.443333333336</v>
      </c>
      <c r="M30" s="36">
        <f>ROUND((L30-K30)/K30,4)</f>
        <v>7.2999999999999995E-2</v>
      </c>
      <c r="R30" s="37">
        <f>+$R$20</f>
        <v>400</v>
      </c>
      <c r="S30" s="37">
        <f>ROUND($S$18*$A30,2)</f>
        <v>10513.5</v>
      </c>
      <c r="T30" s="37">
        <f>SUM(R30:S30)</f>
        <v>10913.5</v>
      </c>
      <c r="V30" s="37">
        <f>+$V$20</f>
        <v>500</v>
      </c>
      <c r="W30" s="37">
        <f>ROUND($W$18*$A30,2)</f>
        <v>15966</v>
      </c>
      <c r="X30" s="37">
        <f>SUM(V30:W30)</f>
        <v>16466</v>
      </c>
    </row>
    <row r="31" spans="1:28" x14ac:dyDescent="0.25">
      <c r="A31" s="56"/>
      <c r="C31" s="34"/>
      <c r="D31" s="34"/>
      <c r="E31" s="103"/>
      <c r="K31" s="101"/>
      <c r="L31" s="34"/>
      <c r="M31" s="34"/>
    </row>
    <row r="32" spans="1:28" x14ac:dyDescent="0.25">
      <c r="A32" s="56">
        <v>20000</v>
      </c>
      <c r="C32" s="35">
        <f>+T32</f>
        <v>14418</v>
      </c>
      <c r="D32" s="35">
        <f>+X32</f>
        <v>21788</v>
      </c>
      <c r="E32" s="103">
        <f>+$Y$20</f>
        <v>-3033.1527777777778</v>
      </c>
      <c r="F32" s="35">
        <f>+D32-C32</f>
        <v>7370</v>
      </c>
      <c r="G32" s="36">
        <f>ROUND(+F32/C32,4)</f>
        <v>0.51119999999999999</v>
      </c>
      <c r="H32" s="35">
        <f>ROUND($A32*$S$10,2)</f>
        <v>26291.25</v>
      </c>
      <c r="I32" s="35">
        <f>ROUND($A32*$S$11,2)</f>
        <v>541.22</v>
      </c>
      <c r="J32" s="35">
        <f>+$S$12</f>
        <v>444.08333333333331</v>
      </c>
      <c r="K32" s="38">
        <f>+C32-E32+H32+I32+J32</f>
        <v>44727.706111111118</v>
      </c>
      <c r="L32" s="35">
        <f>+D32+H32+I32+J32</f>
        <v>49064.553333333337</v>
      </c>
      <c r="M32" s="36">
        <f>ROUND((L32-K32)/K32,4)</f>
        <v>9.7000000000000003E-2</v>
      </c>
      <c r="R32" s="37">
        <f>+$R$20</f>
        <v>400</v>
      </c>
      <c r="S32" s="37">
        <f>ROUND($S$18*$A32,2)</f>
        <v>14018</v>
      </c>
      <c r="T32" s="37">
        <f>SUM(R32:S32)</f>
        <v>14418</v>
      </c>
      <c r="V32" s="37">
        <f>+$V$20</f>
        <v>500</v>
      </c>
      <c r="W32" s="37">
        <f>ROUND($W$18*$A32,2)</f>
        <v>21288</v>
      </c>
      <c r="X32" s="37">
        <f>SUM(V32:W32)</f>
        <v>21788</v>
      </c>
    </row>
    <row r="33" spans="1:24" x14ac:dyDescent="0.25">
      <c r="A33" s="56"/>
      <c r="C33" s="34"/>
      <c r="D33" s="34"/>
      <c r="E33" s="103"/>
      <c r="K33" s="101"/>
      <c r="L33" s="34"/>
      <c r="M33" s="34"/>
    </row>
    <row r="34" spans="1:24" x14ac:dyDescent="0.25">
      <c r="A34" s="56">
        <v>25000</v>
      </c>
      <c r="C34" s="35">
        <f>+T34</f>
        <v>17922.5</v>
      </c>
      <c r="D34" s="35">
        <f>+X34</f>
        <v>27110</v>
      </c>
      <c r="E34" s="103">
        <f>+$Y$20</f>
        <v>-3033.1527777777778</v>
      </c>
      <c r="F34" s="35">
        <f>+D34-C34</f>
        <v>9187.5</v>
      </c>
      <c r="G34" s="36">
        <f>ROUND(+F34/C34,4)</f>
        <v>0.51259999999999994</v>
      </c>
      <c r="H34" s="35">
        <f>ROUND($A34*$S$10,2)</f>
        <v>32864.06</v>
      </c>
      <c r="I34" s="35">
        <f>ROUND($A34*$S$11,2)</f>
        <v>676.53</v>
      </c>
      <c r="J34" s="35">
        <f>+$S$12</f>
        <v>444.08333333333331</v>
      </c>
      <c r="K34" s="38">
        <f>+C34-E34+H34+I34+J34</f>
        <v>54940.326111111113</v>
      </c>
      <c r="L34" s="35">
        <f>+D34+H34+I34+J34</f>
        <v>61094.673333333332</v>
      </c>
      <c r="M34" s="36">
        <f>ROUND((L34-K34)/K34,4)</f>
        <v>0.112</v>
      </c>
      <c r="R34" s="37">
        <f>+$R$20</f>
        <v>400</v>
      </c>
      <c r="S34" s="37">
        <f>ROUND($S$18*$A34,2)</f>
        <v>17522.5</v>
      </c>
      <c r="T34" s="37">
        <f>SUM(R34:S34)</f>
        <v>17922.5</v>
      </c>
      <c r="V34" s="37">
        <f>+$V$20</f>
        <v>500</v>
      </c>
      <c r="W34" s="37">
        <f>ROUND($W$18*$A34,2)</f>
        <v>26610</v>
      </c>
      <c r="X34" s="37">
        <f>SUM(V34:W34)</f>
        <v>27110</v>
      </c>
    </row>
    <row r="35" spans="1:24" x14ac:dyDescent="0.25">
      <c r="K35" s="34"/>
      <c r="L35" s="34"/>
      <c r="M35" s="34"/>
    </row>
    <row r="36" spans="1:24" x14ac:dyDescent="0.25">
      <c r="A36" s="33" t="s">
        <v>102</v>
      </c>
      <c r="C36" s="55"/>
      <c r="D36" s="56"/>
      <c r="E36" s="56"/>
      <c r="K36" s="35"/>
      <c r="L36" s="35"/>
      <c r="M36" s="36"/>
    </row>
    <row r="37" spans="1:24" x14ac:dyDescent="0.25">
      <c r="A37" s="59" t="str">
        <f>("Average usage = "&amp;TEXT(INPUT!F17,"0,000")&amp;" Mcf per month")</f>
        <v>Average usage = 5,335 Mcf per month</v>
      </c>
    </row>
    <row r="38" spans="1:24" x14ac:dyDescent="0.25">
      <c r="A38" s="61" t="s">
        <v>103</v>
      </c>
    </row>
    <row r="39" spans="1:24" x14ac:dyDescent="0.25">
      <c r="A39" s="77" t="str">
        <f>+'Rate Case Constants'!$C$26</f>
        <v>Calculations may vary from other schedules due to rounding</v>
      </c>
    </row>
  </sheetData>
  <mergeCells count="5">
    <mergeCell ref="H15:J15"/>
    <mergeCell ref="A1:M1"/>
    <mergeCell ref="A2:M2"/>
    <mergeCell ref="A3:M3"/>
    <mergeCell ref="A4:M4"/>
  </mergeCells>
  <printOptions horizontalCentered="1"/>
  <pageMargins left="0.75" right="0.75" top="1.5" bottom="0.5" header="1" footer="0.5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INPUT</vt:lpstr>
      <vt:lpstr>Rate Case Constants</vt:lpstr>
      <vt:lpstr>SCHEDULES===&gt;</vt:lpstr>
      <vt:lpstr>RGS_VFD</vt:lpstr>
      <vt:lpstr>CGS less than 5000cfh</vt:lpstr>
      <vt:lpstr>CGS greater than 5000cfh</vt:lpstr>
      <vt:lpstr>IGS less than 5000cfh</vt:lpstr>
      <vt:lpstr>IGS greater than 5000cfh</vt:lpstr>
      <vt:lpstr>AAGS</vt:lpstr>
      <vt:lpstr>DGGS less than 5000cfh</vt:lpstr>
      <vt:lpstr>DGGS greater than 5000cfh</vt:lpstr>
      <vt:lpstr>FT</vt:lpstr>
      <vt:lpstr>SGSS</vt:lpstr>
      <vt:lpstr>LGDS</vt:lpstr>
      <vt:lpstr>AAGS!Print_Area</vt:lpstr>
      <vt:lpstr>'CGS greater than 5000cfh'!Print_Area</vt:lpstr>
      <vt:lpstr>'CGS less than 5000cfh'!Print_Area</vt:lpstr>
      <vt:lpstr>'DGGS greater than 5000cfh'!Print_Area</vt:lpstr>
      <vt:lpstr>'DGGS less than 5000cfh'!Print_Area</vt:lpstr>
      <vt:lpstr>FT!Print_Area</vt:lpstr>
      <vt:lpstr>'IGS greater than 5000cfh'!Print_Area</vt:lpstr>
      <vt:lpstr>'IGS less than 5000cfh'!Print_Area</vt:lpstr>
      <vt:lpstr>LGDS!Print_Area</vt:lpstr>
      <vt:lpstr>RGS_VFD!Print_Area</vt:lpstr>
      <vt:lpstr>SGSS!Print_Area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Schroeder</dc:creator>
  <cp:lastModifiedBy>Barnes, Joe</cp:lastModifiedBy>
  <cp:lastPrinted>2016-10-28T14:46:24Z</cp:lastPrinted>
  <dcterms:created xsi:type="dcterms:W3CDTF">2014-10-23T00:58:59Z</dcterms:created>
  <dcterms:modified xsi:type="dcterms:W3CDTF">2016-12-06T20:54:09Z</dcterms:modified>
</cp:coreProperties>
</file>