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N2016\CNs-00370-00371 - K L 2016 Rate Case\DR1 - PSC1\LGE\SRR Assigned\LGE PSC 1-54\8-GarrettSchedules\"/>
    </mc:Choice>
  </mc:AlternateContent>
  <bookViews>
    <workbookView xWindow="480" yWindow="216" windowWidth="21780" windowHeight="8076" tabRatio="772"/>
  </bookViews>
  <sheets>
    <sheet name="INPUT" sheetId="5" r:id="rId1"/>
    <sheet name="Rate Case Constants" sheetId="39" r:id="rId2"/>
    <sheet name="SCHEDULES===&gt;" sheetId="40" r:id="rId3"/>
    <sheet name="Rate RS-VFD" sheetId="4" r:id="rId4"/>
    <sheet name="Rate RTOD Energy" sheetId="33" r:id="rId5"/>
    <sheet name="Rate RTOD Demand" sheetId="32" r:id="rId6"/>
    <sheet name="Rate GS Single Phase" sheetId="27" r:id="rId7"/>
    <sheet name="Rate GS Three Phase" sheetId="41" r:id="rId8"/>
    <sheet name="Rate PS Secondary" sheetId="15" r:id="rId9"/>
    <sheet name="Rate PS Primary" sheetId="24" r:id="rId10"/>
    <sheet name="Rate TOD Secondary" sheetId="25" r:id="rId11"/>
    <sheet name="Rate TOD Primary" sheetId="37" r:id="rId12"/>
    <sheet name="Rate RTS" sheetId="26" r:id="rId13"/>
    <sheet name="Rate FLS Transmission" sheetId="42" r:id="rId14"/>
    <sheet name="Rate FLS Primary" sheetId="31" r:id="rId15"/>
    <sheet name="Rate LS-RLS" sheetId="2" r:id="rId16"/>
    <sheet name="Rate LE" sheetId="35" r:id="rId17"/>
    <sheet name="Rate TE" sheetId="34" r:id="rId18"/>
    <sheet name="Rate CTAC" sheetId="36" r:id="rId19"/>
  </sheets>
  <externalReferences>
    <externalReference r:id="rId20"/>
  </externalReferences>
  <definedNames>
    <definedName name="_xlnm._FilterDatabase" localSheetId="0" hidden="1">INPUT!$T$2:$T$83</definedName>
    <definedName name="_xlnm._FilterDatabase" localSheetId="15" hidden="1">'Rate LS-RLS'!$N$19:$R$234</definedName>
    <definedName name="_xlnm.Print_Area" localSheetId="0">INPUT!$A$22:$O$60</definedName>
    <definedName name="_xlnm.Print_Area" localSheetId="18">'Rate CTAC'!$A$1:$H$39</definedName>
    <definedName name="_xlnm.Print_Area" localSheetId="14">'Rate FLS Primary'!$A$1:$P$46</definedName>
    <definedName name="_xlnm.Print_Area" localSheetId="13">'Rate FLS Transmission'!$A$1:$P$46</definedName>
    <definedName name="_xlnm.Print_Area" localSheetId="6">'Rate GS Single Phase'!$A$1:$L$41</definedName>
    <definedName name="_xlnm.Print_Area" localSheetId="7">'Rate GS Three Phase'!$A$1:$L$41</definedName>
    <definedName name="_xlnm.Print_Area" localSheetId="16">'Rate LE'!$A$1:$K$41</definedName>
    <definedName name="_xlnm.Print_Area" localSheetId="15">'Rate LS-RLS'!$A$1:$K$239</definedName>
    <definedName name="_xlnm.Print_Area" localSheetId="9">'Rate PS Primary'!$A$1:$P$44</definedName>
    <definedName name="_xlnm.Print_Area" localSheetId="8">'Rate PS Secondary'!$A$1:$P$44</definedName>
    <definedName name="_xlnm.Print_Area" localSheetId="3">'Rate RS-VFD'!$A$1:$L$40</definedName>
    <definedName name="_xlnm.Print_Area" localSheetId="5">'Rate RTOD Demand'!$A$1:$P$43</definedName>
    <definedName name="_xlnm.Print_Area" localSheetId="4">'Rate RTOD Energy'!$A$1:$L$40</definedName>
    <definedName name="_xlnm.Print_Area" localSheetId="12">'Rate RTS'!$A$1:$P$45</definedName>
    <definedName name="_xlnm.Print_Area" localSheetId="17">'Rate TE'!$A$1:$K$41</definedName>
    <definedName name="_xlnm.Print_Area" localSheetId="11">'Rate TOD Primary'!$A$1:$P$44</definedName>
    <definedName name="_xlnm.Print_Area" localSheetId="10">'Rate TOD Secondary'!$A$1:$P$44</definedName>
  </definedNames>
  <calcPr calcId="152511"/>
</workbook>
</file>

<file path=xl/calcChain.xml><?xml version="1.0" encoding="utf-8"?>
<calcChain xmlns="http://schemas.openxmlformats.org/spreadsheetml/2006/main">
  <c r="H103" i="2" l="1"/>
  <c r="A2" i="31" l="1"/>
  <c r="A2" i="42" l="1"/>
  <c r="A2" i="26" l="1"/>
  <c r="A2" i="37" l="1"/>
  <c r="A2" i="25" l="1"/>
  <c r="A2" i="24" l="1"/>
  <c r="A3" i="15" l="1"/>
  <c r="A2" i="15"/>
  <c r="A38" i="35" l="1"/>
  <c r="A41" i="35"/>
  <c r="A4" i="31" l="1"/>
  <c r="A4" i="42"/>
  <c r="A4" i="26"/>
  <c r="A4" i="37"/>
  <c r="A4" i="25"/>
  <c r="A4" i="24"/>
  <c r="A4" i="15"/>
  <c r="A2" i="33"/>
  <c r="E106" i="2" l="1"/>
  <c r="E105" i="2"/>
  <c r="E104" i="2"/>
  <c r="E103" i="2"/>
  <c r="I31" i="2" l="1"/>
  <c r="I32" i="2"/>
  <c r="I33" i="2"/>
  <c r="I30" i="2"/>
  <c r="E30" i="2"/>
  <c r="J103" i="2"/>
  <c r="C103" i="2"/>
  <c r="I170" i="2"/>
  <c r="K170" i="2"/>
  <c r="P62" i="2"/>
  <c r="Q62" i="2"/>
  <c r="Q59" i="2"/>
  <c r="P59" i="2"/>
  <c r="P233" i="2" l="1"/>
  <c r="Q233" i="2"/>
  <c r="R233" i="2"/>
  <c r="B233" i="2" s="1"/>
  <c r="P234" i="2"/>
  <c r="Q234" i="2"/>
  <c r="R234" i="2"/>
  <c r="B234" i="2" s="1"/>
  <c r="S234" i="2" l="1"/>
  <c r="T233" i="2"/>
  <c r="H233" i="2" s="1"/>
  <c r="S233" i="2"/>
  <c r="T234" i="2"/>
  <c r="H234" i="2" s="1"/>
  <c r="G234" i="2"/>
  <c r="G233" i="2" l="1"/>
  <c r="U233" i="2"/>
  <c r="C233" i="2" s="1"/>
  <c r="V233" i="2"/>
  <c r="D233" i="2" s="1"/>
  <c r="U234" i="2"/>
  <c r="C234" i="2" s="1"/>
  <c r="I234" i="2" s="1"/>
  <c r="V234" i="2"/>
  <c r="D234" i="2" s="1"/>
  <c r="J234" i="2" s="1"/>
  <c r="K234" i="2" l="1"/>
  <c r="I233" i="2"/>
  <c r="E233" i="2"/>
  <c r="F233" i="2" s="1"/>
  <c r="J233" i="2"/>
  <c r="K233" i="2" s="1"/>
  <c r="E234" i="2"/>
  <c r="F234" i="2" s="1"/>
  <c r="G58" i="5" l="1"/>
  <c r="E20" i="37" l="1"/>
  <c r="E29" i="26"/>
  <c r="E25" i="26"/>
  <c r="E21" i="26"/>
  <c r="E29" i="25"/>
  <c r="E33" i="24"/>
  <c r="E33" i="15"/>
  <c r="E36" i="15"/>
  <c r="A25" i="27"/>
  <c r="A39" i="27"/>
  <c r="A27" i="41"/>
  <c r="A39" i="41"/>
  <c r="F27" i="5"/>
  <c r="S39" i="33"/>
  <c r="V17" i="32"/>
  <c r="U17" i="32"/>
  <c r="Z39" i="33"/>
  <c r="X39" i="33" l="1"/>
  <c r="R39" i="33" s="1"/>
  <c r="L52" i="5"/>
  <c r="L51" i="5"/>
  <c r="K51" i="5"/>
  <c r="J51" i="5"/>
  <c r="F19" i="5"/>
  <c r="E19" i="5"/>
  <c r="B27" i="5" l="1"/>
  <c r="I48" i="5"/>
  <c r="H48" i="5"/>
  <c r="G48" i="5"/>
  <c r="R10" i="4"/>
  <c r="R104" i="2" l="1"/>
  <c r="R105" i="2"/>
  <c r="R106" i="2"/>
  <c r="B106" i="2" s="1"/>
  <c r="R103" i="2"/>
  <c r="B103" i="2" s="1"/>
  <c r="AB63" i="5"/>
  <c r="AB62" i="5"/>
  <c r="AB61" i="5"/>
  <c r="AB60" i="5"/>
  <c r="AB125" i="5"/>
  <c r="AB124" i="5"/>
  <c r="AB118" i="5"/>
  <c r="AB119" i="5"/>
  <c r="AB120" i="5"/>
  <c r="AB121" i="5"/>
  <c r="AB117" i="5"/>
  <c r="AB114" i="5"/>
  <c r="AB113" i="5"/>
  <c r="AB112" i="5"/>
  <c r="AB111" i="5"/>
  <c r="AB110" i="5"/>
  <c r="AB109" i="5"/>
  <c r="AB108" i="5"/>
  <c r="AB107" i="5"/>
  <c r="AB106" i="5"/>
  <c r="AB105" i="5"/>
  <c r="AB103" i="5"/>
  <c r="AB102" i="5"/>
  <c r="AB98" i="5"/>
  <c r="AB96" i="5"/>
  <c r="AB94" i="5"/>
  <c r="AB92" i="5"/>
  <c r="AB90" i="5"/>
  <c r="AB88" i="5"/>
  <c r="AB84" i="5"/>
  <c r="AB83" i="5"/>
  <c r="AB80" i="5"/>
  <c r="AB71" i="5"/>
  <c r="AB72" i="5"/>
  <c r="AB73" i="5"/>
  <c r="AB74" i="5"/>
  <c r="AB75" i="5"/>
  <c r="AB76" i="5"/>
  <c r="AB70" i="5"/>
  <c r="AB54" i="5"/>
  <c r="AB55" i="5"/>
  <c r="AB56" i="5"/>
  <c r="AB57" i="5"/>
  <c r="AB53" i="5"/>
  <c r="AB49" i="5"/>
  <c r="AB48" i="5"/>
  <c r="AB47" i="5"/>
  <c r="AB46" i="5"/>
  <c r="AB45" i="5"/>
  <c r="AB43" i="5"/>
  <c r="AB42" i="5"/>
  <c r="AB41" i="5"/>
  <c r="AB40" i="5"/>
  <c r="AB39" i="5"/>
  <c r="AB38" i="5"/>
  <c r="AB37" i="5"/>
  <c r="AB36" i="5"/>
  <c r="AB35" i="5"/>
  <c r="AB33" i="5"/>
  <c r="AB32" i="5"/>
  <c r="AB30" i="5"/>
  <c r="AB29" i="5"/>
  <c r="AB23" i="5"/>
  <c r="R31" i="2" s="1"/>
  <c r="AB24" i="5"/>
  <c r="R32" i="2" s="1"/>
  <c r="AB25" i="5"/>
  <c r="R33" i="2" s="1"/>
  <c r="AB22" i="5"/>
  <c r="R30" i="2" s="1"/>
  <c r="AB18" i="5"/>
  <c r="AB19" i="5"/>
  <c r="AB17" i="5"/>
  <c r="AB12" i="5"/>
  <c r="AB13" i="5"/>
  <c r="AB14" i="5"/>
  <c r="AB11" i="5"/>
  <c r="AB10" i="5"/>
  <c r="AB9" i="5"/>
  <c r="B32" i="2" l="1"/>
  <c r="B33" i="2"/>
  <c r="B105" i="2"/>
  <c r="B104" i="2"/>
  <c r="B30" i="2"/>
  <c r="B31" i="2"/>
  <c r="Q131" i="2" l="1"/>
  <c r="P131" i="2"/>
  <c r="R131" i="2"/>
  <c r="A38" i="33" l="1"/>
  <c r="L27" i="39"/>
  <c r="L26" i="39"/>
  <c r="L25" i="39"/>
  <c r="L23" i="39"/>
  <c r="L22" i="39"/>
  <c r="L21" i="39"/>
  <c r="L19" i="39"/>
  <c r="L18" i="39"/>
  <c r="L17" i="39"/>
  <c r="J31" i="39"/>
  <c r="L28" i="39" s="1"/>
  <c r="T12" i="31"/>
  <c r="T11" i="31"/>
  <c r="T10" i="31"/>
  <c r="T12" i="42"/>
  <c r="T11" i="42"/>
  <c r="T10" i="42"/>
  <c r="L20" i="39" l="1"/>
  <c r="L24" i="39"/>
  <c r="B78" i="5" l="1"/>
  <c r="C58" i="5" l="1"/>
  <c r="C50" i="5"/>
  <c r="C51" i="5"/>
  <c r="C61" i="5"/>
  <c r="C60" i="5"/>
  <c r="C59" i="5"/>
  <c r="C56" i="5"/>
  <c r="C55" i="5"/>
  <c r="C54" i="5"/>
  <c r="C53" i="5"/>
  <c r="C52" i="5"/>
  <c r="C49" i="5"/>
  <c r="C48" i="5"/>
  <c r="E61" i="5" l="1"/>
  <c r="H9" i="36" l="1"/>
  <c r="K9" i="34"/>
  <c r="K9" i="35"/>
  <c r="K8" i="2"/>
  <c r="P9" i="31"/>
  <c r="P9" i="42"/>
  <c r="P9" i="26"/>
  <c r="P9" i="37"/>
  <c r="P9" i="25"/>
  <c r="P9" i="24"/>
  <c r="P9" i="15"/>
  <c r="L9" i="41"/>
  <c r="L9" i="27"/>
  <c r="P9" i="32"/>
  <c r="L9" i="33"/>
  <c r="L9" i="4"/>
  <c r="AC20" i="31" l="1"/>
  <c r="S20" i="31"/>
  <c r="AG17" i="31"/>
  <c r="AF17" i="31"/>
  <c r="AE17" i="31"/>
  <c r="AD17" i="31"/>
  <c r="W17" i="31"/>
  <c r="V17" i="31"/>
  <c r="U17" i="31"/>
  <c r="T17" i="31"/>
  <c r="A45" i="42" l="1"/>
  <c r="A41" i="42"/>
  <c r="E38" i="42"/>
  <c r="E37" i="42"/>
  <c r="E36" i="42"/>
  <c r="E34" i="42"/>
  <c r="E33" i="42"/>
  <c r="E32" i="42"/>
  <c r="E30" i="42"/>
  <c r="E29" i="42"/>
  <c r="E28" i="42"/>
  <c r="E26" i="42"/>
  <c r="E25" i="42"/>
  <c r="E24" i="42"/>
  <c r="E22" i="42"/>
  <c r="E21" i="42"/>
  <c r="AC20" i="42"/>
  <c r="AC33" i="42" s="1"/>
  <c r="S20" i="42"/>
  <c r="E20" i="42"/>
  <c r="P18" i="42"/>
  <c r="O18" i="42"/>
  <c r="N18" i="42"/>
  <c r="J18" i="42"/>
  <c r="I18" i="42"/>
  <c r="AG17" i="42"/>
  <c r="AG36" i="42" s="1"/>
  <c r="AF17" i="42"/>
  <c r="AF36" i="42" s="1"/>
  <c r="AE17" i="42"/>
  <c r="AD17" i="42"/>
  <c r="W17" i="42"/>
  <c r="W33" i="42" s="1"/>
  <c r="V17" i="42"/>
  <c r="U17" i="42"/>
  <c r="T17" i="42"/>
  <c r="M20" i="42"/>
  <c r="L34" i="42"/>
  <c r="A9" i="42"/>
  <c r="A8" i="42"/>
  <c r="P7" i="42"/>
  <c r="A7" i="42"/>
  <c r="A3" i="42"/>
  <c r="A1" i="42"/>
  <c r="AC22" i="42" l="1"/>
  <c r="AC34" i="42"/>
  <c r="AC38" i="42"/>
  <c r="AC28" i="42"/>
  <c r="W30" i="42"/>
  <c r="M38" i="42"/>
  <c r="W26" i="42"/>
  <c r="AC29" i="42"/>
  <c r="AC24" i="42"/>
  <c r="AF20" i="42"/>
  <c r="AF21" i="42"/>
  <c r="L26" i="42"/>
  <c r="L28" i="42"/>
  <c r="AF32" i="42"/>
  <c r="L37" i="42"/>
  <c r="L38" i="42"/>
  <c r="AG22" i="42"/>
  <c r="W28" i="42"/>
  <c r="L29" i="42"/>
  <c r="AF30" i="42"/>
  <c r="AG33" i="42"/>
  <c r="W37" i="42"/>
  <c r="W38" i="42"/>
  <c r="W20" i="42"/>
  <c r="L21" i="42"/>
  <c r="L22" i="42"/>
  <c r="W25" i="42"/>
  <c r="AF26" i="42"/>
  <c r="L32" i="42"/>
  <c r="L33" i="42"/>
  <c r="W36" i="42"/>
  <c r="AF37" i="42"/>
  <c r="W21" i="42"/>
  <c r="W22" i="42"/>
  <c r="L24" i="42"/>
  <c r="AF25" i="42"/>
  <c r="AG28" i="42"/>
  <c r="W32" i="42"/>
  <c r="AG38" i="42"/>
  <c r="T38" i="42"/>
  <c r="T33" i="42"/>
  <c r="T28" i="42"/>
  <c r="T22" i="42"/>
  <c r="T34" i="42"/>
  <c r="T29" i="42"/>
  <c r="T24" i="42"/>
  <c r="T36" i="42"/>
  <c r="T30" i="42"/>
  <c r="T25" i="42"/>
  <c r="T37" i="42"/>
  <c r="T32" i="42"/>
  <c r="T26" i="42"/>
  <c r="T21" i="42"/>
  <c r="AD36" i="42"/>
  <c r="AD30" i="42"/>
  <c r="AD25" i="42"/>
  <c r="AD20" i="42"/>
  <c r="AD34" i="42"/>
  <c r="AD29" i="42"/>
  <c r="AD24" i="42"/>
  <c r="AD38" i="42"/>
  <c r="AD37" i="42"/>
  <c r="AD33" i="42"/>
  <c r="AD32" i="42"/>
  <c r="AD28" i="42"/>
  <c r="AD26" i="42"/>
  <c r="AD22" i="42"/>
  <c r="AD21" i="42"/>
  <c r="K37" i="42"/>
  <c r="K32" i="42"/>
  <c r="K26" i="42"/>
  <c r="K21" i="42"/>
  <c r="K38" i="42"/>
  <c r="K33" i="42"/>
  <c r="K28" i="42"/>
  <c r="K34" i="42"/>
  <c r="K29" i="42"/>
  <c r="K24" i="42"/>
  <c r="K36" i="42"/>
  <c r="K30" i="42"/>
  <c r="K25" i="42"/>
  <c r="K20" i="42"/>
  <c r="U37" i="42"/>
  <c r="U32" i="42"/>
  <c r="U26" i="42"/>
  <c r="U21" i="42"/>
  <c r="U36" i="42"/>
  <c r="U30" i="42"/>
  <c r="U25" i="42"/>
  <c r="U38" i="42"/>
  <c r="U33" i="42"/>
  <c r="U28" i="42"/>
  <c r="U22" i="42"/>
  <c r="U20" i="42"/>
  <c r="U34" i="42"/>
  <c r="U29" i="42"/>
  <c r="U24" i="42"/>
  <c r="AE34" i="42"/>
  <c r="AE29" i="42"/>
  <c r="AE24" i="42"/>
  <c r="AE36" i="42"/>
  <c r="AE30" i="42"/>
  <c r="AE25" i="42"/>
  <c r="AE38" i="42"/>
  <c r="AE37" i="42"/>
  <c r="AE33" i="42"/>
  <c r="AE32" i="42"/>
  <c r="AE28" i="42"/>
  <c r="AE26" i="42"/>
  <c r="AE22" i="42"/>
  <c r="AE21" i="42"/>
  <c r="S34" i="42"/>
  <c r="S29" i="42"/>
  <c r="S24" i="42"/>
  <c r="S22" i="42"/>
  <c r="S36" i="42"/>
  <c r="S30" i="42"/>
  <c r="S25" i="42"/>
  <c r="S38" i="42"/>
  <c r="S37" i="42"/>
  <c r="S33" i="42"/>
  <c r="S32" i="42"/>
  <c r="S28" i="42"/>
  <c r="S26" i="42"/>
  <c r="S21" i="42"/>
  <c r="T20" i="42"/>
  <c r="AE20" i="42"/>
  <c r="K22" i="42"/>
  <c r="L36" i="42"/>
  <c r="L30" i="42"/>
  <c r="L25" i="42"/>
  <c r="V36" i="42"/>
  <c r="V30" i="42"/>
  <c r="V25" i="42"/>
  <c r="AF38" i="42"/>
  <c r="AF33" i="42"/>
  <c r="AF28" i="42"/>
  <c r="AF22" i="42"/>
  <c r="AC37" i="42"/>
  <c r="AC32" i="42"/>
  <c r="AC26" i="42"/>
  <c r="AC21" i="42"/>
  <c r="AG20" i="42"/>
  <c r="M21" i="42"/>
  <c r="M22" i="42"/>
  <c r="V24" i="42"/>
  <c r="AF24" i="42"/>
  <c r="AG25" i="42"/>
  <c r="M26" i="42"/>
  <c r="M28" i="42"/>
  <c r="V29" i="42"/>
  <c r="AF29" i="42"/>
  <c r="AG30" i="42"/>
  <c r="M32" i="42"/>
  <c r="M33" i="42"/>
  <c r="V34" i="42"/>
  <c r="AF34" i="42"/>
  <c r="M37" i="42"/>
  <c r="M34" i="42"/>
  <c r="M29" i="42"/>
  <c r="M24" i="42"/>
  <c r="W34" i="42"/>
  <c r="W29" i="42"/>
  <c r="W24" i="42"/>
  <c r="AG37" i="42"/>
  <c r="AG32" i="42"/>
  <c r="AG26" i="42"/>
  <c r="AG21" i="42"/>
  <c r="L20" i="42"/>
  <c r="V20" i="42"/>
  <c r="V21" i="42"/>
  <c r="V22" i="42"/>
  <c r="AG24" i="42"/>
  <c r="M25" i="42"/>
  <c r="AC25" i="42"/>
  <c r="V26" i="42"/>
  <c r="V28" i="42"/>
  <c r="AG29" i="42"/>
  <c r="M30" i="42"/>
  <c r="AC30" i="42"/>
  <c r="V32" i="42"/>
  <c r="V33" i="42"/>
  <c r="AG34" i="42"/>
  <c r="M36" i="42"/>
  <c r="AC36" i="42"/>
  <c r="V37" i="42"/>
  <c r="V38" i="42"/>
  <c r="AH36" i="42" l="1"/>
  <c r="AH24" i="42"/>
  <c r="H24" i="42" s="1"/>
  <c r="AH26" i="42"/>
  <c r="H26" i="42" s="1"/>
  <c r="AH28" i="42"/>
  <c r="H28" i="42" s="1"/>
  <c r="X33" i="42"/>
  <c r="G33" i="42" s="1"/>
  <c r="N33" i="42" s="1"/>
  <c r="AH38" i="42"/>
  <c r="H38" i="42" s="1"/>
  <c r="AH20" i="42"/>
  <c r="H20" i="42" s="1"/>
  <c r="X29" i="42"/>
  <c r="G29" i="42" s="1"/>
  <c r="N29" i="42" s="1"/>
  <c r="X24" i="42"/>
  <c r="G24" i="42" s="1"/>
  <c r="N24" i="42" s="1"/>
  <c r="AH22" i="42"/>
  <c r="H22" i="42" s="1"/>
  <c r="X21" i="42"/>
  <c r="G21" i="42" s="1"/>
  <c r="N21" i="42" s="1"/>
  <c r="X37" i="42"/>
  <c r="G37" i="42" s="1"/>
  <c r="N37" i="42" s="1"/>
  <c r="AH21" i="42"/>
  <c r="H21" i="42" s="1"/>
  <c r="AH33" i="42"/>
  <c r="H33" i="42" s="1"/>
  <c r="AH29" i="42"/>
  <c r="H29" i="42" s="1"/>
  <c r="AH34" i="42"/>
  <c r="H34" i="42" s="1"/>
  <c r="X32" i="42"/>
  <c r="G32" i="42" s="1"/>
  <c r="N32" i="42" s="1"/>
  <c r="AH30" i="42"/>
  <c r="X20" i="42"/>
  <c r="G20" i="42" s="1"/>
  <c r="N20" i="42" s="1"/>
  <c r="AH25" i="42"/>
  <c r="AH32" i="42"/>
  <c r="X26" i="42"/>
  <c r="G26" i="42" s="1"/>
  <c r="N26" i="42" s="1"/>
  <c r="X36" i="42"/>
  <c r="G36" i="42" s="1"/>
  <c r="N36" i="42" s="1"/>
  <c r="X34" i="42"/>
  <c r="G34" i="42" s="1"/>
  <c r="N34" i="42" s="1"/>
  <c r="AH37" i="42"/>
  <c r="X28" i="42"/>
  <c r="G28" i="42" s="1"/>
  <c r="N28" i="42" s="1"/>
  <c r="X38" i="42"/>
  <c r="G38" i="42" s="1"/>
  <c r="N38" i="42" s="1"/>
  <c r="X22" i="42"/>
  <c r="G22" i="42" s="1"/>
  <c r="N22" i="42" s="1"/>
  <c r="H36" i="42"/>
  <c r="X25" i="42"/>
  <c r="G25" i="42" s="1"/>
  <c r="N25" i="42" s="1"/>
  <c r="X30" i="42"/>
  <c r="G30" i="42" s="1"/>
  <c r="N30" i="42" s="1"/>
  <c r="AM33" i="42" l="1"/>
  <c r="AK33" i="42"/>
  <c r="AM24" i="42"/>
  <c r="AK24" i="42"/>
  <c r="AK26" i="42"/>
  <c r="AM20" i="42"/>
  <c r="AM26" i="42"/>
  <c r="AK21" i="42"/>
  <c r="AK22" i="42"/>
  <c r="AM29" i="42"/>
  <c r="AM21" i="42"/>
  <c r="AK36" i="42"/>
  <c r="AK29" i="42"/>
  <c r="AK38" i="42"/>
  <c r="O22" i="42"/>
  <c r="P22" i="42" s="1"/>
  <c r="I22" i="42"/>
  <c r="J22" i="42" s="1"/>
  <c r="O28" i="42"/>
  <c r="P28" i="42" s="1"/>
  <c r="I28" i="42"/>
  <c r="J28" i="42" s="1"/>
  <c r="AM36" i="42"/>
  <c r="O20" i="42"/>
  <c r="P20" i="42" s="1"/>
  <c r="I20" i="42"/>
  <c r="J20" i="42" s="1"/>
  <c r="I34" i="42"/>
  <c r="J34" i="42" s="1"/>
  <c r="O34" i="42"/>
  <c r="P34" i="42" s="1"/>
  <c r="AK28" i="42"/>
  <c r="I36" i="42"/>
  <c r="J36" i="42" s="1"/>
  <c r="O36" i="42"/>
  <c r="P36" i="42" s="1"/>
  <c r="AM37" i="42"/>
  <c r="AK37" i="42"/>
  <c r="H37" i="42"/>
  <c r="H30" i="42"/>
  <c r="AM30" i="42"/>
  <c r="AK30" i="42"/>
  <c r="AK20" i="42"/>
  <c r="I29" i="42"/>
  <c r="J29" i="42" s="1"/>
  <c r="O29" i="42"/>
  <c r="P29" i="42" s="1"/>
  <c r="AM34" i="42"/>
  <c r="AM22" i="42"/>
  <c r="O33" i="42"/>
  <c r="P33" i="42" s="1"/>
  <c r="I33" i="42"/>
  <c r="J33" i="42" s="1"/>
  <c r="O21" i="42"/>
  <c r="P21" i="42" s="1"/>
  <c r="I21" i="42"/>
  <c r="J21" i="42" s="1"/>
  <c r="H25" i="42"/>
  <c r="AM25" i="42"/>
  <c r="AK25" i="42"/>
  <c r="AM38" i="42"/>
  <c r="AM28" i="42"/>
  <c r="AM32" i="42"/>
  <c r="AK32" i="42"/>
  <c r="H32" i="42"/>
  <c r="O26" i="42"/>
  <c r="P26" i="42" s="1"/>
  <c r="I26" i="42"/>
  <c r="J26" i="42" s="1"/>
  <c r="O38" i="42"/>
  <c r="P38" i="42" s="1"/>
  <c r="I38" i="42"/>
  <c r="J38" i="42" s="1"/>
  <c r="AK34" i="42"/>
  <c r="I24" i="42"/>
  <c r="J24" i="42" s="1"/>
  <c r="O24" i="42"/>
  <c r="P24" i="42" s="1"/>
  <c r="I25" i="42" l="1"/>
  <c r="J25" i="42" s="1"/>
  <c r="O25" i="42"/>
  <c r="P25" i="42" s="1"/>
  <c r="I30" i="42"/>
  <c r="J30" i="42" s="1"/>
  <c r="O30" i="42"/>
  <c r="P30" i="42" s="1"/>
  <c r="O32" i="42"/>
  <c r="P32" i="42" s="1"/>
  <c r="I32" i="42"/>
  <c r="J32" i="42" s="1"/>
  <c r="O37" i="42"/>
  <c r="P37" i="42" s="1"/>
  <c r="I37" i="42"/>
  <c r="J37" i="42" s="1"/>
  <c r="Q224" i="2" l="1"/>
  <c r="Q223" i="2"/>
  <c r="Q222" i="2"/>
  <c r="Q221" i="2"/>
  <c r="Q220" i="2"/>
  <c r="Q217" i="2"/>
  <c r="Q216" i="2"/>
  <c r="Q215" i="2"/>
  <c r="Q214" i="2"/>
  <c r="Q213" i="2"/>
  <c r="Q212" i="2"/>
  <c r="Q211" i="2"/>
  <c r="Q210" i="2"/>
  <c r="Q186" i="2"/>
  <c r="Q185" i="2"/>
  <c r="Q184" i="2"/>
  <c r="Q182" i="2"/>
  <c r="Q181" i="2"/>
  <c r="Q179" i="2"/>
  <c r="Q176" i="2"/>
  <c r="Q174" i="2"/>
  <c r="Q172" i="2"/>
  <c r="Q170" i="2"/>
  <c r="Q145" i="2"/>
  <c r="Q143" i="2"/>
  <c r="Q142" i="2"/>
  <c r="Q141" i="2"/>
  <c r="Q137" i="2"/>
  <c r="P137" i="2"/>
  <c r="Q136" i="2"/>
  <c r="P136" i="2"/>
  <c r="Q135" i="2"/>
  <c r="P135" i="2"/>
  <c r="Q134" i="2"/>
  <c r="P134" i="2"/>
  <c r="Q133" i="2"/>
  <c r="P133" i="2"/>
  <c r="Q132" i="2"/>
  <c r="P132" i="2"/>
  <c r="R137" i="2"/>
  <c r="R136" i="2"/>
  <c r="R135" i="2"/>
  <c r="R134" i="2"/>
  <c r="R133" i="2"/>
  <c r="R132" i="2"/>
  <c r="B136" i="2" l="1"/>
  <c r="B134" i="2"/>
  <c r="A238" i="2"/>
  <c r="K207" i="2"/>
  <c r="J207" i="2"/>
  <c r="I207" i="2"/>
  <c r="F207" i="2"/>
  <c r="E207" i="2"/>
  <c r="A190" i="2"/>
  <c r="A149" i="2"/>
  <c r="K166" i="2"/>
  <c r="J166" i="2"/>
  <c r="I166" i="2"/>
  <c r="F166" i="2"/>
  <c r="E166" i="2"/>
  <c r="K128" i="2"/>
  <c r="J128" i="2"/>
  <c r="I128" i="2"/>
  <c r="F128" i="2"/>
  <c r="E128" i="2"/>
  <c r="A112" i="2"/>
  <c r="K97" i="2"/>
  <c r="J97" i="2"/>
  <c r="I97" i="2"/>
  <c r="F97" i="2"/>
  <c r="E97" i="2"/>
  <c r="A81" i="2"/>
  <c r="A37" i="2"/>
  <c r="K53" i="2"/>
  <c r="J53" i="2"/>
  <c r="I53" i="2"/>
  <c r="F53" i="2"/>
  <c r="E53" i="2"/>
  <c r="A41" i="34" l="1"/>
  <c r="A45" i="31"/>
  <c r="A45" i="26"/>
  <c r="A44" i="37"/>
  <c r="A44" i="25"/>
  <c r="A44" i="24"/>
  <c r="A44" i="15"/>
  <c r="A41" i="41"/>
  <c r="A41" i="27"/>
  <c r="A43" i="32"/>
  <c r="A40" i="33"/>
  <c r="A40" i="4"/>
  <c r="W21" i="33" l="1"/>
  <c r="AB20" i="24" l="1"/>
  <c r="AB38" i="24" s="1"/>
  <c r="S20" i="24"/>
  <c r="AC20" i="25"/>
  <c r="S20" i="25"/>
  <c r="AB25" i="24" l="1"/>
  <c r="AB30" i="24"/>
  <c r="AB36" i="24"/>
  <c r="AB24" i="24"/>
  <c r="AB29" i="24"/>
  <c r="AB34" i="24"/>
  <c r="AB21" i="24"/>
  <c r="AB26" i="24"/>
  <c r="AB32" i="24"/>
  <c r="AB37" i="24"/>
  <c r="AB22" i="24"/>
  <c r="AB28" i="24"/>
  <c r="AB33" i="24"/>
  <c r="AC20" i="26"/>
  <c r="S20" i="26"/>
  <c r="R18" i="33" l="1"/>
  <c r="S18" i="33"/>
  <c r="R21" i="33" l="1"/>
  <c r="R25" i="33"/>
  <c r="I60" i="5"/>
  <c r="Q11" i="34" s="1"/>
  <c r="H60" i="5"/>
  <c r="G60" i="5"/>
  <c r="Q10" i="34" s="1"/>
  <c r="I59" i="5"/>
  <c r="Q11" i="35" s="1"/>
  <c r="H59" i="5"/>
  <c r="G59" i="5"/>
  <c r="Q10" i="35" s="1"/>
  <c r="R10" i="41" l="1"/>
  <c r="G33" i="41" s="1"/>
  <c r="W18" i="41"/>
  <c r="W25" i="41" s="1"/>
  <c r="V21" i="41"/>
  <c r="V35" i="41" s="1"/>
  <c r="Q21" i="41"/>
  <c r="Q23" i="41" s="1"/>
  <c r="R18" i="41"/>
  <c r="R35" i="41" s="1"/>
  <c r="L18" i="41"/>
  <c r="K18" i="41"/>
  <c r="J18" i="41"/>
  <c r="F18" i="41"/>
  <c r="E18" i="41"/>
  <c r="A9" i="41"/>
  <c r="A8" i="41"/>
  <c r="L7" i="41"/>
  <c r="A7" i="41"/>
  <c r="A4" i="41"/>
  <c r="A3" i="41"/>
  <c r="A2" i="41"/>
  <c r="A1" i="41"/>
  <c r="R23" i="41" l="1"/>
  <c r="R10" i="27"/>
  <c r="Q27" i="41"/>
  <c r="R11" i="27"/>
  <c r="R11" i="41"/>
  <c r="H29" i="41" s="1"/>
  <c r="Q33" i="41"/>
  <c r="R33" i="41"/>
  <c r="Q31" i="41"/>
  <c r="S23" i="41"/>
  <c r="C23" i="41" s="1"/>
  <c r="W33" i="41"/>
  <c r="W35" i="41"/>
  <c r="X35" i="41" s="1"/>
  <c r="D35" i="41" s="1"/>
  <c r="Q35" i="41"/>
  <c r="S35" i="41" s="1"/>
  <c r="C35" i="41" s="1"/>
  <c r="W27" i="41"/>
  <c r="G35" i="41"/>
  <c r="W23" i="41"/>
  <c r="W29" i="41"/>
  <c r="W21" i="41"/>
  <c r="X21" i="41" s="1"/>
  <c r="G21" i="41"/>
  <c r="G25" i="41"/>
  <c r="G29" i="41"/>
  <c r="W31" i="41"/>
  <c r="V25" i="41"/>
  <c r="X25" i="41" s="1"/>
  <c r="R27" i="41"/>
  <c r="V29" i="41"/>
  <c r="R31" i="41"/>
  <c r="V33" i="41"/>
  <c r="G23" i="41"/>
  <c r="Q25" i="41"/>
  <c r="G27" i="41"/>
  <c r="Q29" i="41"/>
  <c r="G31" i="41"/>
  <c r="R21" i="41"/>
  <c r="S21" i="41" s="1"/>
  <c r="C21" i="41" s="1"/>
  <c r="V23" i="41"/>
  <c r="R25" i="41"/>
  <c r="V27" i="41"/>
  <c r="R29" i="41"/>
  <c r="V31" i="41"/>
  <c r="S33" i="41" l="1"/>
  <c r="C33" i="41" s="1"/>
  <c r="H31" i="41"/>
  <c r="H23" i="41"/>
  <c r="H21" i="41"/>
  <c r="H27" i="41"/>
  <c r="S27" i="41"/>
  <c r="C27" i="41" s="1"/>
  <c r="H35" i="41"/>
  <c r="H33" i="41"/>
  <c r="H25" i="41"/>
  <c r="S31" i="41"/>
  <c r="C31" i="41" s="1"/>
  <c r="X27" i="41"/>
  <c r="X29" i="41"/>
  <c r="D29" i="41" s="1"/>
  <c r="E35" i="41"/>
  <c r="F35" i="41" s="1"/>
  <c r="X23" i="41"/>
  <c r="D23" i="41" s="1"/>
  <c r="X33" i="41"/>
  <c r="S29" i="41"/>
  <c r="C29" i="41" s="1"/>
  <c r="X31" i="41"/>
  <c r="S25" i="41"/>
  <c r="C25" i="41" s="1"/>
  <c r="AE21" i="41"/>
  <c r="D21" i="41"/>
  <c r="AC21" i="41"/>
  <c r="D25" i="41"/>
  <c r="AE33" i="41" l="1"/>
  <c r="AE23" i="41"/>
  <c r="AE31" i="41"/>
  <c r="AE27" i="41"/>
  <c r="AC27" i="41"/>
  <c r="D33" i="41"/>
  <c r="E33" i="41" s="1"/>
  <c r="F33" i="41" s="1"/>
  <c r="D27" i="41"/>
  <c r="E27" i="41" s="1"/>
  <c r="F27" i="41" s="1"/>
  <c r="AC23" i="41"/>
  <c r="AC33" i="41"/>
  <c r="AE29" i="41"/>
  <c r="AC29" i="41"/>
  <c r="AE25" i="41"/>
  <c r="AC31" i="41"/>
  <c r="D31" i="41"/>
  <c r="E31" i="41" s="1"/>
  <c r="F31" i="41" s="1"/>
  <c r="AC25" i="41"/>
  <c r="E21" i="41"/>
  <c r="F21" i="41" s="1"/>
  <c r="E23" i="41"/>
  <c r="F23" i="41" s="1"/>
  <c r="E29" i="41"/>
  <c r="F29" i="41" s="1"/>
  <c r="E25" i="41"/>
  <c r="F25" i="41" s="1"/>
  <c r="G90" i="5" l="1"/>
  <c r="D90" i="5"/>
  <c r="G89" i="5"/>
  <c r="D89" i="5"/>
  <c r="I49" i="5"/>
  <c r="R12" i="33" s="1"/>
  <c r="H49" i="5"/>
  <c r="R11" i="33" s="1"/>
  <c r="G49" i="5"/>
  <c r="R10" i="33" s="1"/>
  <c r="H89" i="5" l="1"/>
  <c r="H90" i="5"/>
  <c r="J15" i="2"/>
  <c r="I15" i="2"/>
  <c r="E38" i="31"/>
  <c r="E37" i="31"/>
  <c r="E36" i="31"/>
  <c r="E34" i="31"/>
  <c r="E33" i="31"/>
  <c r="E32" i="31"/>
  <c r="E30" i="31"/>
  <c r="E29" i="31"/>
  <c r="E28" i="31"/>
  <c r="E26" i="31"/>
  <c r="E25" i="31"/>
  <c r="E24" i="31"/>
  <c r="E22" i="31"/>
  <c r="E21" i="31"/>
  <c r="E20" i="31"/>
  <c r="E38" i="26"/>
  <c r="E37" i="26"/>
  <c r="E36" i="26"/>
  <c r="E34" i="26"/>
  <c r="E33" i="26"/>
  <c r="E32" i="26"/>
  <c r="E30" i="26"/>
  <c r="E28" i="26"/>
  <c r="E26" i="26"/>
  <c r="E24" i="26"/>
  <c r="E22" i="26"/>
  <c r="E20" i="26"/>
  <c r="E21" i="37"/>
  <c r="E24" i="37"/>
  <c r="E30" i="25"/>
  <c r="E22" i="25"/>
  <c r="E34" i="24"/>
  <c r="E30" i="24"/>
  <c r="E24" i="32"/>
  <c r="A41" i="26"/>
  <c r="A41" i="25"/>
  <c r="A41" i="24"/>
  <c r="A41" i="15"/>
  <c r="A41" i="37"/>
  <c r="J9" i="39" l="1"/>
  <c r="A38" i="34"/>
  <c r="A41" i="31"/>
  <c r="A41" i="32"/>
  <c r="A38" i="4"/>
  <c r="L18" i="4"/>
  <c r="J10" i="39" l="1"/>
  <c r="J11" i="39" s="1"/>
  <c r="K18" i="27"/>
  <c r="J18" i="27"/>
  <c r="K18" i="33"/>
  <c r="J18" i="33"/>
  <c r="F18" i="36"/>
  <c r="E18" i="36"/>
  <c r="K18" i="35"/>
  <c r="K18" i="34"/>
  <c r="K18" i="4"/>
  <c r="J18" i="4"/>
  <c r="L18" i="27"/>
  <c r="P18" i="32"/>
  <c r="L18" i="33"/>
  <c r="P18" i="15"/>
  <c r="P18" i="24"/>
  <c r="P18" i="25"/>
  <c r="P18" i="37"/>
  <c r="P18" i="26"/>
  <c r="P18" i="31"/>
  <c r="J18" i="34"/>
  <c r="I18" i="34"/>
  <c r="F18" i="34"/>
  <c r="E18" i="34"/>
  <c r="J18" i="35"/>
  <c r="I18" i="35"/>
  <c r="F18" i="35"/>
  <c r="E18" i="35"/>
  <c r="K15" i="2"/>
  <c r="F15" i="2"/>
  <c r="E15" i="2"/>
  <c r="O18" i="31"/>
  <c r="N18" i="31"/>
  <c r="J18" i="31"/>
  <c r="I18" i="31"/>
  <c r="O18" i="26"/>
  <c r="N18" i="26"/>
  <c r="J18" i="26"/>
  <c r="I18" i="26"/>
  <c r="O18" i="37"/>
  <c r="N18" i="37"/>
  <c r="J18" i="37"/>
  <c r="I18" i="37"/>
  <c r="O18" i="24"/>
  <c r="N18" i="24"/>
  <c r="J18" i="24"/>
  <c r="I18" i="24"/>
  <c r="O18" i="15"/>
  <c r="N18" i="15"/>
  <c r="J18" i="15"/>
  <c r="I18" i="15"/>
  <c r="F18" i="27"/>
  <c r="E18" i="27"/>
  <c r="O18" i="32"/>
  <c r="N18" i="32"/>
  <c r="J18" i="32"/>
  <c r="I18" i="32"/>
  <c r="F18" i="33"/>
  <c r="E18" i="33"/>
  <c r="F18" i="4"/>
  <c r="E18" i="4"/>
  <c r="O18" i="25"/>
  <c r="N18" i="25"/>
  <c r="J18" i="25"/>
  <c r="I18" i="25"/>
  <c r="P7" i="15"/>
  <c r="P7" i="24"/>
  <c r="P7" i="25"/>
  <c r="P7" i="37"/>
  <c r="P7" i="26"/>
  <c r="P7" i="31"/>
  <c r="P7" i="32"/>
  <c r="H7" i="36"/>
  <c r="A9" i="36"/>
  <c r="A8" i="36"/>
  <c r="A7" i="36"/>
  <c r="A4" i="36"/>
  <c r="A3" i="36"/>
  <c r="A2" i="36"/>
  <c r="A1" i="36"/>
  <c r="K159" i="2"/>
  <c r="K199" i="2" s="1"/>
  <c r="K7" i="35"/>
  <c r="K7" i="34"/>
  <c r="K6" i="2"/>
  <c r="K157" i="2" s="1"/>
  <c r="K197" i="2" s="1"/>
  <c r="A8" i="35"/>
  <c r="A8" i="34"/>
  <c r="A7" i="2"/>
  <c r="A158" i="2" s="1"/>
  <c r="A198" i="2" s="1"/>
  <c r="A9" i="35"/>
  <c r="A9" i="34"/>
  <c r="A8" i="2"/>
  <c r="A159" i="2" s="1"/>
  <c r="A199" i="2" s="1"/>
  <c r="A7" i="35"/>
  <c r="A7" i="34"/>
  <c r="A6" i="2"/>
  <c r="A157" i="2" s="1"/>
  <c r="A197" i="2" s="1"/>
  <c r="A4" i="35"/>
  <c r="A4" i="34"/>
  <c r="A4" i="2"/>
  <c r="A195" i="2" s="1"/>
  <c r="A3" i="35"/>
  <c r="A3" i="34"/>
  <c r="A3" i="2"/>
  <c r="A194" i="2" s="1"/>
  <c r="A2" i="35"/>
  <c r="A2" i="34"/>
  <c r="A2" i="2"/>
  <c r="A193" i="2" s="1"/>
  <c r="A1" i="35"/>
  <c r="A1" i="34"/>
  <c r="A1" i="2"/>
  <c r="A152" i="2" s="1"/>
  <c r="A4" i="32"/>
  <c r="A2" i="32"/>
  <c r="A4" i="27"/>
  <c r="A3" i="27"/>
  <c r="A2" i="27"/>
  <c r="A1" i="27"/>
  <c r="A4" i="33"/>
  <c r="A3" i="33"/>
  <c r="A1" i="33"/>
  <c r="A4" i="4"/>
  <c r="A2" i="4"/>
  <c r="A1" i="32"/>
  <c r="A1" i="15"/>
  <c r="A1" i="24"/>
  <c r="A1" i="25"/>
  <c r="A1" i="37"/>
  <c r="A1" i="26"/>
  <c r="A1" i="31"/>
  <c r="A1" i="4"/>
  <c r="L7" i="33"/>
  <c r="L7" i="27"/>
  <c r="L7" i="4"/>
  <c r="A9" i="33"/>
  <c r="A9" i="32"/>
  <c r="A9" i="27"/>
  <c r="A9" i="15"/>
  <c r="A9" i="24"/>
  <c r="A9" i="25"/>
  <c r="A9" i="37"/>
  <c r="A9" i="26"/>
  <c r="A9" i="31"/>
  <c r="A9" i="4"/>
  <c r="A8" i="33"/>
  <c r="A8" i="32"/>
  <c r="A8" i="27"/>
  <c r="A8" i="15"/>
  <c r="A8" i="24"/>
  <c r="A8" i="25"/>
  <c r="A8" i="37"/>
  <c r="A8" i="26"/>
  <c r="A8" i="31"/>
  <c r="A8" i="4"/>
  <c r="A7" i="33"/>
  <c r="A7" i="32"/>
  <c r="A7" i="27"/>
  <c r="A7" i="15"/>
  <c r="A7" i="24"/>
  <c r="A7" i="25"/>
  <c r="A7" i="37"/>
  <c r="A7" i="26"/>
  <c r="A7" i="31"/>
  <c r="A7" i="4"/>
  <c r="A3" i="32"/>
  <c r="A3" i="24"/>
  <c r="A3" i="25"/>
  <c r="A3" i="37"/>
  <c r="A3" i="26"/>
  <c r="A3" i="31"/>
  <c r="A3" i="4"/>
  <c r="A192" i="2" l="1"/>
  <c r="A153" i="2"/>
  <c r="A84" i="2"/>
  <c r="A155" i="2"/>
  <c r="A86" i="2"/>
  <c r="A83" i="2"/>
  <c r="A154" i="2"/>
  <c r="A85" i="2"/>
  <c r="K46" i="2"/>
  <c r="K90" i="2" s="1"/>
  <c r="K121" i="2"/>
  <c r="K44" i="2"/>
  <c r="K88" i="2" s="1"/>
  <c r="K119" i="2"/>
  <c r="A41" i="2"/>
  <c r="A116" i="2"/>
  <c r="A45" i="2"/>
  <c r="A89" i="2" s="1"/>
  <c r="A120" i="2"/>
  <c r="A40" i="2"/>
  <c r="A115" i="2"/>
  <c r="A46" i="2"/>
  <c r="A90" i="2" s="1"/>
  <c r="A121" i="2"/>
  <c r="A39" i="2"/>
  <c r="A114" i="2"/>
  <c r="A44" i="2"/>
  <c r="A88" i="2" s="1"/>
  <c r="A119" i="2"/>
  <c r="A42" i="2"/>
  <c r="A117" i="2"/>
  <c r="J12" i="39"/>
  <c r="S33" i="33"/>
  <c r="R31" i="33"/>
  <c r="J13" i="39" l="1"/>
  <c r="R27" i="33"/>
  <c r="R29" i="33"/>
  <c r="R33" i="33"/>
  <c r="R35" i="33"/>
  <c r="S27" i="33"/>
  <c r="S21" i="33"/>
  <c r="S29" i="33"/>
  <c r="R23" i="33"/>
  <c r="S23" i="33"/>
  <c r="S31" i="33"/>
  <c r="S35" i="33"/>
  <c r="S25" i="33"/>
  <c r="P141" i="2"/>
  <c r="G91" i="5"/>
  <c r="F93" i="5"/>
  <c r="C93" i="5"/>
  <c r="B93" i="5"/>
  <c r="E93" i="5"/>
  <c r="D91" i="5"/>
  <c r="G88" i="5"/>
  <c r="G87" i="5"/>
  <c r="G86" i="5"/>
  <c r="G85" i="5"/>
  <c r="G84" i="5"/>
  <c r="G83" i="5"/>
  <c r="G82" i="5"/>
  <c r="G81" i="5"/>
  <c r="G80" i="5"/>
  <c r="G79" i="5"/>
  <c r="G78" i="5"/>
  <c r="D88" i="5"/>
  <c r="H88" i="5" s="1"/>
  <c r="D87" i="5"/>
  <c r="D86" i="5"/>
  <c r="D85" i="5"/>
  <c r="D84" i="5"/>
  <c r="D83" i="5"/>
  <c r="D82" i="5"/>
  <c r="D81" i="5"/>
  <c r="D80" i="5"/>
  <c r="D79" i="5"/>
  <c r="D78" i="5"/>
  <c r="H86" i="5" l="1"/>
  <c r="H85" i="5"/>
  <c r="H84" i="5"/>
  <c r="H82" i="5"/>
  <c r="H81" i="5"/>
  <c r="H80" i="5"/>
  <c r="H78" i="5"/>
  <c r="H83" i="5"/>
  <c r="H87" i="5"/>
  <c r="H79" i="5"/>
  <c r="G93" i="5"/>
  <c r="J14" i="39"/>
  <c r="H91" i="5"/>
  <c r="D93" i="5"/>
  <c r="E69" i="5" s="1"/>
  <c r="W17" i="25"/>
  <c r="V17" i="25"/>
  <c r="U17" i="25"/>
  <c r="U18" i="24"/>
  <c r="U17" i="24"/>
  <c r="U18" i="15"/>
  <c r="U17" i="15"/>
  <c r="H93" i="5" l="1"/>
  <c r="J15" i="39"/>
  <c r="I61" i="5"/>
  <c r="H61" i="5"/>
  <c r="G61" i="5"/>
  <c r="J16" i="39" l="1"/>
  <c r="R184" i="2"/>
  <c r="B184" i="2" s="1"/>
  <c r="R181" i="2"/>
  <c r="B181" i="2" s="1"/>
  <c r="R179" i="2"/>
  <c r="B179" i="2" s="1"/>
  <c r="R176" i="2"/>
  <c r="B176" i="2" s="1"/>
  <c r="R174" i="2"/>
  <c r="B174" i="2" s="1"/>
  <c r="R172" i="2"/>
  <c r="B172" i="2" s="1"/>
  <c r="R170" i="2"/>
  <c r="B170" i="2" s="1"/>
  <c r="R227" i="2"/>
  <c r="B227" i="2" s="1"/>
  <c r="R72" i="2"/>
  <c r="B72" i="2" s="1"/>
  <c r="R62" i="2"/>
  <c r="B62" i="2" s="1"/>
  <c r="R59" i="2"/>
  <c r="P224" i="2"/>
  <c r="P223" i="2"/>
  <c r="P222" i="2"/>
  <c r="P221" i="2"/>
  <c r="P220" i="2"/>
  <c r="P217" i="2"/>
  <c r="P216" i="2"/>
  <c r="P215" i="2"/>
  <c r="P214" i="2"/>
  <c r="P213" i="2"/>
  <c r="P212" i="2"/>
  <c r="P211" i="2"/>
  <c r="P210" i="2"/>
  <c r="P186" i="2"/>
  <c r="P185" i="2"/>
  <c r="P184" i="2"/>
  <c r="P182" i="2"/>
  <c r="P181" i="2"/>
  <c r="P179" i="2"/>
  <c r="P176" i="2"/>
  <c r="P174" i="2"/>
  <c r="P172" i="2"/>
  <c r="P170" i="2"/>
  <c r="P145" i="2"/>
  <c r="P143" i="2"/>
  <c r="P142" i="2"/>
  <c r="Q230" i="2"/>
  <c r="P230" i="2"/>
  <c r="Q229" i="2"/>
  <c r="P229" i="2"/>
  <c r="Q100" i="2"/>
  <c r="P100" i="2"/>
  <c r="Q99" i="2"/>
  <c r="P99" i="2"/>
  <c r="Q228" i="2"/>
  <c r="P228" i="2"/>
  <c r="Q227" i="2"/>
  <c r="P227" i="2"/>
  <c r="P57" i="2"/>
  <c r="Q77" i="2"/>
  <c r="P77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1" i="2"/>
  <c r="P61" i="2"/>
  <c r="Q60" i="2"/>
  <c r="P60" i="2"/>
  <c r="Q58" i="2"/>
  <c r="P58" i="2"/>
  <c r="Q57" i="2"/>
  <c r="Q144" i="2"/>
  <c r="P144" i="2"/>
  <c r="Q27" i="2"/>
  <c r="P27" i="2"/>
  <c r="Q140" i="2"/>
  <c r="P140" i="2"/>
  <c r="Q24" i="2"/>
  <c r="P24" i="2"/>
  <c r="Q23" i="2"/>
  <c r="P23" i="2"/>
  <c r="Q22" i="2"/>
  <c r="P22" i="2"/>
  <c r="Q21" i="2"/>
  <c r="P21" i="2"/>
  <c r="Q20" i="2"/>
  <c r="P20" i="2"/>
  <c r="Q19" i="2"/>
  <c r="P19" i="2"/>
  <c r="R224" i="2"/>
  <c r="B224" i="2" s="1"/>
  <c r="R223" i="2"/>
  <c r="B223" i="2" s="1"/>
  <c r="R222" i="2"/>
  <c r="B222" i="2" s="1"/>
  <c r="R221" i="2"/>
  <c r="B221" i="2" s="1"/>
  <c r="R220" i="2"/>
  <c r="B220" i="2" s="1"/>
  <c r="R217" i="2"/>
  <c r="B217" i="2" s="1"/>
  <c r="R216" i="2"/>
  <c r="B216" i="2" s="1"/>
  <c r="R215" i="2"/>
  <c r="B215" i="2" s="1"/>
  <c r="R214" i="2"/>
  <c r="B214" i="2" s="1"/>
  <c r="R213" i="2"/>
  <c r="B213" i="2" s="1"/>
  <c r="R212" i="2"/>
  <c r="B212" i="2" s="1"/>
  <c r="R211" i="2"/>
  <c r="B211" i="2" s="1"/>
  <c r="R210" i="2"/>
  <c r="B210" i="2" s="1"/>
  <c r="R186" i="2"/>
  <c r="B186" i="2" s="1"/>
  <c r="R185" i="2"/>
  <c r="B185" i="2" s="1"/>
  <c r="R182" i="2"/>
  <c r="B182" i="2" s="1"/>
  <c r="R145" i="2"/>
  <c r="B145" i="2" s="1"/>
  <c r="R143" i="2"/>
  <c r="B143" i="2" s="1"/>
  <c r="R142" i="2"/>
  <c r="B142" i="2" s="1"/>
  <c r="R141" i="2"/>
  <c r="B141" i="2" s="1"/>
  <c r="B135" i="2"/>
  <c r="B133" i="2"/>
  <c r="B132" i="2"/>
  <c r="B131" i="2"/>
  <c r="R230" i="2"/>
  <c r="B230" i="2" s="1"/>
  <c r="R229" i="2"/>
  <c r="B229" i="2" s="1"/>
  <c r="R100" i="2"/>
  <c r="B100" i="2" s="1"/>
  <c r="R99" i="2"/>
  <c r="B99" i="2" s="1"/>
  <c r="R228" i="2"/>
  <c r="B228" i="2" s="1"/>
  <c r="R77" i="2"/>
  <c r="B77" i="2" s="1"/>
  <c r="R76" i="2"/>
  <c r="B76" i="2" s="1"/>
  <c r="R75" i="2"/>
  <c r="B75" i="2" s="1"/>
  <c r="R74" i="2"/>
  <c r="B74" i="2" s="1"/>
  <c r="R73" i="2"/>
  <c r="B73" i="2" s="1"/>
  <c r="R71" i="2"/>
  <c r="B71" i="2" s="1"/>
  <c r="R70" i="2"/>
  <c r="B70" i="2" s="1"/>
  <c r="R69" i="2"/>
  <c r="B69" i="2" s="1"/>
  <c r="R68" i="2"/>
  <c r="B68" i="2" s="1"/>
  <c r="R67" i="2"/>
  <c r="B67" i="2" s="1"/>
  <c r="R66" i="2"/>
  <c r="B66" i="2" s="1"/>
  <c r="R65" i="2"/>
  <c r="B65" i="2" s="1"/>
  <c r="R64" i="2"/>
  <c r="B64" i="2" s="1"/>
  <c r="R63" i="2"/>
  <c r="B63" i="2" s="1"/>
  <c r="R61" i="2"/>
  <c r="B61" i="2" s="1"/>
  <c r="R60" i="2"/>
  <c r="B60" i="2" s="1"/>
  <c r="R58" i="2"/>
  <c r="B58" i="2" s="1"/>
  <c r="R57" i="2"/>
  <c r="B57" i="2" s="1"/>
  <c r="R144" i="2"/>
  <c r="B144" i="2" s="1"/>
  <c r="R27" i="2"/>
  <c r="B27" i="2" s="1"/>
  <c r="R140" i="2"/>
  <c r="B140" i="2" s="1"/>
  <c r="R24" i="2"/>
  <c r="B24" i="2" s="1"/>
  <c r="R23" i="2"/>
  <c r="B23" i="2" s="1"/>
  <c r="R22" i="2"/>
  <c r="B22" i="2" s="1"/>
  <c r="R21" i="2"/>
  <c r="B21" i="2" s="1"/>
  <c r="R20" i="2"/>
  <c r="B20" i="2" s="1"/>
  <c r="R19" i="2"/>
  <c r="B19" i="2" s="1"/>
  <c r="W17" i="26"/>
  <c r="V17" i="26"/>
  <c r="U17" i="26"/>
  <c r="W17" i="37"/>
  <c r="V17" i="37"/>
  <c r="U17" i="37"/>
  <c r="U36" i="37" s="1"/>
  <c r="E38" i="37"/>
  <c r="E37" i="37"/>
  <c r="E36" i="37"/>
  <c r="E34" i="37"/>
  <c r="E33" i="37"/>
  <c r="E32" i="37"/>
  <c r="E30" i="37"/>
  <c r="E29" i="37"/>
  <c r="E28" i="37"/>
  <c r="E26" i="37"/>
  <c r="E25" i="37"/>
  <c r="E22" i="37"/>
  <c r="AC20" i="37"/>
  <c r="AC25" i="37" s="1"/>
  <c r="S20" i="37"/>
  <c r="S38" i="37" s="1"/>
  <c r="AG17" i="37"/>
  <c r="AG29" i="37" s="1"/>
  <c r="AF17" i="37"/>
  <c r="AF28" i="37" s="1"/>
  <c r="AE17" i="37"/>
  <c r="AD17" i="37"/>
  <c r="AD36" i="37" s="1"/>
  <c r="T17" i="37"/>
  <c r="D4" i="5"/>
  <c r="C4" i="5"/>
  <c r="Q21" i="33" s="1"/>
  <c r="T21" i="33" s="1"/>
  <c r="R12" i="27" l="1"/>
  <c r="R12" i="41"/>
  <c r="B137" i="2"/>
  <c r="B59" i="2"/>
  <c r="U33" i="37"/>
  <c r="U29" i="37"/>
  <c r="J17" i="39"/>
  <c r="T20" i="37"/>
  <c r="AG36" i="37"/>
  <c r="U21" i="37"/>
  <c r="U20" i="37"/>
  <c r="U22" i="37"/>
  <c r="AF21" i="37"/>
  <c r="AC26" i="37"/>
  <c r="AG37" i="37"/>
  <c r="S32" i="37"/>
  <c r="S25" i="37"/>
  <c r="S28" i="37"/>
  <c r="S36" i="37"/>
  <c r="U38" i="37"/>
  <c r="S21" i="37"/>
  <c r="S22" i="37"/>
  <c r="U24" i="37"/>
  <c r="U25" i="37"/>
  <c r="S26" i="37"/>
  <c r="U28" i="37"/>
  <c r="S30" i="37"/>
  <c r="S33" i="37"/>
  <c r="U34" i="37"/>
  <c r="S37" i="37"/>
  <c r="AC34" i="37"/>
  <c r="AC24" i="37"/>
  <c r="AD25" i="37"/>
  <c r="AD32" i="37"/>
  <c r="AC21" i="37"/>
  <c r="AD33" i="37"/>
  <c r="AD30" i="37"/>
  <c r="AD22" i="37"/>
  <c r="AD21" i="37"/>
  <c r="AG21" i="37"/>
  <c r="AG25" i="37"/>
  <c r="AG26" i="37"/>
  <c r="V38" i="37"/>
  <c r="V33" i="37"/>
  <c r="V28" i="37"/>
  <c r="V22" i="37"/>
  <c r="V34" i="37"/>
  <c r="V24" i="37"/>
  <c r="V29" i="37"/>
  <c r="V37" i="37"/>
  <c r="V36" i="37"/>
  <c r="V26" i="37"/>
  <c r="V25" i="37"/>
  <c r="V20" i="37"/>
  <c r="V21" i="37"/>
  <c r="AE36" i="37"/>
  <c r="AE30" i="37"/>
  <c r="AE25" i="37"/>
  <c r="AE34" i="37"/>
  <c r="AE33" i="37"/>
  <c r="AE32" i="37"/>
  <c r="AE22" i="37"/>
  <c r="AE38" i="37"/>
  <c r="AE37" i="37"/>
  <c r="AE29" i="37"/>
  <c r="AE28" i="37"/>
  <c r="AE26" i="37"/>
  <c r="AE21" i="37"/>
  <c r="AE24" i="37"/>
  <c r="AE20" i="37"/>
  <c r="AD26" i="37"/>
  <c r="T26" i="37"/>
  <c r="T29" i="37"/>
  <c r="V32" i="37"/>
  <c r="AD37" i="37"/>
  <c r="W34" i="37"/>
  <c r="W29" i="37"/>
  <c r="W24" i="37"/>
  <c r="W33" i="37"/>
  <c r="W32" i="37"/>
  <c r="W30" i="37"/>
  <c r="W38" i="37"/>
  <c r="W37" i="37"/>
  <c r="W36" i="37"/>
  <c r="W28" i="37"/>
  <c r="W26" i="37"/>
  <c r="W25" i="37"/>
  <c r="W20" i="37"/>
  <c r="W21" i="37"/>
  <c r="W22" i="37"/>
  <c r="AF37" i="37"/>
  <c r="AF32" i="37"/>
  <c r="AF26" i="37"/>
  <c r="AF30" i="37"/>
  <c r="AF20" i="37"/>
  <c r="AF36" i="37"/>
  <c r="AF25" i="37"/>
  <c r="AF34" i="37"/>
  <c r="AF33" i="37"/>
  <c r="AF24" i="37"/>
  <c r="AF22" i="37"/>
  <c r="AF29" i="37"/>
  <c r="V30" i="37"/>
  <c r="AD38" i="37"/>
  <c r="AD28" i="37"/>
  <c r="T28" i="37"/>
  <c r="AF38" i="37"/>
  <c r="T36" i="37"/>
  <c r="T30" i="37"/>
  <c r="T25" i="37"/>
  <c r="AG38" i="37"/>
  <c r="AG33" i="37"/>
  <c r="AG28" i="37"/>
  <c r="AG22" i="37"/>
  <c r="AC38" i="37"/>
  <c r="AC33" i="37"/>
  <c r="AC28" i="37"/>
  <c r="AC22" i="37"/>
  <c r="AG20" i="37"/>
  <c r="AC29" i="37"/>
  <c r="AG30" i="37"/>
  <c r="AG32" i="37"/>
  <c r="U37" i="37"/>
  <c r="U32" i="37"/>
  <c r="U26" i="37"/>
  <c r="AD34" i="37"/>
  <c r="AD29" i="37"/>
  <c r="AD24" i="37"/>
  <c r="S34" i="37"/>
  <c r="S29" i="37"/>
  <c r="S24" i="37"/>
  <c r="AD20" i="37"/>
  <c r="T21" i="37"/>
  <c r="T22" i="37"/>
  <c r="T24" i="37"/>
  <c r="AG24" i="37"/>
  <c r="U30" i="37"/>
  <c r="AC30" i="37"/>
  <c r="T32" i="37"/>
  <c r="AC32" i="37"/>
  <c r="T33" i="37"/>
  <c r="T34" i="37"/>
  <c r="AG34" i="37"/>
  <c r="AC36" i="37"/>
  <c r="T37" i="37"/>
  <c r="AC37" i="37"/>
  <c r="T38" i="37"/>
  <c r="I33" i="41" l="1"/>
  <c r="I35" i="41"/>
  <c r="I31" i="41"/>
  <c r="I25" i="41"/>
  <c r="I23" i="41"/>
  <c r="I21" i="41"/>
  <c r="I27" i="41"/>
  <c r="I29" i="41"/>
  <c r="J18" i="39"/>
  <c r="AH33" i="37"/>
  <c r="X22" i="37"/>
  <c r="G22" i="37" s="1"/>
  <c r="X33" i="37"/>
  <c r="G33" i="37" s="1"/>
  <c r="AH34" i="37"/>
  <c r="H34" i="37" s="1"/>
  <c r="AH32" i="37"/>
  <c r="H32" i="37" s="1"/>
  <c r="X25" i="37"/>
  <c r="G25" i="37" s="1"/>
  <c r="AH37" i="37"/>
  <c r="H37" i="37" s="1"/>
  <c r="AH24" i="37"/>
  <c r="H24" i="37" s="1"/>
  <c r="AH21" i="37"/>
  <c r="H21" i="37" s="1"/>
  <c r="X28" i="37"/>
  <c r="G28" i="37" s="1"/>
  <c r="X32" i="37"/>
  <c r="G32" i="37" s="1"/>
  <c r="AH20" i="37"/>
  <c r="H20" i="37" s="1"/>
  <c r="AH25" i="37"/>
  <c r="H25" i="37" s="1"/>
  <c r="X20" i="37"/>
  <c r="G20" i="37" s="1"/>
  <c r="X30" i="37"/>
  <c r="G30" i="37" s="1"/>
  <c r="X36" i="37"/>
  <c r="G36" i="37" s="1"/>
  <c r="X21" i="37"/>
  <c r="G21" i="37" s="1"/>
  <c r="X26" i="37"/>
  <c r="G26" i="37" s="1"/>
  <c r="X38" i="37"/>
  <c r="G38" i="37" s="1"/>
  <c r="X24" i="37"/>
  <c r="G24" i="37" s="1"/>
  <c r="X37" i="37"/>
  <c r="G37" i="37" s="1"/>
  <c r="AH38" i="37"/>
  <c r="AH36" i="37"/>
  <c r="AH30" i="37"/>
  <c r="X34" i="37"/>
  <c r="G34" i="37" s="1"/>
  <c r="AH29" i="37"/>
  <c r="AH22" i="37"/>
  <c r="X29" i="37"/>
  <c r="G29" i="37" s="1"/>
  <c r="AH26" i="37"/>
  <c r="AH28" i="37"/>
  <c r="J25" i="41" l="1"/>
  <c r="K25" i="41"/>
  <c r="J31" i="41"/>
  <c r="K31" i="41"/>
  <c r="J21" i="41"/>
  <c r="K21" i="41"/>
  <c r="K35" i="41"/>
  <c r="J35" i="41"/>
  <c r="J29" i="41"/>
  <c r="K29" i="41"/>
  <c r="J27" i="41"/>
  <c r="K27" i="41"/>
  <c r="J23" i="41"/>
  <c r="K23" i="41"/>
  <c r="J33" i="41"/>
  <c r="K33" i="41"/>
  <c r="J19" i="39"/>
  <c r="J20" i="39" s="1"/>
  <c r="J21" i="39" s="1"/>
  <c r="J22" i="39" s="1"/>
  <c r="J23" i="39" s="1"/>
  <c r="J24" i="39" s="1"/>
  <c r="J25" i="39" s="1"/>
  <c r="J26" i="39" s="1"/>
  <c r="J27" i="39" s="1"/>
  <c r="J28" i="39" s="1"/>
  <c r="AK25" i="37"/>
  <c r="AM33" i="37"/>
  <c r="AK33" i="37"/>
  <c r="H33" i="37"/>
  <c r="I33" i="37" s="1"/>
  <c r="J33" i="37" s="1"/>
  <c r="AK21" i="37"/>
  <c r="AK32" i="37"/>
  <c r="AM32" i="37"/>
  <c r="AM21" i="37"/>
  <c r="AM25" i="37"/>
  <c r="AK20" i="37"/>
  <c r="AM20" i="37"/>
  <c r="AK24" i="37"/>
  <c r="AM24" i="37"/>
  <c r="I32" i="37"/>
  <c r="J32" i="37" s="1"/>
  <c r="I21" i="37"/>
  <c r="J21" i="37" s="1"/>
  <c r="I25" i="37"/>
  <c r="J25" i="37" s="1"/>
  <c r="I20" i="37"/>
  <c r="J20" i="37" s="1"/>
  <c r="AK34" i="37"/>
  <c r="AM30" i="37"/>
  <c r="H30" i="37"/>
  <c r="AK30" i="37"/>
  <c r="I24" i="37"/>
  <c r="J24" i="37" s="1"/>
  <c r="AM37" i="37"/>
  <c r="AM28" i="37"/>
  <c r="H28" i="37"/>
  <c r="AK28" i="37"/>
  <c r="AM22" i="37"/>
  <c r="H22" i="37"/>
  <c r="AK22" i="37"/>
  <c r="H36" i="37"/>
  <c r="AM36" i="37"/>
  <c r="AK36" i="37"/>
  <c r="I37" i="37"/>
  <c r="J37" i="37" s="1"/>
  <c r="I34" i="37"/>
  <c r="J34" i="37" s="1"/>
  <c r="AK26" i="37"/>
  <c r="AM26" i="37"/>
  <c r="H26" i="37"/>
  <c r="AK29" i="37"/>
  <c r="H29" i="37"/>
  <c r="AM29" i="37"/>
  <c r="AM38" i="37"/>
  <c r="H38" i="37"/>
  <c r="AK38" i="37"/>
  <c r="AK37" i="37"/>
  <c r="AM34" i="37"/>
  <c r="L33" i="41" l="1"/>
  <c r="L27" i="41"/>
  <c r="L31" i="41"/>
  <c r="L35" i="41"/>
  <c r="L23" i="41"/>
  <c r="L29" i="41"/>
  <c r="L21" i="41"/>
  <c r="L25" i="41"/>
  <c r="I26" i="37"/>
  <c r="J26" i="37" s="1"/>
  <c r="I28" i="37"/>
  <c r="J28" i="37" s="1"/>
  <c r="I36" i="37"/>
  <c r="J36" i="37" s="1"/>
  <c r="I29" i="37"/>
  <c r="J29" i="37" s="1"/>
  <c r="I30" i="37"/>
  <c r="J30" i="37" s="1"/>
  <c r="I38" i="37"/>
  <c r="J38" i="37" s="1"/>
  <c r="I22" i="37"/>
  <c r="J22" i="37" s="1"/>
  <c r="S131" i="2" l="1"/>
  <c r="G131" i="2" s="1"/>
  <c r="S103" i="2"/>
  <c r="S32" i="2"/>
  <c r="S31" i="2"/>
  <c r="S33" i="2"/>
  <c r="S106" i="2"/>
  <c r="S30" i="2"/>
  <c r="S105" i="2"/>
  <c r="S104" i="2"/>
  <c r="S136" i="2"/>
  <c r="S134" i="2"/>
  <c r="S135" i="2"/>
  <c r="S59" i="2"/>
  <c r="S137" i="2"/>
  <c r="S215" i="2"/>
  <c r="G215" i="2" s="1"/>
  <c r="S172" i="2"/>
  <c r="G172" i="2" s="1"/>
  <c r="S99" i="2"/>
  <c r="G99" i="2" s="1"/>
  <c r="S60" i="2"/>
  <c r="G60" i="2" s="1"/>
  <c r="S221" i="2"/>
  <c r="G221" i="2" s="1"/>
  <c r="S185" i="2"/>
  <c r="G185" i="2" s="1"/>
  <c r="S228" i="2"/>
  <c r="G228" i="2" s="1"/>
  <c r="S181" i="2"/>
  <c r="G181" i="2" s="1"/>
  <c r="S132" i="2"/>
  <c r="G132" i="2" s="1"/>
  <c r="S143" i="2"/>
  <c r="G143" i="2" s="1"/>
  <c r="S222" i="2"/>
  <c r="G222" i="2" s="1"/>
  <c r="S179" i="2"/>
  <c r="G179" i="2" s="1"/>
  <c r="S186" i="2"/>
  <c r="G186" i="2" s="1"/>
  <c r="S142" i="2"/>
  <c r="G142" i="2" s="1"/>
  <c r="S217" i="2"/>
  <c r="G217" i="2" s="1"/>
  <c r="S62" i="2"/>
  <c r="G62" i="2" s="1"/>
  <c r="S220" i="2"/>
  <c r="G220" i="2" s="1"/>
  <c r="S61" i="2"/>
  <c r="G61" i="2" s="1"/>
  <c r="S216" i="2"/>
  <c r="G216" i="2" s="1"/>
  <c r="S223" i="2"/>
  <c r="G223" i="2" s="1"/>
  <c r="S224" i="2"/>
  <c r="G224" i="2" s="1"/>
  <c r="S63" i="2"/>
  <c r="G63" i="2" s="1"/>
  <c r="G33" i="35"/>
  <c r="N7" i="2"/>
  <c r="G33" i="34"/>
  <c r="S227" i="2"/>
  <c r="G227" i="2" s="1"/>
  <c r="G105" i="2" l="1"/>
  <c r="G30" i="2"/>
  <c r="G32" i="2"/>
  <c r="G106" i="2"/>
  <c r="G103" i="2"/>
  <c r="G31" i="2"/>
  <c r="G104" i="2"/>
  <c r="G33" i="2"/>
  <c r="G134" i="2"/>
  <c r="G59" i="2"/>
  <c r="G136" i="2"/>
  <c r="G31" i="34"/>
  <c r="G25" i="35"/>
  <c r="G31" i="35"/>
  <c r="G29" i="34"/>
  <c r="G27" i="35"/>
  <c r="G29" i="35"/>
  <c r="G23" i="35"/>
  <c r="G25" i="34"/>
  <c r="G27" i="34"/>
  <c r="G21" i="34"/>
  <c r="G23" i="34"/>
  <c r="G21" i="35"/>
  <c r="G35" i="35"/>
  <c r="G35" i="34"/>
  <c r="H58" i="5"/>
  <c r="I58" i="5"/>
  <c r="E63" i="5"/>
  <c r="E71" i="5" s="1"/>
  <c r="D63" i="5"/>
  <c r="D71" i="5" s="1"/>
  <c r="C63" i="5"/>
  <c r="C71" i="5" s="1"/>
  <c r="B63" i="5"/>
  <c r="B65" i="5" s="1"/>
  <c r="I56" i="5"/>
  <c r="T12" i="26" s="1"/>
  <c r="H56" i="5"/>
  <c r="T11" i="26" s="1"/>
  <c r="G56" i="5"/>
  <c r="T10" i="26" s="1"/>
  <c r="I55" i="5"/>
  <c r="H55" i="5"/>
  <c r="G55" i="5"/>
  <c r="I54" i="5"/>
  <c r="T12" i="25" s="1"/>
  <c r="H54" i="5"/>
  <c r="T11" i="25" s="1"/>
  <c r="G54" i="5"/>
  <c r="T10" i="25" s="1"/>
  <c r="I53" i="5"/>
  <c r="T12" i="24" s="1"/>
  <c r="H53" i="5"/>
  <c r="T11" i="24" s="1"/>
  <c r="G53" i="5"/>
  <c r="T10" i="24" s="1"/>
  <c r="I52" i="5"/>
  <c r="T12" i="15" s="1"/>
  <c r="H52" i="5"/>
  <c r="T11" i="15" s="1"/>
  <c r="G52" i="5"/>
  <c r="T10" i="15" s="1"/>
  <c r="I51" i="5"/>
  <c r="H51" i="5"/>
  <c r="G51" i="5"/>
  <c r="I50" i="5"/>
  <c r="H50" i="5"/>
  <c r="G50" i="5"/>
  <c r="T12" i="32"/>
  <c r="T11" i="32"/>
  <c r="T10" i="32"/>
  <c r="T131" i="2" l="1"/>
  <c r="V131" i="2" s="1"/>
  <c r="T103" i="2"/>
  <c r="T31" i="2"/>
  <c r="T32" i="2"/>
  <c r="T33" i="2"/>
  <c r="T30" i="2"/>
  <c r="T105" i="2"/>
  <c r="T104" i="2"/>
  <c r="T106" i="2"/>
  <c r="T136" i="2"/>
  <c r="T134" i="2"/>
  <c r="T135" i="2"/>
  <c r="T137" i="2"/>
  <c r="T59" i="2"/>
  <c r="H59" i="2" s="1"/>
  <c r="L30" i="24"/>
  <c r="L34" i="24"/>
  <c r="L30" i="31"/>
  <c r="L25" i="31"/>
  <c r="L33" i="31"/>
  <c r="L22" i="31"/>
  <c r="L34" i="31"/>
  <c r="L29" i="31"/>
  <c r="L24" i="31"/>
  <c r="L28" i="31"/>
  <c r="L26" i="31"/>
  <c r="L21" i="31"/>
  <c r="L32" i="31"/>
  <c r="L22" i="25"/>
  <c r="L30" i="25"/>
  <c r="R12" i="4"/>
  <c r="I21" i="4" s="1"/>
  <c r="I66" i="5"/>
  <c r="I65" i="5"/>
  <c r="G65" i="5"/>
  <c r="G66" i="5"/>
  <c r="H66" i="5"/>
  <c r="H65" i="5"/>
  <c r="T12" i="37"/>
  <c r="T10" i="37"/>
  <c r="G35" i="4"/>
  <c r="T11" i="37"/>
  <c r="T215" i="2"/>
  <c r="H215" i="2" s="1"/>
  <c r="T221" i="2"/>
  <c r="H221" i="2" s="1"/>
  <c r="T181" i="2"/>
  <c r="H181" i="2" s="1"/>
  <c r="T179" i="2"/>
  <c r="H179" i="2" s="1"/>
  <c r="T99" i="2"/>
  <c r="H99" i="2" s="1"/>
  <c r="T60" i="2"/>
  <c r="H60" i="2" s="1"/>
  <c r="T132" i="2"/>
  <c r="H132" i="2" s="1"/>
  <c r="T142" i="2"/>
  <c r="H142" i="2" s="1"/>
  <c r="T63" i="2"/>
  <c r="H63" i="2" s="1"/>
  <c r="T185" i="2"/>
  <c r="H185" i="2" s="1"/>
  <c r="T220" i="2"/>
  <c r="H220" i="2" s="1"/>
  <c r="T61" i="2"/>
  <c r="H61" i="2" s="1"/>
  <c r="T217" i="2"/>
  <c r="H217" i="2" s="1"/>
  <c r="T216" i="2"/>
  <c r="H216" i="2" s="1"/>
  <c r="T222" i="2"/>
  <c r="H222" i="2" s="1"/>
  <c r="T62" i="2"/>
  <c r="H62" i="2" s="1"/>
  <c r="T143" i="2"/>
  <c r="H143" i="2" s="1"/>
  <c r="T224" i="2"/>
  <c r="H224" i="2" s="1"/>
  <c r="T228" i="2"/>
  <c r="H228" i="2" s="1"/>
  <c r="T223" i="2"/>
  <c r="H223" i="2" s="1"/>
  <c r="T186" i="2"/>
  <c r="H186" i="2" s="1"/>
  <c r="T172" i="2"/>
  <c r="H172" i="2" s="1"/>
  <c r="G33" i="27"/>
  <c r="G35" i="27"/>
  <c r="G27" i="27"/>
  <c r="G21" i="27"/>
  <c r="G29" i="27"/>
  <c r="I35" i="27"/>
  <c r="I31" i="27"/>
  <c r="I27" i="27"/>
  <c r="I23" i="27"/>
  <c r="I21" i="27"/>
  <c r="I33" i="27"/>
  <c r="I29" i="27"/>
  <c r="I25" i="27"/>
  <c r="T227" i="2"/>
  <c r="H227" i="2" s="1"/>
  <c r="N8" i="2"/>
  <c r="G23" i="27"/>
  <c r="R11" i="4"/>
  <c r="H27" i="4" s="1"/>
  <c r="G25" i="27"/>
  <c r="H35" i="27"/>
  <c r="H31" i="27"/>
  <c r="H27" i="27"/>
  <c r="H23" i="27"/>
  <c r="H33" i="27"/>
  <c r="H29" i="27"/>
  <c r="H25" i="27"/>
  <c r="H21" i="27"/>
  <c r="G31" i="27"/>
  <c r="F63" i="5"/>
  <c r="I63" i="5" s="1"/>
  <c r="U131" i="2" l="1"/>
  <c r="C131" i="2" s="1"/>
  <c r="H131" i="2"/>
  <c r="H104" i="2"/>
  <c r="V104" i="2"/>
  <c r="D104" i="2" s="1"/>
  <c r="C104" i="2"/>
  <c r="H105" i="2"/>
  <c r="V105" i="2"/>
  <c r="D105" i="2" s="1"/>
  <c r="C105" i="2"/>
  <c r="H31" i="2"/>
  <c r="C31" i="2"/>
  <c r="V31" i="2"/>
  <c r="D31" i="2" s="1"/>
  <c r="H30" i="2"/>
  <c r="C30" i="2"/>
  <c r="V30" i="2"/>
  <c r="D30" i="2" s="1"/>
  <c r="V103" i="2"/>
  <c r="D103" i="2" s="1"/>
  <c r="H32" i="2"/>
  <c r="C32" i="2"/>
  <c r="V32" i="2"/>
  <c r="D32" i="2" s="1"/>
  <c r="H106" i="2"/>
  <c r="V106" i="2"/>
  <c r="D106" i="2" s="1"/>
  <c r="C106" i="2"/>
  <c r="H33" i="2"/>
  <c r="V33" i="2"/>
  <c r="D33" i="2" s="1"/>
  <c r="C33" i="2"/>
  <c r="U135" i="2"/>
  <c r="V135" i="2"/>
  <c r="H134" i="2"/>
  <c r="U134" i="2"/>
  <c r="C134" i="2" s="1"/>
  <c r="V134" i="2"/>
  <c r="D134" i="2" s="1"/>
  <c r="V137" i="2"/>
  <c r="U137" i="2"/>
  <c r="V59" i="2"/>
  <c r="D59" i="2" s="1"/>
  <c r="U59" i="2"/>
  <c r="C59" i="2" s="1"/>
  <c r="I59" i="2" s="1"/>
  <c r="H136" i="2"/>
  <c r="V136" i="2"/>
  <c r="D136" i="2" s="1"/>
  <c r="U136" i="2"/>
  <c r="C136" i="2" s="1"/>
  <c r="G33" i="4"/>
  <c r="G21" i="4"/>
  <c r="L33" i="37"/>
  <c r="L28" i="37"/>
  <c r="L22" i="37"/>
  <c r="L30" i="37"/>
  <c r="L32" i="37"/>
  <c r="L26" i="37"/>
  <c r="L21" i="37"/>
  <c r="L25" i="37"/>
  <c r="L34" i="37"/>
  <c r="L29" i="37"/>
  <c r="L24" i="37"/>
  <c r="L24" i="32"/>
  <c r="G29" i="4"/>
  <c r="I31" i="4"/>
  <c r="I35" i="4"/>
  <c r="I27" i="4"/>
  <c r="I29" i="4"/>
  <c r="I33" i="4"/>
  <c r="I25" i="4"/>
  <c r="I23" i="4"/>
  <c r="G33" i="33"/>
  <c r="G21" i="33"/>
  <c r="G27" i="4"/>
  <c r="G23" i="4"/>
  <c r="H68" i="5"/>
  <c r="H29" i="4"/>
  <c r="G27" i="33"/>
  <c r="G31" i="33"/>
  <c r="G25" i="33"/>
  <c r="G23" i="33"/>
  <c r="G35" i="33"/>
  <c r="G29" i="33"/>
  <c r="H21" i="4"/>
  <c r="G25" i="4"/>
  <c r="H35" i="4"/>
  <c r="G31" i="4"/>
  <c r="H23" i="4"/>
  <c r="U224" i="2"/>
  <c r="C224" i="2" s="1"/>
  <c r="I224" i="2" s="1"/>
  <c r="V224" i="2"/>
  <c r="D224" i="2" s="1"/>
  <c r="V61" i="2"/>
  <c r="D61" i="2" s="1"/>
  <c r="U61" i="2"/>
  <c r="C61" i="2" s="1"/>
  <c r="I61" i="2" s="1"/>
  <c r="V142" i="2"/>
  <c r="D142" i="2" s="1"/>
  <c r="U142" i="2"/>
  <c r="C142" i="2" s="1"/>
  <c r="I142" i="2" s="1"/>
  <c r="L36" i="37"/>
  <c r="L38" i="37"/>
  <c r="L20" i="37"/>
  <c r="L37" i="37"/>
  <c r="V143" i="2"/>
  <c r="D143" i="2" s="1"/>
  <c r="U143" i="2"/>
  <c r="C143" i="2" s="1"/>
  <c r="I143" i="2" s="1"/>
  <c r="V222" i="2"/>
  <c r="D222" i="2" s="1"/>
  <c r="U222" i="2"/>
  <c r="C222" i="2" s="1"/>
  <c r="I222" i="2" s="1"/>
  <c r="V132" i="2"/>
  <c r="D132" i="2" s="1"/>
  <c r="U132" i="2"/>
  <c r="C132" i="2" s="1"/>
  <c r="I132" i="2" s="1"/>
  <c r="V181" i="2"/>
  <c r="D181" i="2" s="1"/>
  <c r="U181" i="2"/>
  <c r="C181" i="2" s="1"/>
  <c r="I181" i="2" s="1"/>
  <c r="V216" i="2"/>
  <c r="D216" i="2" s="1"/>
  <c r="U216" i="2"/>
  <c r="C216" i="2" s="1"/>
  <c r="I216" i="2" s="1"/>
  <c r="U185" i="2"/>
  <c r="C185" i="2" s="1"/>
  <c r="I185" i="2" s="1"/>
  <c r="V185" i="2"/>
  <c r="D185" i="2" s="1"/>
  <c r="V63" i="2"/>
  <c r="D63" i="2" s="1"/>
  <c r="U63" i="2"/>
  <c r="C63" i="2" s="1"/>
  <c r="I63" i="2" s="1"/>
  <c r="V60" i="2"/>
  <c r="D60" i="2" s="1"/>
  <c r="U60" i="2"/>
  <c r="C60" i="2" s="1"/>
  <c r="I60" i="2" s="1"/>
  <c r="U221" i="2"/>
  <c r="C221" i="2" s="1"/>
  <c r="I221" i="2" s="1"/>
  <c r="V221" i="2"/>
  <c r="D221" i="2" s="1"/>
  <c r="K28" i="37"/>
  <c r="K30" i="37"/>
  <c r="K20" i="37"/>
  <c r="K21" i="37"/>
  <c r="K29" i="37"/>
  <c r="K38" i="37"/>
  <c r="K34" i="37"/>
  <c r="K36" i="37"/>
  <c r="K24" i="37"/>
  <c r="K32" i="37"/>
  <c r="K37" i="37"/>
  <c r="K26" i="37"/>
  <c r="K25" i="37"/>
  <c r="K22" i="37"/>
  <c r="K33" i="37"/>
  <c r="M24" i="37"/>
  <c r="M33" i="37"/>
  <c r="M20" i="37"/>
  <c r="M25" i="37"/>
  <c r="M34" i="37"/>
  <c r="M37" i="37"/>
  <c r="M30" i="37"/>
  <c r="M28" i="37"/>
  <c r="M32" i="37"/>
  <c r="M29" i="37"/>
  <c r="M38" i="37"/>
  <c r="M21" i="37"/>
  <c r="M36" i="37"/>
  <c r="M26" i="37"/>
  <c r="M22" i="37"/>
  <c r="V186" i="2"/>
  <c r="D186" i="2" s="1"/>
  <c r="U186" i="2"/>
  <c r="C186" i="2" s="1"/>
  <c r="I186" i="2" s="1"/>
  <c r="D131" i="2"/>
  <c r="U179" i="2"/>
  <c r="C179" i="2" s="1"/>
  <c r="I179" i="2" s="1"/>
  <c r="V179" i="2"/>
  <c r="D179" i="2" s="1"/>
  <c r="V223" i="2"/>
  <c r="D223" i="2" s="1"/>
  <c r="U223" i="2"/>
  <c r="C223" i="2" s="1"/>
  <c r="I223" i="2" s="1"/>
  <c r="V220" i="2"/>
  <c r="D220" i="2" s="1"/>
  <c r="U220" i="2"/>
  <c r="C220" i="2" s="1"/>
  <c r="I220" i="2" s="1"/>
  <c r="V172" i="2"/>
  <c r="D172" i="2" s="1"/>
  <c r="U172" i="2"/>
  <c r="C172" i="2" s="1"/>
  <c r="I172" i="2" s="1"/>
  <c r="U228" i="2"/>
  <c r="C228" i="2" s="1"/>
  <c r="I228" i="2" s="1"/>
  <c r="V228" i="2"/>
  <c r="D228" i="2" s="1"/>
  <c r="V62" i="2"/>
  <c r="D62" i="2" s="1"/>
  <c r="U62" i="2"/>
  <c r="C62" i="2" s="1"/>
  <c r="I62" i="2" s="1"/>
  <c r="U217" i="2"/>
  <c r="C217" i="2" s="1"/>
  <c r="I217" i="2" s="1"/>
  <c r="V217" i="2"/>
  <c r="D217" i="2" s="1"/>
  <c r="U99" i="2"/>
  <c r="C99" i="2" s="1"/>
  <c r="I99" i="2" s="1"/>
  <c r="V99" i="2"/>
  <c r="D99" i="2" s="1"/>
  <c r="U215" i="2"/>
  <c r="C215" i="2" s="1"/>
  <c r="I215" i="2" s="1"/>
  <c r="V215" i="2"/>
  <c r="D215" i="2" s="1"/>
  <c r="I29" i="33"/>
  <c r="I21" i="33"/>
  <c r="I31" i="33"/>
  <c r="I23" i="33"/>
  <c r="I33" i="33"/>
  <c r="I25" i="33"/>
  <c r="I35" i="33"/>
  <c r="I27" i="33"/>
  <c r="H21" i="33"/>
  <c r="H35" i="33"/>
  <c r="H27" i="33"/>
  <c r="H29" i="33"/>
  <c r="H31" i="33"/>
  <c r="H23" i="33"/>
  <c r="H33" i="33"/>
  <c r="H25" i="33"/>
  <c r="H33" i="35"/>
  <c r="H27" i="35"/>
  <c r="H29" i="35"/>
  <c r="H31" i="35"/>
  <c r="H35" i="35"/>
  <c r="H21" i="35"/>
  <c r="H23" i="35"/>
  <c r="H25" i="35"/>
  <c r="H31" i="4"/>
  <c r="H25" i="4"/>
  <c r="H33" i="4"/>
  <c r="H33" i="34"/>
  <c r="H35" i="34"/>
  <c r="H21" i="34"/>
  <c r="H23" i="34"/>
  <c r="H25" i="34"/>
  <c r="H27" i="34"/>
  <c r="H29" i="34"/>
  <c r="H31" i="34"/>
  <c r="H63" i="5"/>
  <c r="H67" i="5" s="1"/>
  <c r="G63" i="5"/>
  <c r="G68" i="5" s="1"/>
  <c r="I68" i="5"/>
  <c r="I131" i="2" l="1"/>
  <c r="I103" i="2"/>
  <c r="I104" i="2"/>
  <c r="J106" i="2"/>
  <c r="J30" i="2"/>
  <c r="J33" i="2"/>
  <c r="E33" i="2"/>
  <c r="E32" i="2"/>
  <c r="J32" i="2"/>
  <c r="I105" i="2"/>
  <c r="J104" i="2"/>
  <c r="I106" i="2"/>
  <c r="J31" i="2"/>
  <c r="E31" i="2"/>
  <c r="J105" i="2"/>
  <c r="I136" i="2"/>
  <c r="I134" i="2"/>
  <c r="J136" i="2"/>
  <c r="E136" i="2"/>
  <c r="F136" i="2" s="1"/>
  <c r="J134" i="2"/>
  <c r="E134" i="2"/>
  <c r="F134" i="2" s="1"/>
  <c r="E220" i="2"/>
  <c r="F220" i="2" s="1"/>
  <c r="J220" i="2"/>
  <c r="K220" i="2" s="1"/>
  <c r="E143" i="2"/>
  <c r="F143" i="2" s="1"/>
  <c r="J143" i="2"/>
  <c r="K143" i="2" s="1"/>
  <c r="J61" i="2"/>
  <c r="K61" i="2" s="1"/>
  <c r="E61" i="2"/>
  <c r="F61" i="2" s="1"/>
  <c r="J59" i="2"/>
  <c r="K59" i="2" s="1"/>
  <c r="E59" i="2"/>
  <c r="F59" i="2" s="1"/>
  <c r="J62" i="2"/>
  <c r="K62" i="2" s="1"/>
  <c r="E62" i="2"/>
  <c r="F62" i="2" s="1"/>
  <c r="J172" i="2"/>
  <c r="K172" i="2" s="1"/>
  <c r="E172" i="2"/>
  <c r="F172" i="2" s="1"/>
  <c r="J223" i="2"/>
  <c r="K223" i="2" s="1"/>
  <c r="E223" i="2"/>
  <c r="F223" i="2" s="1"/>
  <c r="E131" i="2"/>
  <c r="F131" i="2" s="1"/>
  <c r="J131" i="2"/>
  <c r="E186" i="2"/>
  <c r="F186" i="2" s="1"/>
  <c r="J186" i="2"/>
  <c r="K186" i="2" s="1"/>
  <c r="E63" i="2"/>
  <c r="F63" i="2" s="1"/>
  <c r="J63" i="2"/>
  <c r="K63" i="2" s="1"/>
  <c r="J216" i="2"/>
  <c r="K216" i="2" s="1"/>
  <c r="E216" i="2"/>
  <c r="F216" i="2" s="1"/>
  <c r="E181" i="2"/>
  <c r="F181" i="2" s="1"/>
  <c r="J181" i="2"/>
  <c r="K181" i="2" s="1"/>
  <c r="J222" i="2"/>
  <c r="K222" i="2" s="1"/>
  <c r="E222" i="2"/>
  <c r="F222" i="2" s="1"/>
  <c r="E142" i="2"/>
  <c r="F142" i="2" s="1"/>
  <c r="J142" i="2"/>
  <c r="K142" i="2" s="1"/>
  <c r="E99" i="2"/>
  <c r="F99" i="2" s="1"/>
  <c r="J99" i="2"/>
  <c r="K99" i="2" s="1"/>
  <c r="E217" i="2"/>
  <c r="F217" i="2" s="1"/>
  <c r="J217" i="2"/>
  <c r="K217" i="2" s="1"/>
  <c r="J228" i="2"/>
  <c r="K228" i="2" s="1"/>
  <c r="E228" i="2"/>
  <c r="F228" i="2" s="1"/>
  <c r="E179" i="2"/>
  <c r="F179" i="2" s="1"/>
  <c r="J179" i="2"/>
  <c r="K179" i="2" s="1"/>
  <c r="J185" i="2"/>
  <c r="K185" i="2" s="1"/>
  <c r="E185" i="2"/>
  <c r="F185" i="2" s="1"/>
  <c r="E60" i="2"/>
  <c r="F60" i="2" s="1"/>
  <c r="J60" i="2"/>
  <c r="K60" i="2" s="1"/>
  <c r="E132" i="2"/>
  <c r="F132" i="2" s="1"/>
  <c r="J132" i="2"/>
  <c r="K132" i="2" s="1"/>
  <c r="E215" i="2"/>
  <c r="F215" i="2" s="1"/>
  <c r="J215" i="2"/>
  <c r="K215" i="2" s="1"/>
  <c r="E221" i="2"/>
  <c r="F221" i="2" s="1"/>
  <c r="J221" i="2"/>
  <c r="K221" i="2" s="1"/>
  <c r="E224" i="2"/>
  <c r="F224" i="2" s="1"/>
  <c r="J224" i="2"/>
  <c r="K224" i="2" s="1"/>
  <c r="N26" i="37"/>
  <c r="O26" i="37"/>
  <c r="N21" i="37"/>
  <c r="O21" i="37"/>
  <c r="N37" i="37"/>
  <c r="O37" i="37"/>
  <c r="N20" i="37"/>
  <c r="O20" i="37"/>
  <c r="N22" i="37"/>
  <c r="O22" i="37"/>
  <c r="O32" i="37"/>
  <c r="N32" i="37"/>
  <c r="N38" i="37"/>
  <c r="O38" i="37"/>
  <c r="N30" i="37"/>
  <c r="O30" i="37"/>
  <c r="N36" i="37"/>
  <c r="O36" i="37"/>
  <c r="N33" i="37"/>
  <c r="O33" i="37"/>
  <c r="N34" i="37"/>
  <c r="O34" i="37"/>
  <c r="N25" i="37"/>
  <c r="O25" i="37"/>
  <c r="N24" i="37"/>
  <c r="O24" i="37"/>
  <c r="N29" i="37"/>
  <c r="O29" i="37"/>
  <c r="N28" i="37"/>
  <c r="O28" i="37"/>
  <c r="G67" i="5"/>
  <c r="I67" i="5"/>
  <c r="K131" i="2" l="1"/>
  <c r="K136" i="2"/>
  <c r="K134" i="2"/>
  <c r="P20" i="37"/>
  <c r="P21" i="37"/>
  <c r="P28" i="37"/>
  <c r="P24" i="37"/>
  <c r="P34" i="37"/>
  <c r="P36" i="37"/>
  <c r="P38" i="37"/>
  <c r="P22" i="37"/>
  <c r="P32" i="37"/>
  <c r="P29" i="37"/>
  <c r="P25" i="37"/>
  <c r="P33" i="37"/>
  <c r="P30" i="37"/>
  <c r="P37" i="37"/>
  <c r="P26" i="37"/>
  <c r="O35" i="36"/>
  <c r="Q35" i="36" s="1"/>
  <c r="D35" i="36" s="1"/>
  <c r="K18" i="36"/>
  <c r="K35" i="36" s="1"/>
  <c r="M35" i="36" s="1"/>
  <c r="C35" i="36" s="1"/>
  <c r="Z18" i="33"/>
  <c r="X18" i="33"/>
  <c r="T21" i="35"/>
  <c r="T31" i="35" s="1"/>
  <c r="P21" i="35"/>
  <c r="P27" i="35" s="1"/>
  <c r="U18" i="35"/>
  <c r="U31" i="35" s="1"/>
  <c r="Q18" i="35"/>
  <c r="Q31" i="35" s="1"/>
  <c r="U18" i="34"/>
  <c r="U35" i="34" s="1"/>
  <c r="Q18" i="34"/>
  <c r="Q31" i="34" s="1"/>
  <c r="T21" i="34"/>
  <c r="P21" i="34"/>
  <c r="X35" i="33" l="1"/>
  <c r="X21" i="33"/>
  <c r="X29" i="33"/>
  <c r="X27" i="33"/>
  <c r="X33" i="33"/>
  <c r="X23" i="33"/>
  <c r="X31" i="33"/>
  <c r="X25" i="33"/>
  <c r="Z31" i="33"/>
  <c r="Z23" i="33"/>
  <c r="Z29" i="33"/>
  <c r="Z21" i="33"/>
  <c r="Z35" i="33"/>
  <c r="Z27" i="33"/>
  <c r="Z33" i="33"/>
  <c r="Z25" i="33"/>
  <c r="T33" i="35"/>
  <c r="P8" i="31"/>
  <c r="Q27" i="34"/>
  <c r="T23" i="35"/>
  <c r="Q35" i="34"/>
  <c r="T29" i="35"/>
  <c r="U21" i="35"/>
  <c r="V21" i="35" s="1"/>
  <c r="D21" i="35" s="1"/>
  <c r="U35" i="35"/>
  <c r="U23" i="35"/>
  <c r="E35" i="36"/>
  <c r="F35" i="36" s="1"/>
  <c r="Q21" i="34"/>
  <c r="V31" i="35"/>
  <c r="D31" i="35" s="1"/>
  <c r="U29" i="34"/>
  <c r="K25" i="36"/>
  <c r="M25" i="36" s="1"/>
  <c r="C25" i="36" s="1"/>
  <c r="U25" i="34"/>
  <c r="P29" i="35"/>
  <c r="P33" i="35"/>
  <c r="K23" i="36"/>
  <c r="M23" i="36" s="1"/>
  <c r="C23" i="36" s="1"/>
  <c r="K33" i="36"/>
  <c r="M33" i="36" s="1"/>
  <c r="C33" i="36" s="1"/>
  <c r="O25" i="36"/>
  <c r="Q25" i="36" s="1"/>
  <c r="D25" i="36" s="1"/>
  <c r="O29" i="36"/>
  <c r="Q29" i="36" s="1"/>
  <c r="D29" i="36" s="1"/>
  <c r="U21" i="34"/>
  <c r="V21" i="34" s="1"/>
  <c r="D21" i="34" s="1"/>
  <c r="U31" i="34"/>
  <c r="P23" i="35"/>
  <c r="P25" i="35"/>
  <c r="P31" i="35"/>
  <c r="R31" i="35" s="1"/>
  <c r="P35" i="35"/>
  <c r="K29" i="36"/>
  <c r="M29" i="36" s="1"/>
  <c r="C29" i="36" s="1"/>
  <c r="O21" i="36"/>
  <c r="Q21" i="36" s="1"/>
  <c r="O31" i="36"/>
  <c r="Q31" i="36" s="1"/>
  <c r="D31" i="36" s="1"/>
  <c r="U23" i="34"/>
  <c r="U33" i="34"/>
  <c r="K21" i="36"/>
  <c r="M21" i="36" s="1"/>
  <c r="C21" i="36" s="1"/>
  <c r="K31" i="36"/>
  <c r="M31" i="36" s="1"/>
  <c r="C31" i="36" s="1"/>
  <c r="O23" i="36"/>
  <c r="Q23" i="36" s="1"/>
  <c r="D23" i="36" s="1"/>
  <c r="O33" i="36"/>
  <c r="Q33" i="36" s="1"/>
  <c r="D33" i="36" s="1"/>
  <c r="O27" i="36"/>
  <c r="Q27" i="36" s="1"/>
  <c r="D27" i="36" s="1"/>
  <c r="V35" i="36"/>
  <c r="T35" i="36"/>
  <c r="K27" i="36"/>
  <c r="M27" i="36" s="1"/>
  <c r="C27" i="36" s="1"/>
  <c r="Q25" i="35"/>
  <c r="Q27" i="35"/>
  <c r="R27" i="35" s="1"/>
  <c r="C27" i="35" s="1"/>
  <c r="T25" i="35"/>
  <c r="Q29" i="35"/>
  <c r="Q33" i="35"/>
  <c r="Q35" i="35"/>
  <c r="Q21" i="35"/>
  <c r="R21" i="35" s="1"/>
  <c r="C21" i="35" s="1"/>
  <c r="I21" i="35" s="1"/>
  <c r="U29" i="35"/>
  <c r="Q23" i="35"/>
  <c r="U25" i="35"/>
  <c r="T27" i="35"/>
  <c r="U33" i="35"/>
  <c r="V33" i="35" s="1"/>
  <c r="T35" i="35"/>
  <c r="U27" i="35"/>
  <c r="Q25" i="34"/>
  <c r="Q33" i="34"/>
  <c r="T23" i="34"/>
  <c r="T31" i="34"/>
  <c r="T25" i="34"/>
  <c r="T33" i="34"/>
  <c r="T27" i="34"/>
  <c r="T35" i="34"/>
  <c r="V35" i="34" s="1"/>
  <c r="Q23" i="34"/>
  <c r="Q29" i="34"/>
  <c r="U27" i="34"/>
  <c r="T29" i="34"/>
  <c r="R21" i="34"/>
  <c r="C21" i="34" s="1"/>
  <c r="P33" i="34"/>
  <c r="P29" i="34"/>
  <c r="P23" i="34"/>
  <c r="P35" i="34"/>
  <c r="P31" i="34"/>
  <c r="R31" i="34" s="1"/>
  <c r="C31" i="34" s="1"/>
  <c r="P25" i="34"/>
  <c r="P27" i="34"/>
  <c r="S16" i="2"/>
  <c r="AA21" i="33" l="1"/>
  <c r="L9" i="39"/>
  <c r="L8" i="33" s="1"/>
  <c r="L8" i="39"/>
  <c r="L8" i="4" s="1"/>
  <c r="L10" i="39"/>
  <c r="P8" i="32" s="1"/>
  <c r="L11" i="39"/>
  <c r="L8" i="27" s="1"/>
  <c r="L12" i="39"/>
  <c r="L8" i="41" s="1"/>
  <c r="L13" i="39"/>
  <c r="P8" i="15" s="1"/>
  <c r="L14" i="39"/>
  <c r="P8" i="24" s="1"/>
  <c r="L15" i="39"/>
  <c r="P8" i="25" s="1"/>
  <c r="L16" i="39"/>
  <c r="P8" i="37" s="1"/>
  <c r="P8" i="26"/>
  <c r="K7" i="2"/>
  <c r="K45" i="2"/>
  <c r="K89" i="2"/>
  <c r="K120" i="2"/>
  <c r="K158" i="2"/>
  <c r="K198" i="2"/>
  <c r="K8" i="35"/>
  <c r="K8" i="34"/>
  <c r="H8" i="36"/>
  <c r="R27" i="34"/>
  <c r="C27" i="34" s="1"/>
  <c r="I27" i="34" s="1"/>
  <c r="V35" i="35"/>
  <c r="R23" i="35"/>
  <c r="R35" i="35"/>
  <c r="C35" i="35" s="1"/>
  <c r="I35" i="35" s="1"/>
  <c r="V25" i="36"/>
  <c r="E29" i="36"/>
  <c r="F29" i="36" s="1"/>
  <c r="T31" i="36"/>
  <c r="E23" i="36"/>
  <c r="F23" i="36" s="1"/>
  <c r="V23" i="35"/>
  <c r="D23" i="35" s="1"/>
  <c r="V29" i="35"/>
  <c r="D29" i="35" s="1"/>
  <c r="T29" i="36"/>
  <c r="R33" i="35"/>
  <c r="C33" i="35" s="1"/>
  <c r="I33" i="35" s="1"/>
  <c r="V29" i="34"/>
  <c r="D29" i="34" s="1"/>
  <c r="V23" i="34"/>
  <c r="D23" i="34" s="1"/>
  <c r="R25" i="35"/>
  <c r="C25" i="35" s="1"/>
  <c r="I25" i="35" s="1"/>
  <c r="V29" i="36"/>
  <c r="T23" i="36"/>
  <c r="R35" i="34"/>
  <c r="C35" i="34" s="1"/>
  <c r="V25" i="34"/>
  <c r="D25" i="34" s="1"/>
  <c r="V23" i="36"/>
  <c r="T25" i="36"/>
  <c r="E25" i="36"/>
  <c r="F25" i="36" s="1"/>
  <c r="V21" i="36"/>
  <c r="V31" i="34"/>
  <c r="D31" i="34" s="1"/>
  <c r="J31" i="34" s="1"/>
  <c r="R23" i="34"/>
  <c r="C23" i="34" s="1"/>
  <c r="I23" i="34" s="1"/>
  <c r="R29" i="34"/>
  <c r="C29" i="34" s="1"/>
  <c r="T21" i="36"/>
  <c r="C31" i="35"/>
  <c r="I31" i="35" s="1"/>
  <c r="AA31" i="35"/>
  <c r="V33" i="34"/>
  <c r="D33" i="34" s="1"/>
  <c r="R29" i="35"/>
  <c r="C29" i="35" s="1"/>
  <c r="I29" i="35" s="1"/>
  <c r="E27" i="36"/>
  <c r="F27" i="36" s="1"/>
  <c r="V33" i="36"/>
  <c r="D21" i="36"/>
  <c r="E21" i="36" s="1"/>
  <c r="F21" i="36" s="1"/>
  <c r="D35" i="34"/>
  <c r="J35" i="34" s="1"/>
  <c r="Y21" i="35"/>
  <c r="T33" i="36"/>
  <c r="V31" i="36"/>
  <c r="I27" i="35"/>
  <c r="E33" i="36"/>
  <c r="F33" i="36" s="1"/>
  <c r="Y21" i="34"/>
  <c r="E31" i="36"/>
  <c r="F31" i="36" s="1"/>
  <c r="AA21" i="34"/>
  <c r="J21" i="34"/>
  <c r="T27" i="36"/>
  <c r="V27" i="36"/>
  <c r="C23" i="35"/>
  <c r="I23" i="35" s="1"/>
  <c r="Y31" i="35"/>
  <c r="AA21" i="35"/>
  <c r="V25" i="35"/>
  <c r="D25" i="35" s="1"/>
  <c r="D33" i="35"/>
  <c r="V27" i="35"/>
  <c r="J21" i="35"/>
  <c r="K21" i="35" s="1"/>
  <c r="E21" i="35"/>
  <c r="F21" i="35" s="1"/>
  <c r="J31" i="35"/>
  <c r="R33" i="34"/>
  <c r="V27" i="34"/>
  <c r="R25" i="34"/>
  <c r="I21" i="34"/>
  <c r="E21" i="34"/>
  <c r="F21" i="34" s="1"/>
  <c r="I31" i="34"/>
  <c r="P8" i="42" l="1"/>
  <c r="K31" i="34"/>
  <c r="K21" i="34"/>
  <c r="K31" i="35"/>
  <c r="AA35" i="34"/>
  <c r="AA35" i="35"/>
  <c r="Y31" i="34"/>
  <c r="Y35" i="35"/>
  <c r="D35" i="35"/>
  <c r="E35" i="35" s="1"/>
  <c r="F35" i="35" s="1"/>
  <c r="AA23" i="35"/>
  <c r="E31" i="34"/>
  <c r="F31" i="34" s="1"/>
  <c r="AA31" i="34"/>
  <c r="Y25" i="35"/>
  <c r="Y29" i="34"/>
  <c r="AA33" i="34"/>
  <c r="Y23" i="35"/>
  <c r="Y33" i="34"/>
  <c r="Y33" i="35"/>
  <c r="AA29" i="34"/>
  <c r="AA33" i="35"/>
  <c r="E29" i="35"/>
  <c r="F29" i="35" s="1"/>
  <c r="E23" i="34"/>
  <c r="F23" i="34" s="1"/>
  <c r="J23" i="34"/>
  <c r="K23" i="34" s="1"/>
  <c r="Y35" i="34"/>
  <c r="E31" i="35"/>
  <c r="F31" i="35" s="1"/>
  <c r="AA23" i="34"/>
  <c r="T20" i="2"/>
  <c r="H20" i="2" s="1"/>
  <c r="S20" i="2"/>
  <c r="G20" i="2" s="1"/>
  <c r="T24" i="2"/>
  <c r="H24" i="2" s="1"/>
  <c r="S24" i="2"/>
  <c r="G24" i="2" s="1"/>
  <c r="T27" i="2"/>
  <c r="H27" i="2" s="1"/>
  <c r="S27" i="2"/>
  <c r="G27" i="2" s="1"/>
  <c r="T58" i="2"/>
  <c r="H58" i="2" s="1"/>
  <c r="S58" i="2"/>
  <c r="G58" i="2" s="1"/>
  <c r="T65" i="2"/>
  <c r="H65" i="2" s="1"/>
  <c r="S65" i="2"/>
  <c r="G65" i="2" s="1"/>
  <c r="T69" i="2"/>
  <c r="H69" i="2" s="1"/>
  <c r="S69" i="2"/>
  <c r="G69" i="2" s="1"/>
  <c r="T73" i="2"/>
  <c r="H73" i="2" s="1"/>
  <c r="S73" i="2"/>
  <c r="G73" i="2" s="1"/>
  <c r="T77" i="2"/>
  <c r="H77" i="2" s="1"/>
  <c r="S77" i="2"/>
  <c r="G77" i="2" s="1"/>
  <c r="T230" i="2"/>
  <c r="H230" i="2" s="1"/>
  <c r="S230" i="2"/>
  <c r="G230" i="2" s="1"/>
  <c r="T145" i="2"/>
  <c r="H145" i="2" s="1"/>
  <c r="S145" i="2"/>
  <c r="G145" i="2" s="1"/>
  <c r="T175" i="2"/>
  <c r="S175" i="2"/>
  <c r="T212" i="2"/>
  <c r="H212" i="2" s="1"/>
  <c r="S212" i="2"/>
  <c r="G212" i="2" s="1"/>
  <c r="T21" i="2"/>
  <c r="H21" i="2" s="1"/>
  <c r="S21" i="2"/>
  <c r="G21" i="2" s="1"/>
  <c r="S144" i="2"/>
  <c r="G144" i="2" s="1"/>
  <c r="T144" i="2"/>
  <c r="H144" i="2" s="1"/>
  <c r="S66" i="2"/>
  <c r="G66" i="2" s="1"/>
  <c r="T66" i="2"/>
  <c r="H66" i="2" s="1"/>
  <c r="S70" i="2"/>
  <c r="G70" i="2" s="1"/>
  <c r="T70" i="2"/>
  <c r="H70" i="2" s="1"/>
  <c r="S74" i="2"/>
  <c r="G74" i="2" s="1"/>
  <c r="T74" i="2"/>
  <c r="H74" i="2" s="1"/>
  <c r="S133" i="2"/>
  <c r="G133" i="2" s="1"/>
  <c r="T133" i="2"/>
  <c r="H133" i="2" s="1"/>
  <c r="S170" i="2"/>
  <c r="G170" i="2" s="1"/>
  <c r="T170" i="2"/>
  <c r="H170" i="2" s="1"/>
  <c r="S176" i="2"/>
  <c r="G176" i="2" s="1"/>
  <c r="T176" i="2"/>
  <c r="H176" i="2" s="1"/>
  <c r="S184" i="2"/>
  <c r="G184" i="2" s="1"/>
  <c r="T184" i="2"/>
  <c r="H184" i="2" s="1"/>
  <c r="S213" i="2"/>
  <c r="G213" i="2" s="1"/>
  <c r="T213" i="2"/>
  <c r="H213" i="2" s="1"/>
  <c r="E35" i="34"/>
  <c r="F35" i="34" s="1"/>
  <c r="E23" i="35"/>
  <c r="F23" i="35" s="1"/>
  <c r="Y29" i="35"/>
  <c r="T22" i="2"/>
  <c r="H22" i="2" s="1"/>
  <c r="S22" i="2"/>
  <c r="G22" i="2" s="1"/>
  <c r="T67" i="2"/>
  <c r="H67" i="2" s="1"/>
  <c r="S67" i="2"/>
  <c r="G67" i="2" s="1"/>
  <c r="T71" i="2"/>
  <c r="H71" i="2" s="1"/>
  <c r="S71" i="2"/>
  <c r="G71" i="2" s="1"/>
  <c r="T75" i="2"/>
  <c r="H75" i="2" s="1"/>
  <c r="S75" i="2"/>
  <c r="G75" i="2" s="1"/>
  <c r="T100" i="2"/>
  <c r="H100" i="2" s="1"/>
  <c r="S100" i="2"/>
  <c r="G100" i="2" s="1"/>
  <c r="H135" i="2"/>
  <c r="G135" i="2"/>
  <c r="T141" i="2"/>
  <c r="H141" i="2" s="1"/>
  <c r="S141" i="2"/>
  <c r="G141" i="2" s="1"/>
  <c r="T167" i="2"/>
  <c r="S167" i="2"/>
  <c r="T210" i="2"/>
  <c r="H210" i="2" s="1"/>
  <c r="S210" i="2"/>
  <c r="G210" i="2" s="1"/>
  <c r="T214" i="2"/>
  <c r="H214" i="2" s="1"/>
  <c r="S214" i="2"/>
  <c r="G214" i="2" s="1"/>
  <c r="S19" i="2"/>
  <c r="G19" i="2" s="1"/>
  <c r="T19" i="2"/>
  <c r="S23" i="2"/>
  <c r="G23" i="2" s="1"/>
  <c r="T23" i="2"/>
  <c r="H23" i="2" s="1"/>
  <c r="S140" i="2"/>
  <c r="G140" i="2" s="1"/>
  <c r="T140" i="2"/>
  <c r="H140" i="2" s="1"/>
  <c r="S57" i="2"/>
  <c r="G57" i="2" s="1"/>
  <c r="T57" i="2"/>
  <c r="H57" i="2" s="1"/>
  <c r="S64" i="2"/>
  <c r="G64" i="2" s="1"/>
  <c r="T64" i="2"/>
  <c r="H64" i="2" s="1"/>
  <c r="S68" i="2"/>
  <c r="G68" i="2" s="1"/>
  <c r="T68" i="2"/>
  <c r="H68" i="2" s="1"/>
  <c r="S72" i="2"/>
  <c r="G72" i="2" s="1"/>
  <c r="T72" i="2"/>
  <c r="H72" i="2" s="1"/>
  <c r="S76" i="2"/>
  <c r="G76" i="2" s="1"/>
  <c r="T76" i="2"/>
  <c r="H76" i="2" s="1"/>
  <c r="S229" i="2"/>
  <c r="G229" i="2" s="1"/>
  <c r="T229" i="2"/>
  <c r="H229" i="2" s="1"/>
  <c r="G137" i="2"/>
  <c r="H137" i="2"/>
  <c r="S168" i="2"/>
  <c r="T168" i="2"/>
  <c r="S174" i="2"/>
  <c r="G174" i="2" s="1"/>
  <c r="T174" i="2"/>
  <c r="H174" i="2" s="1"/>
  <c r="S182" i="2"/>
  <c r="G182" i="2" s="1"/>
  <c r="T182" i="2"/>
  <c r="H182" i="2" s="1"/>
  <c r="S211" i="2"/>
  <c r="G211" i="2" s="1"/>
  <c r="T211" i="2"/>
  <c r="H211" i="2" s="1"/>
  <c r="I35" i="34"/>
  <c r="K35" i="34" s="1"/>
  <c r="AA29" i="35"/>
  <c r="Y23" i="34"/>
  <c r="J29" i="35"/>
  <c r="K29" i="35" s="1"/>
  <c r="J23" i="35"/>
  <c r="K23" i="35" s="1"/>
  <c r="AA25" i="35"/>
  <c r="E25" i="35"/>
  <c r="F25" i="35" s="1"/>
  <c r="J25" i="35"/>
  <c r="K25" i="35" s="1"/>
  <c r="D27" i="35"/>
  <c r="AA27" i="35"/>
  <c r="Y27" i="35"/>
  <c r="E33" i="35"/>
  <c r="F33" i="35" s="1"/>
  <c r="J33" i="35"/>
  <c r="K33" i="35" s="1"/>
  <c r="D27" i="34"/>
  <c r="AA27" i="34"/>
  <c r="Y27" i="34"/>
  <c r="C33" i="34"/>
  <c r="E33" i="34" s="1"/>
  <c r="F33" i="34" s="1"/>
  <c r="C25" i="34"/>
  <c r="Y25" i="34"/>
  <c r="AA25" i="34"/>
  <c r="J29" i="34"/>
  <c r="E29" i="34"/>
  <c r="F29" i="34" s="1"/>
  <c r="V227" i="2"/>
  <c r="D227" i="2" s="1"/>
  <c r="Y18" i="33"/>
  <c r="V25" i="32"/>
  <c r="AB20" i="32"/>
  <c r="AC17" i="32"/>
  <c r="AE17" i="32"/>
  <c r="AE37" i="32" s="1"/>
  <c r="AD17" i="32"/>
  <c r="AD36" i="32" s="1"/>
  <c r="E38" i="32"/>
  <c r="E37" i="32"/>
  <c r="E36" i="32"/>
  <c r="E34" i="32"/>
  <c r="L34" i="32" s="1"/>
  <c r="E33" i="32"/>
  <c r="L33" i="32" s="1"/>
  <c r="E32" i="32"/>
  <c r="L32" i="32" s="1"/>
  <c r="E30" i="32"/>
  <c r="L30" i="32" s="1"/>
  <c r="E29" i="32"/>
  <c r="L29" i="32" s="1"/>
  <c r="E28" i="32"/>
  <c r="L28" i="32" s="1"/>
  <c r="E26" i="32"/>
  <c r="L26" i="32" s="1"/>
  <c r="E25" i="32"/>
  <c r="L25" i="32" s="1"/>
  <c r="E22" i="32"/>
  <c r="L22" i="32" s="1"/>
  <c r="E21" i="32"/>
  <c r="L21" i="32" s="1"/>
  <c r="E20" i="32"/>
  <c r="AG33" i="31"/>
  <c r="AF22" i="31"/>
  <c r="W34" i="31"/>
  <c r="V34" i="31"/>
  <c r="T36" i="31"/>
  <c r="W38" i="31"/>
  <c r="W33" i="31"/>
  <c r="W29" i="31"/>
  <c r="AC21" i="31"/>
  <c r="S36" i="31"/>
  <c r="T17" i="32"/>
  <c r="S20" i="32"/>
  <c r="AB37" i="32" l="1"/>
  <c r="T36" i="32"/>
  <c r="AC25" i="32"/>
  <c r="J227" i="2"/>
  <c r="K20" i="31"/>
  <c r="L20" i="31"/>
  <c r="M20" i="31"/>
  <c r="K28" i="31"/>
  <c r="M28" i="31"/>
  <c r="M26" i="32"/>
  <c r="K26" i="32"/>
  <c r="K29" i="31"/>
  <c r="M29" i="31"/>
  <c r="K37" i="31"/>
  <c r="L37" i="31"/>
  <c r="M37" i="31"/>
  <c r="M22" i="32"/>
  <c r="K22" i="32"/>
  <c r="K33" i="32"/>
  <c r="M33" i="32"/>
  <c r="M38" i="32"/>
  <c r="L38" i="32"/>
  <c r="K38" i="32"/>
  <c r="M25" i="31"/>
  <c r="K25" i="31"/>
  <c r="L38" i="31"/>
  <c r="K38" i="31"/>
  <c r="M38" i="31"/>
  <c r="M24" i="32"/>
  <c r="K24" i="32"/>
  <c r="M29" i="32"/>
  <c r="K29" i="32"/>
  <c r="M34" i="32"/>
  <c r="K34" i="32"/>
  <c r="M22" i="31"/>
  <c r="K22" i="31"/>
  <c r="K32" i="31"/>
  <c r="M32" i="31"/>
  <c r="L36" i="31"/>
  <c r="K36" i="31"/>
  <c r="M36" i="31"/>
  <c r="M21" i="32"/>
  <c r="K21" i="32"/>
  <c r="M32" i="32"/>
  <c r="K32" i="32"/>
  <c r="L37" i="32"/>
  <c r="K37" i="32"/>
  <c r="M37" i="32"/>
  <c r="K24" i="31"/>
  <c r="M24" i="31"/>
  <c r="K33" i="31"/>
  <c r="M33" i="31"/>
  <c r="M28" i="32"/>
  <c r="K28" i="32"/>
  <c r="K21" i="31"/>
  <c r="M21" i="31"/>
  <c r="K26" i="31"/>
  <c r="M26" i="31"/>
  <c r="K30" i="31"/>
  <c r="M30" i="31"/>
  <c r="K34" i="31"/>
  <c r="M34" i="31"/>
  <c r="M20" i="32"/>
  <c r="K20" i="32"/>
  <c r="L20" i="32"/>
  <c r="K25" i="32"/>
  <c r="M25" i="32"/>
  <c r="M30" i="32"/>
  <c r="K30" i="32"/>
  <c r="K36" i="32"/>
  <c r="L36" i="32"/>
  <c r="M36" i="32"/>
  <c r="J35" i="35"/>
  <c r="K35" i="35" s="1"/>
  <c r="AB29" i="32"/>
  <c r="AG20" i="31"/>
  <c r="W24" i="31"/>
  <c r="W28" i="31"/>
  <c r="V145" i="2"/>
  <c r="D145" i="2" s="1"/>
  <c r="AB38" i="32"/>
  <c r="U212" i="2"/>
  <c r="C212" i="2" s="1"/>
  <c r="I212" i="2" s="1"/>
  <c r="AF20" i="31"/>
  <c r="U167" i="2"/>
  <c r="I29" i="34"/>
  <c r="K29" i="34" s="1"/>
  <c r="J27" i="35"/>
  <c r="K27" i="35" s="1"/>
  <c r="E27" i="35"/>
  <c r="F27" i="35" s="1"/>
  <c r="V176" i="2"/>
  <c r="D176" i="2" s="1"/>
  <c r="J27" i="34"/>
  <c r="K27" i="34" s="1"/>
  <c r="E27" i="34"/>
  <c r="F27" i="34" s="1"/>
  <c r="J33" i="34"/>
  <c r="J25" i="34"/>
  <c r="E25" i="34"/>
  <c r="F25" i="34" s="1"/>
  <c r="V175" i="2"/>
  <c r="V211" i="2"/>
  <c r="D211" i="2" s="1"/>
  <c r="U214" i="2"/>
  <c r="C214" i="2" s="1"/>
  <c r="I214" i="2" s="1"/>
  <c r="C135" i="2"/>
  <c r="I135" i="2" s="1"/>
  <c r="U184" i="2"/>
  <c r="C184" i="2" s="1"/>
  <c r="I184" i="2" s="1"/>
  <c r="V213" i="2"/>
  <c r="D213" i="2" s="1"/>
  <c r="J213" i="2" s="1"/>
  <c r="U174" i="2"/>
  <c r="C174" i="2" s="1"/>
  <c r="I174" i="2" s="1"/>
  <c r="V174" i="2"/>
  <c r="D174" i="2" s="1"/>
  <c r="V210" i="2"/>
  <c r="D210" i="2" s="1"/>
  <c r="V167" i="2"/>
  <c r="V170" i="2"/>
  <c r="D170" i="2" s="1"/>
  <c r="U145" i="2"/>
  <c r="C145" i="2" s="1"/>
  <c r="I145" i="2" s="1"/>
  <c r="U168" i="2"/>
  <c r="D137" i="2"/>
  <c r="U175" i="2"/>
  <c r="U227" i="2"/>
  <c r="C227" i="2" s="1"/>
  <c r="I227" i="2" s="1"/>
  <c r="V64" i="2"/>
  <c r="D64" i="2" s="1"/>
  <c r="U76" i="2"/>
  <c r="C76" i="2" s="1"/>
  <c r="I76" i="2" s="1"/>
  <c r="V182" i="2"/>
  <c r="D182" i="2" s="1"/>
  <c r="V71" i="2"/>
  <c r="D71" i="2" s="1"/>
  <c r="AF21" i="31"/>
  <c r="V36" i="31"/>
  <c r="V38" i="31"/>
  <c r="V25" i="31"/>
  <c r="V30" i="31"/>
  <c r="W37" i="31"/>
  <c r="V21" i="31"/>
  <c r="V29" i="31"/>
  <c r="AG37" i="31"/>
  <c r="AC22" i="31"/>
  <c r="S32" i="31"/>
  <c r="AE38" i="31"/>
  <c r="AE33" i="31"/>
  <c r="AE28" i="31"/>
  <c r="AE22" i="31"/>
  <c r="AE30" i="31"/>
  <c r="AE25" i="31"/>
  <c r="AE24" i="31"/>
  <c r="AE37" i="31"/>
  <c r="AE32" i="31"/>
  <c r="AE26" i="31"/>
  <c r="AE21" i="31"/>
  <c r="AE36" i="31"/>
  <c r="AE20" i="31"/>
  <c r="AE34" i="31"/>
  <c r="AE29" i="31"/>
  <c r="AB24" i="32"/>
  <c r="S26" i="31"/>
  <c r="U37" i="31"/>
  <c r="U32" i="31"/>
  <c r="U26" i="31"/>
  <c r="U21" i="31"/>
  <c r="U34" i="31"/>
  <c r="U29" i="31"/>
  <c r="U28" i="31"/>
  <c r="U22" i="31"/>
  <c r="U36" i="31"/>
  <c r="U30" i="31"/>
  <c r="U25" i="31"/>
  <c r="U20" i="31"/>
  <c r="U24" i="31"/>
  <c r="U38" i="31"/>
  <c r="U33" i="31"/>
  <c r="S38" i="31"/>
  <c r="S28" i="31"/>
  <c r="S33" i="31"/>
  <c r="S37" i="31"/>
  <c r="AE24" i="32"/>
  <c r="T26" i="32"/>
  <c r="AE20" i="32"/>
  <c r="AE30" i="32"/>
  <c r="T37" i="32"/>
  <c r="AE36" i="32"/>
  <c r="AE22" i="32"/>
  <c r="T33" i="32"/>
  <c r="AC22" i="32"/>
  <c r="AC30" i="32"/>
  <c r="AC36" i="32"/>
  <c r="Q25" i="33"/>
  <c r="T25" i="33" s="1"/>
  <c r="C25" i="33" s="1"/>
  <c r="W35" i="33"/>
  <c r="W31" i="33"/>
  <c r="W29" i="33"/>
  <c r="W27" i="33"/>
  <c r="W23" i="33"/>
  <c r="W33" i="33"/>
  <c r="W25" i="33"/>
  <c r="Q35" i="33"/>
  <c r="T35" i="33" s="1"/>
  <c r="Q31" i="33"/>
  <c r="T31" i="33" s="1"/>
  <c r="Q29" i="33"/>
  <c r="T29" i="33" s="1"/>
  <c r="Q27" i="33"/>
  <c r="T27" i="33" s="1"/>
  <c r="Q23" i="33"/>
  <c r="T23" i="33" s="1"/>
  <c r="Q33" i="33"/>
  <c r="T33" i="33" s="1"/>
  <c r="AB28" i="32"/>
  <c r="AD22" i="32"/>
  <c r="AD32" i="32"/>
  <c r="AD21" i="32"/>
  <c r="AD24" i="32"/>
  <c r="AD25" i="32"/>
  <c r="AD26" i="32"/>
  <c r="AD30" i="32"/>
  <c r="AD34" i="32"/>
  <c r="AD29" i="32"/>
  <c r="AE25" i="32"/>
  <c r="AE33" i="32"/>
  <c r="AE34" i="32"/>
  <c r="AE38" i="32"/>
  <c r="AE21" i="32"/>
  <c r="AE28" i="32"/>
  <c r="AE29" i="32"/>
  <c r="T38" i="32"/>
  <c r="AC37" i="32"/>
  <c r="T32" i="32"/>
  <c r="AC32" i="32"/>
  <c r="AC28" i="32"/>
  <c r="T28" i="32"/>
  <c r="AC26" i="32"/>
  <c r="T20" i="32"/>
  <c r="S37" i="32"/>
  <c r="S32" i="32"/>
  <c r="S26" i="32"/>
  <c r="S36" i="32"/>
  <c r="V21" i="32"/>
  <c r="S28" i="32"/>
  <c r="V34" i="32"/>
  <c r="T24" i="32"/>
  <c r="V38" i="32"/>
  <c r="V33" i="32"/>
  <c r="V28" i="32"/>
  <c r="V37" i="32"/>
  <c r="S24" i="32"/>
  <c r="S25" i="32"/>
  <c r="S29" i="32"/>
  <c r="S30" i="32"/>
  <c r="AB36" i="32"/>
  <c r="AB30" i="32"/>
  <c r="AB25" i="32"/>
  <c r="AB34" i="32"/>
  <c r="S21" i="32"/>
  <c r="V22" i="32"/>
  <c r="T29" i="32"/>
  <c r="S38" i="32"/>
  <c r="U38" i="32"/>
  <c r="U37" i="32"/>
  <c r="U36" i="32"/>
  <c r="U34" i="32"/>
  <c r="U33" i="32"/>
  <c r="U32" i="32"/>
  <c r="U30" i="32"/>
  <c r="U29" i="32"/>
  <c r="U28" i="32"/>
  <c r="U26" i="32"/>
  <c r="U25" i="32"/>
  <c r="U24" i="32"/>
  <c r="U22" i="32"/>
  <c r="U21" i="32"/>
  <c r="U20" i="32"/>
  <c r="AC34" i="32"/>
  <c r="AC29" i="32"/>
  <c r="AC24" i="32"/>
  <c r="AC33" i="32"/>
  <c r="AC38" i="32"/>
  <c r="AC20" i="32"/>
  <c r="T21" i="32"/>
  <c r="AB21" i="32"/>
  <c r="S22" i="32"/>
  <c r="V24" i="32"/>
  <c r="V26" i="32"/>
  <c r="V29" i="32"/>
  <c r="V30" i="32"/>
  <c r="V32" i="32"/>
  <c r="AB33" i="32"/>
  <c r="T34" i="32"/>
  <c r="AD38" i="32"/>
  <c r="AD33" i="32"/>
  <c r="AD28" i="32"/>
  <c r="AD37" i="32"/>
  <c r="V20" i="32"/>
  <c r="AD20" i="32"/>
  <c r="AC21" i="32"/>
  <c r="T22" i="32"/>
  <c r="AB22" i="32"/>
  <c r="AB26" i="32"/>
  <c r="AB32" i="32"/>
  <c r="S33" i="32"/>
  <c r="S34" i="32"/>
  <c r="W34" i="32" s="1"/>
  <c r="V36" i="32"/>
  <c r="T25" i="32"/>
  <c r="AE26" i="32"/>
  <c r="T30" i="32"/>
  <c r="AE32" i="32"/>
  <c r="T30" i="31"/>
  <c r="T32" i="31"/>
  <c r="V20" i="31"/>
  <c r="V22" i="31"/>
  <c r="V24" i="31"/>
  <c r="T25" i="31"/>
  <c r="T26" i="31"/>
  <c r="AD38" i="31"/>
  <c r="AD33" i="31"/>
  <c r="AD28" i="31"/>
  <c r="AD37" i="31"/>
  <c r="AD32" i="31"/>
  <c r="AD26" i="31"/>
  <c r="AD22" i="31"/>
  <c r="AD21" i="31"/>
  <c r="AD20" i="31"/>
  <c r="AC34" i="31"/>
  <c r="AC29" i="31"/>
  <c r="AC24" i="31"/>
  <c r="AC38" i="31"/>
  <c r="AC33" i="31"/>
  <c r="AC28" i="31"/>
  <c r="AC37" i="31"/>
  <c r="AG22" i="31"/>
  <c r="AC25" i="31"/>
  <c r="AC26" i="31"/>
  <c r="AG28" i="31"/>
  <c r="AC30" i="31"/>
  <c r="AC32" i="31"/>
  <c r="AC36" i="31"/>
  <c r="T34" i="31"/>
  <c r="T29" i="31"/>
  <c r="T24" i="31"/>
  <c r="T22" i="31"/>
  <c r="T21" i="31"/>
  <c r="T20" i="31"/>
  <c r="T37" i="31"/>
  <c r="T38" i="31"/>
  <c r="T33" i="31"/>
  <c r="T28" i="31"/>
  <c r="AG36" i="31"/>
  <c r="AG30" i="31"/>
  <c r="AG25" i="31"/>
  <c r="AG34" i="31"/>
  <c r="AG29" i="31"/>
  <c r="AG24" i="31"/>
  <c r="AG38" i="31"/>
  <c r="AG21" i="31"/>
  <c r="AD24" i="31"/>
  <c r="AD25" i="31"/>
  <c r="AG26" i="31"/>
  <c r="AD29" i="31"/>
  <c r="AD30" i="31"/>
  <c r="AG32" i="31"/>
  <c r="AD34" i="31"/>
  <c r="AD36" i="31"/>
  <c r="W20" i="31"/>
  <c r="S21" i="31"/>
  <c r="W21" i="31"/>
  <c r="S22" i="31"/>
  <c r="W22" i="31"/>
  <c r="S24" i="31"/>
  <c r="W25" i="31"/>
  <c r="V26" i="31"/>
  <c r="S29" i="31"/>
  <c r="W30" i="31"/>
  <c r="V32" i="31"/>
  <c r="S34" i="31"/>
  <c r="W36" i="31"/>
  <c r="V37" i="31"/>
  <c r="AF38" i="31"/>
  <c r="AF37" i="31"/>
  <c r="AF36" i="31"/>
  <c r="AF34" i="31"/>
  <c r="AF33" i="31"/>
  <c r="AF32" i="31"/>
  <c r="AF30" i="31"/>
  <c r="AF29" i="31"/>
  <c r="AF28" i="31"/>
  <c r="AF26" i="31"/>
  <c r="AF25" i="31"/>
  <c r="AF24" i="31"/>
  <c r="S25" i="31"/>
  <c r="W26" i="31"/>
  <c r="V28" i="31"/>
  <c r="S30" i="31"/>
  <c r="W32" i="31"/>
  <c r="V33" i="31"/>
  <c r="V21" i="27"/>
  <c r="V33" i="27" s="1"/>
  <c r="Q21" i="27"/>
  <c r="Q35" i="27" s="1"/>
  <c r="W18" i="27"/>
  <c r="W31" i="27" s="1"/>
  <c r="R18" i="27"/>
  <c r="U27" i="4"/>
  <c r="AG17" i="26"/>
  <c r="AG34" i="26" s="1"/>
  <c r="AF17" i="26"/>
  <c r="AF36" i="26" s="1"/>
  <c r="AE17" i="26"/>
  <c r="AD17" i="26"/>
  <c r="W22" i="26"/>
  <c r="T17" i="26"/>
  <c r="L34" i="26"/>
  <c r="L33" i="26"/>
  <c r="L32" i="26"/>
  <c r="L30" i="26"/>
  <c r="L29" i="26"/>
  <c r="L28" i="26"/>
  <c r="L26" i="26"/>
  <c r="L25" i="26"/>
  <c r="L24" i="26"/>
  <c r="L22" i="26"/>
  <c r="L21" i="26"/>
  <c r="AC37" i="26"/>
  <c r="S22" i="26"/>
  <c r="V18" i="4"/>
  <c r="Q21" i="4"/>
  <c r="Q25" i="4" s="1"/>
  <c r="R18" i="4"/>
  <c r="R35" i="4" s="1"/>
  <c r="U21" i="4"/>
  <c r="U23" i="4"/>
  <c r="U25" i="4"/>
  <c r="U29" i="4"/>
  <c r="U31" i="4"/>
  <c r="U33" i="4"/>
  <c r="U35" i="4"/>
  <c r="AG17" i="25"/>
  <c r="AF17" i="25"/>
  <c r="AE17" i="25"/>
  <c r="AD17" i="25"/>
  <c r="T17" i="25"/>
  <c r="AF32" i="32" l="1"/>
  <c r="AF33" i="32"/>
  <c r="AF30" i="32"/>
  <c r="H30" i="32" s="1"/>
  <c r="W28" i="32"/>
  <c r="AF29" i="32"/>
  <c r="W20" i="32"/>
  <c r="AF20" i="32"/>
  <c r="AF36" i="32"/>
  <c r="H36" i="32" s="1"/>
  <c r="W25" i="32"/>
  <c r="W32" i="32"/>
  <c r="W37" i="32"/>
  <c r="G37" i="32" s="1"/>
  <c r="AF22" i="32"/>
  <c r="W22" i="32"/>
  <c r="W38" i="32"/>
  <c r="AF34" i="32"/>
  <c r="W30" i="32"/>
  <c r="W36" i="32"/>
  <c r="AF28" i="32"/>
  <c r="H28" i="32" s="1"/>
  <c r="AF37" i="32"/>
  <c r="H37" i="32" s="1"/>
  <c r="AF24" i="32"/>
  <c r="H24" i="32" s="1"/>
  <c r="AF26" i="32"/>
  <c r="W21" i="32"/>
  <c r="W24" i="32"/>
  <c r="W33" i="32"/>
  <c r="AF21" i="32"/>
  <c r="AF25" i="32"/>
  <c r="H25" i="32" s="1"/>
  <c r="W29" i="32"/>
  <c r="W26" i="32"/>
  <c r="AF38" i="32"/>
  <c r="J182" i="2"/>
  <c r="J210" i="2"/>
  <c r="E145" i="2"/>
  <c r="F145" i="2" s="1"/>
  <c r="J145" i="2"/>
  <c r="K145" i="2" s="1"/>
  <c r="K227" i="2"/>
  <c r="J170" i="2"/>
  <c r="E174" i="2"/>
  <c r="F174" i="2" s="1"/>
  <c r="J174" i="2"/>
  <c r="K174" i="2" s="1"/>
  <c r="E227" i="2"/>
  <c r="F227" i="2" s="1"/>
  <c r="J176" i="2"/>
  <c r="J211" i="2"/>
  <c r="J71" i="2"/>
  <c r="J64" i="2"/>
  <c r="J137" i="2"/>
  <c r="M30" i="26"/>
  <c r="K30" i="26"/>
  <c r="K21" i="26"/>
  <c r="M21" i="26"/>
  <c r="M32" i="26"/>
  <c r="K32" i="26"/>
  <c r="L20" i="26"/>
  <c r="M20" i="26"/>
  <c r="K20" i="26"/>
  <c r="M22" i="26"/>
  <c r="K22" i="26"/>
  <c r="K28" i="26"/>
  <c r="M28" i="26"/>
  <c r="K33" i="26"/>
  <c r="M33" i="26"/>
  <c r="M38" i="26"/>
  <c r="K38" i="26"/>
  <c r="L38" i="26"/>
  <c r="K25" i="26"/>
  <c r="M25" i="26"/>
  <c r="M36" i="26"/>
  <c r="L36" i="26"/>
  <c r="K36" i="26"/>
  <c r="K26" i="26"/>
  <c r="M26" i="26"/>
  <c r="M37" i="26"/>
  <c r="K37" i="26"/>
  <c r="L37" i="26"/>
  <c r="K24" i="26"/>
  <c r="M24" i="26"/>
  <c r="M29" i="26"/>
  <c r="K29" i="26"/>
  <c r="M34" i="26"/>
  <c r="K34" i="26"/>
  <c r="V212" i="2"/>
  <c r="D212" i="2" s="1"/>
  <c r="V35" i="4"/>
  <c r="W35" i="4" s="1"/>
  <c r="D35" i="4" s="1"/>
  <c r="V27" i="4"/>
  <c r="W27" i="4" s="1"/>
  <c r="D27" i="4" s="1"/>
  <c r="V33" i="4"/>
  <c r="W33" i="4" s="1"/>
  <c r="D33" i="4" s="1"/>
  <c r="V25" i="4"/>
  <c r="W25" i="4" s="1"/>
  <c r="D25" i="4" s="1"/>
  <c r="V31" i="4"/>
  <c r="W31" i="4" s="1"/>
  <c r="D31" i="4" s="1"/>
  <c r="V23" i="4"/>
  <c r="W23" i="4" s="1"/>
  <c r="D23" i="4" s="1"/>
  <c r="V29" i="4"/>
  <c r="W29" i="4" s="1"/>
  <c r="D29" i="4" s="1"/>
  <c r="V21" i="4"/>
  <c r="W21" i="4" s="1"/>
  <c r="D21" i="4" s="1"/>
  <c r="V144" i="2"/>
  <c r="D144" i="2" s="1"/>
  <c r="U77" i="2"/>
  <c r="C77" i="2" s="1"/>
  <c r="I77" i="2" s="1"/>
  <c r="D21" i="33"/>
  <c r="E21" i="33" s="1"/>
  <c r="U176" i="2"/>
  <c r="C176" i="2" s="1"/>
  <c r="I176" i="2" s="1"/>
  <c r="V184" i="2"/>
  <c r="D184" i="2" s="1"/>
  <c r="I25" i="34"/>
  <c r="K25" i="34" s="1"/>
  <c r="I33" i="34"/>
  <c r="K33" i="34" s="1"/>
  <c r="D135" i="2"/>
  <c r="V214" i="2"/>
  <c r="D214" i="2" s="1"/>
  <c r="U211" i="2"/>
  <c r="C211" i="2" s="1"/>
  <c r="I211" i="2" s="1"/>
  <c r="U213" i="2"/>
  <c r="C213" i="2" s="1"/>
  <c r="I213" i="2" s="1"/>
  <c r="K213" i="2" s="1"/>
  <c r="U20" i="2"/>
  <c r="C20" i="2" s="1"/>
  <c r="I20" i="2" s="1"/>
  <c r="V69" i="2"/>
  <c r="D69" i="2" s="1"/>
  <c r="U133" i="2"/>
  <c r="C133" i="2" s="1"/>
  <c r="I133" i="2" s="1"/>
  <c r="U141" i="2"/>
  <c r="C141" i="2" s="1"/>
  <c r="I141" i="2" s="1"/>
  <c r="V168" i="2"/>
  <c r="U57" i="2"/>
  <c r="C57" i="2" s="1"/>
  <c r="I57" i="2" s="1"/>
  <c r="U69" i="2"/>
  <c r="C69" i="2" s="1"/>
  <c r="I69" i="2" s="1"/>
  <c r="V77" i="2"/>
  <c r="D77" i="2" s="1"/>
  <c r="V141" i="2"/>
  <c r="D141" i="2" s="1"/>
  <c r="U182" i="2"/>
  <c r="C182" i="2" s="1"/>
  <c r="I182" i="2" s="1"/>
  <c r="V57" i="2"/>
  <c r="D57" i="2" s="1"/>
  <c r="U70" i="2"/>
  <c r="C70" i="2" s="1"/>
  <c r="I70" i="2" s="1"/>
  <c r="V66" i="2"/>
  <c r="D66" i="2" s="1"/>
  <c r="V133" i="2"/>
  <c r="D133" i="2" s="1"/>
  <c r="C137" i="2"/>
  <c r="I137" i="2" s="1"/>
  <c r="U170" i="2"/>
  <c r="C170" i="2" s="1"/>
  <c r="U210" i="2"/>
  <c r="C210" i="2" s="1"/>
  <c r="I210" i="2" s="1"/>
  <c r="U68" i="2"/>
  <c r="C68" i="2" s="1"/>
  <c r="I68" i="2" s="1"/>
  <c r="V73" i="2"/>
  <c r="D73" i="2" s="1"/>
  <c r="V58" i="2"/>
  <c r="D58" i="2" s="1"/>
  <c r="V65" i="2"/>
  <c r="D65" i="2" s="1"/>
  <c r="V100" i="2"/>
  <c r="D100" i="2" s="1"/>
  <c r="V24" i="2"/>
  <c r="D24" i="2" s="1"/>
  <c r="U22" i="2"/>
  <c r="C22" i="2" s="1"/>
  <c r="I22" i="2" s="1"/>
  <c r="U67" i="2"/>
  <c r="C67" i="2" s="1"/>
  <c r="I67" i="2" s="1"/>
  <c r="V140" i="2"/>
  <c r="D140" i="2" s="1"/>
  <c r="V68" i="2"/>
  <c r="D68" i="2" s="1"/>
  <c r="U27" i="2"/>
  <c r="C27" i="2" s="1"/>
  <c r="I27" i="2" s="1"/>
  <c r="U71" i="2"/>
  <c r="C71" i="2" s="1"/>
  <c r="I71" i="2" s="1"/>
  <c r="U21" i="2"/>
  <c r="C21" i="2" s="1"/>
  <c r="I21" i="2" s="1"/>
  <c r="V75" i="2"/>
  <c r="D75" i="2" s="1"/>
  <c r="V20" i="2"/>
  <c r="D20" i="2" s="1"/>
  <c r="V230" i="2"/>
  <c r="D230" i="2" s="1"/>
  <c r="V70" i="2"/>
  <c r="D70" i="2" s="1"/>
  <c r="U229" i="2"/>
  <c r="C229" i="2" s="1"/>
  <c r="I229" i="2" s="1"/>
  <c r="U144" i="2"/>
  <c r="C144" i="2" s="1"/>
  <c r="I144" i="2" s="1"/>
  <c r="V22" i="2"/>
  <c r="D22" i="2" s="1"/>
  <c r="U66" i="2"/>
  <c r="C66" i="2" s="1"/>
  <c r="I66" i="2" s="1"/>
  <c r="U72" i="2"/>
  <c r="C72" i="2" s="1"/>
  <c r="I72" i="2" s="1"/>
  <c r="V76" i="2"/>
  <c r="D76" i="2" s="1"/>
  <c r="V19" i="2"/>
  <c r="D19" i="2" s="1"/>
  <c r="H19" i="2"/>
  <c r="U23" i="2"/>
  <c r="C23" i="2" s="1"/>
  <c r="I23" i="2" s="1"/>
  <c r="U73" i="2"/>
  <c r="C73" i="2" s="1"/>
  <c r="I73" i="2" s="1"/>
  <c r="V72" i="2"/>
  <c r="D72" i="2" s="1"/>
  <c r="U65" i="2"/>
  <c r="C65" i="2" s="1"/>
  <c r="I65" i="2" s="1"/>
  <c r="U100" i="2"/>
  <c r="C100" i="2" s="1"/>
  <c r="I100" i="2" s="1"/>
  <c r="U64" i="2"/>
  <c r="C64" i="2" s="1"/>
  <c r="I64" i="2" s="1"/>
  <c r="V229" i="2"/>
  <c r="D229" i="2" s="1"/>
  <c r="V74" i="2"/>
  <c r="D74" i="2" s="1"/>
  <c r="V67" i="2"/>
  <c r="D67" i="2" s="1"/>
  <c r="U140" i="2"/>
  <c r="C140" i="2" s="1"/>
  <c r="I140" i="2" s="1"/>
  <c r="U24" i="2"/>
  <c r="C24" i="2" s="1"/>
  <c r="I24" i="2" s="1"/>
  <c r="V27" i="2"/>
  <c r="D27" i="2" s="1"/>
  <c r="U58" i="2"/>
  <c r="C58" i="2" s="1"/>
  <c r="I58" i="2" s="1"/>
  <c r="V21" i="2"/>
  <c r="D21" i="2" s="1"/>
  <c r="U75" i="2"/>
  <c r="C75" i="2" s="1"/>
  <c r="I75" i="2" s="1"/>
  <c r="U230" i="2"/>
  <c r="C230" i="2" s="1"/>
  <c r="I230" i="2" s="1"/>
  <c r="U74" i="2"/>
  <c r="C74" i="2" s="1"/>
  <c r="I74" i="2" s="1"/>
  <c r="U19" i="2"/>
  <c r="C19" i="2" s="1"/>
  <c r="V23" i="2"/>
  <c r="D23" i="2" s="1"/>
  <c r="X36" i="31"/>
  <c r="X38" i="31"/>
  <c r="G38" i="31" s="1"/>
  <c r="AH20" i="31"/>
  <c r="H20" i="31" s="1"/>
  <c r="U38" i="26"/>
  <c r="U22" i="26"/>
  <c r="U28" i="26"/>
  <c r="U33" i="26"/>
  <c r="U20" i="26"/>
  <c r="U36" i="26"/>
  <c r="U21" i="26"/>
  <c r="U32" i="26"/>
  <c r="U24" i="26"/>
  <c r="U29" i="26"/>
  <c r="U34" i="26"/>
  <c r="U25" i="26"/>
  <c r="U30" i="26"/>
  <c r="U26" i="26"/>
  <c r="V29" i="27"/>
  <c r="AH37" i="31"/>
  <c r="H37" i="31" s="1"/>
  <c r="AH21" i="31"/>
  <c r="H21" i="31" s="1"/>
  <c r="AD36" i="26"/>
  <c r="AA27" i="33"/>
  <c r="D27" i="33" s="1"/>
  <c r="AA29" i="33"/>
  <c r="D29" i="33" s="1"/>
  <c r="AA31" i="33"/>
  <c r="D31" i="33" s="1"/>
  <c r="AA33" i="33"/>
  <c r="AA23" i="33"/>
  <c r="D23" i="33" s="1"/>
  <c r="AA25" i="33"/>
  <c r="AA35" i="33"/>
  <c r="D35" i="33" s="1"/>
  <c r="C27" i="33"/>
  <c r="C29" i="33"/>
  <c r="C21" i="33"/>
  <c r="C23" i="33"/>
  <c r="G33" i="32"/>
  <c r="H38" i="32"/>
  <c r="AH38" i="31"/>
  <c r="AH22" i="31"/>
  <c r="H22" i="31" s="1"/>
  <c r="X34" i="31"/>
  <c r="G34" i="31" s="1"/>
  <c r="X22" i="31"/>
  <c r="X33" i="31"/>
  <c r="X29" i="31"/>
  <c r="G29" i="31" s="1"/>
  <c r="X20" i="31"/>
  <c r="G20" i="31" s="1"/>
  <c r="X26" i="31"/>
  <c r="G26" i="31" s="1"/>
  <c r="X32" i="31"/>
  <c r="G32" i="31" s="1"/>
  <c r="X24" i="31"/>
  <c r="G24" i="31" s="1"/>
  <c r="AH36" i="31"/>
  <c r="AH24" i="31"/>
  <c r="X30" i="31"/>
  <c r="X21" i="31"/>
  <c r="X37" i="31"/>
  <c r="AH32" i="31"/>
  <c r="AH26" i="31"/>
  <c r="AH28" i="31"/>
  <c r="AH29" i="31"/>
  <c r="X25" i="31"/>
  <c r="X28" i="31"/>
  <c r="AH30" i="31"/>
  <c r="AH25" i="31"/>
  <c r="AH33" i="31"/>
  <c r="AH34" i="31"/>
  <c r="W21" i="26"/>
  <c r="AC24" i="26"/>
  <c r="V31" i="27"/>
  <c r="X31" i="27" s="1"/>
  <c r="R27" i="4"/>
  <c r="V25" i="27"/>
  <c r="V35" i="27"/>
  <c r="U37" i="26"/>
  <c r="V23" i="27"/>
  <c r="AF37" i="26"/>
  <c r="R33" i="4"/>
  <c r="V27" i="27"/>
  <c r="AF21" i="26"/>
  <c r="AF22" i="26"/>
  <c r="W27" i="27"/>
  <c r="AF20" i="26"/>
  <c r="AF30" i="26"/>
  <c r="W33" i="27"/>
  <c r="X33" i="27" s="1"/>
  <c r="AF25" i="26"/>
  <c r="Q27" i="4"/>
  <c r="Q29" i="27"/>
  <c r="W21" i="27"/>
  <c r="W35" i="27"/>
  <c r="R33" i="27"/>
  <c r="R31" i="27"/>
  <c r="R25" i="27"/>
  <c r="R21" i="27"/>
  <c r="S21" i="27" s="1"/>
  <c r="AC36" i="26"/>
  <c r="AC38" i="26"/>
  <c r="W20" i="26"/>
  <c r="W30" i="26"/>
  <c r="R23" i="27"/>
  <c r="AC33" i="26"/>
  <c r="AC34" i="26"/>
  <c r="R27" i="27"/>
  <c r="R35" i="27"/>
  <c r="S35" i="27" s="1"/>
  <c r="C35" i="27" s="1"/>
  <c r="AC30" i="26"/>
  <c r="R31" i="4"/>
  <c r="R23" i="4"/>
  <c r="R29" i="4"/>
  <c r="R21" i="4"/>
  <c r="S21" i="4" s="1"/>
  <c r="C21" i="4" s="1"/>
  <c r="AC25" i="26"/>
  <c r="AC28" i="26"/>
  <c r="AC29" i="26"/>
  <c r="R29" i="27"/>
  <c r="R25" i="4"/>
  <c r="S25" i="4" s="1"/>
  <c r="C25" i="4" s="1"/>
  <c r="AD20" i="26"/>
  <c r="AD29" i="26"/>
  <c r="AD37" i="26"/>
  <c r="W23" i="27"/>
  <c r="W29" i="27"/>
  <c r="AD26" i="26"/>
  <c r="W25" i="27"/>
  <c r="Q33" i="27"/>
  <c r="Q27" i="27"/>
  <c r="Q25" i="27"/>
  <c r="Q31" i="27"/>
  <c r="Q23" i="27"/>
  <c r="AG29" i="26"/>
  <c r="W37" i="26"/>
  <c r="AG36" i="26"/>
  <c r="AD21" i="26"/>
  <c r="AG24" i="26"/>
  <c r="W25" i="26"/>
  <c r="W36" i="26"/>
  <c r="AD32" i="26"/>
  <c r="AD34" i="26"/>
  <c r="AD24" i="26"/>
  <c r="S36" i="26"/>
  <c r="S30" i="26"/>
  <c r="S25" i="26"/>
  <c r="S38" i="26"/>
  <c r="S33" i="26"/>
  <c r="S28" i="26"/>
  <c r="S37" i="26"/>
  <c r="S32" i="26"/>
  <c r="S26" i="26"/>
  <c r="S24" i="26"/>
  <c r="V38" i="26"/>
  <c r="V33" i="26"/>
  <c r="V28" i="26"/>
  <c r="V37" i="26"/>
  <c r="V36" i="26"/>
  <c r="V30" i="26"/>
  <c r="V25" i="26"/>
  <c r="V22" i="26"/>
  <c r="V21" i="26"/>
  <c r="V20" i="26"/>
  <c r="V34" i="26"/>
  <c r="V29" i="26"/>
  <c r="V24" i="26"/>
  <c r="AE38" i="26"/>
  <c r="AE37" i="26"/>
  <c r="AE36" i="26"/>
  <c r="AE34" i="26"/>
  <c r="AE33" i="26"/>
  <c r="AE32" i="26"/>
  <c r="AE30" i="26"/>
  <c r="AE29" i="26"/>
  <c r="AE28" i="26"/>
  <c r="AE26" i="26"/>
  <c r="AE25" i="26"/>
  <c r="AE24" i="26"/>
  <c r="AE22" i="26"/>
  <c r="AE21" i="26"/>
  <c r="AE20" i="26"/>
  <c r="V26" i="26"/>
  <c r="S29" i="26"/>
  <c r="S21" i="26"/>
  <c r="AD22" i="26"/>
  <c r="V32" i="26"/>
  <c r="S34" i="26"/>
  <c r="T38" i="26"/>
  <c r="T37" i="26"/>
  <c r="T36" i="26"/>
  <c r="T34" i="26"/>
  <c r="T33" i="26"/>
  <c r="T32" i="26"/>
  <c r="T30" i="26"/>
  <c r="T29" i="26"/>
  <c r="T28" i="26"/>
  <c r="T26" i="26"/>
  <c r="T25" i="26"/>
  <c r="T24" i="26"/>
  <c r="AG26" i="26"/>
  <c r="W28" i="26"/>
  <c r="AF28" i="26"/>
  <c r="AG32" i="26"/>
  <c r="W33" i="26"/>
  <c r="AF33" i="26"/>
  <c r="AG37" i="26"/>
  <c r="W38" i="26"/>
  <c r="AF38" i="26"/>
  <c r="AG20" i="26"/>
  <c r="AC21" i="26"/>
  <c r="AG21" i="26"/>
  <c r="AC22" i="26"/>
  <c r="AG22" i="26"/>
  <c r="W24" i="26"/>
  <c r="AF24" i="26"/>
  <c r="AD25" i="26"/>
  <c r="AC26" i="26"/>
  <c r="AG28" i="26"/>
  <c r="W29" i="26"/>
  <c r="AF29" i="26"/>
  <c r="AD30" i="26"/>
  <c r="AC32" i="26"/>
  <c r="AG33" i="26"/>
  <c r="W34" i="26"/>
  <c r="AF34" i="26"/>
  <c r="AG38" i="26"/>
  <c r="T20" i="26"/>
  <c r="T21" i="26"/>
  <c r="T22" i="26"/>
  <c r="AG25" i="26"/>
  <c r="W26" i="26"/>
  <c r="AF26" i="26"/>
  <c r="AD28" i="26"/>
  <c r="AG30" i="26"/>
  <c r="W32" i="26"/>
  <c r="AF32" i="26"/>
  <c r="AD33" i="26"/>
  <c r="AD38" i="26"/>
  <c r="Q35" i="4"/>
  <c r="Q33" i="4"/>
  <c r="Q31" i="4"/>
  <c r="Q29" i="4"/>
  <c r="Q23" i="4"/>
  <c r="AI20" i="32" l="1"/>
  <c r="AK20" i="32"/>
  <c r="E211" i="2"/>
  <c r="F211" i="2" s="1"/>
  <c r="E64" i="2"/>
  <c r="F64" i="2" s="1"/>
  <c r="E213" i="2"/>
  <c r="F213" i="2" s="1"/>
  <c r="K137" i="2"/>
  <c r="E27" i="2"/>
  <c r="F27" i="2" s="1"/>
  <c r="J27" i="2"/>
  <c r="K27" i="2" s="1"/>
  <c r="J70" i="2"/>
  <c r="K70" i="2" s="1"/>
  <c r="E70" i="2"/>
  <c r="F70" i="2" s="1"/>
  <c r="J140" i="2"/>
  <c r="K140" i="2" s="1"/>
  <c r="E140" i="2"/>
  <c r="F140" i="2" s="1"/>
  <c r="J100" i="2"/>
  <c r="K100" i="2" s="1"/>
  <c r="E100" i="2"/>
  <c r="F100" i="2" s="1"/>
  <c r="E133" i="2"/>
  <c r="F133" i="2" s="1"/>
  <c r="J133" i="2"/>
  <c r="K133" i="2" s="1"/>
  <c r="J214" i="2"/>
  <c r="K214" i="2" s="1"/>
  <c r="E214" i="2"/>
  <c r="F214" i="2" s="1"/>
  <c r="E184" i="2"/>
  <c r="F184" i="2" s="1"/>
  <c r="J184" i="2"/>
  <c r="K184" i="2" s="1"/>
  <c r="K182" i="2"/>
  <c r="E72" i="2"/>
  <c r="F72" i="2" s="1"/>
  <c r="J72" i="2"/>
  <c r="K72" i="2" s="1"/>
  <c r="E22" i="2"/>
  <c r="F22" i="2" s="1"/>
  <c r="J22" i="2"/>
  <c r="K22" i="2" s="1"/>
  <c r="E141" i="2"/>
  <c r="F141" i="2" s="1"/>
  <c r="J141" i="2"/>
  <c r="K141" i="2" s="1"/>
  <c r="J135" i="2"/>
  <c r="K135" i="2" s="1"/>
  <c r="E135" i="2"/>
  <c r="F135" i="2" s="1"/>
  <c r="J212" i="2"/>
  <c r="K212" i="2" s="1"/>
  <c r="E212" i="2"/>
  <c r="F212" i="2" s="1"/>
  <c r="E71" i="2"/>
  <c r="F71" i="2" s="1"/>
  <c r="I19" i="2"/>
  <c r="E21" i="2"/>
  <c r="F21" i="2" s="1"/>
  <c r="J21" i="2"/>
  <c r="E76" i="2"/>
  <c r="F76" i="2" s="1"/>
  <c r="J76" i="2"/>
  <c r="K76" i="2" s="1"/>
  <c r="J20" i="2"/>
  <c r="K20" i="2" s="1"/>
  <c r="E20" i="2"/>
  <c r="F20" i="2" s="1"/>
  <c r="J58" i="2"/>
  <c r="K58" i="2" s="1"/>
  <c r="E58" i="2"/>
  <c r="F58" i="2" s="1"/>
  <c r="E77" i="2"/>
  <c r="F77" i="2" s="1"/>
  <c r="J77" i="2"/>
  <c r="K77" i="2" s="1"/>
  <c r="E137" i="2"/>
  <c r="F137" i="2" s="1"/>
  <c r="K71" i="2"/>
  <c r="E176" i="2"/>
  <c r="F176" i="2" s="1"/>
  <c r="E210" i="2"/>
  <c r="F210" i="2" s="1"/>
  <c r="E74" i="2"/>
  <c r="F74" i="2" s="1"/>
  <c r="J74" i="2"/>
  <c r="K74" i="2" s="1"/>
  <c r="K21" i="2"/>
  <c r="E69" i="2"/>
  <c r="F69" i="2" s="1"/>
  <c r="J69" i="2"/>
  <c r="K69" i="2" s="1"/>
  <c r="J144" i="2"/>
  <c r="K144" i="2" s="1"/>
  <c r="E144" i="2"/>
  <c r="F144" i="2" s="1"/>
  <c r="E23" i="2"/>
  <c r="F23" i="2" s="1"/>
  <c r="J23" i="2"/>
  <c r="K23" i="2" s="1"/>
  <c r="E229" i="2"/>
  <c r="F229" i="2" s="1"/>
  <c r="J229" i="2"/>
  <c r="K229" i="2" s="1"/>
  <c r="E19" i="2"/>
  <c r="F19" i="2" s="1"/>
  <c r="J19" i="2"/>
  <c r="E230" i="2"/>
  <c r="F230" i="2" s="1"/>
  <c r="J230" i="2"/>
  <c r="K230" i="2" s="1"/>
  <c r="J65" i="2"/>
  <c r="K65" i="2" s="1"/>
  <c r="E65" i="2"/>
  <c r="F65" i="2" s="1"/>
  <c r="J66" i="2"/>
  <c r="K66" i="2" s="1"/>
  <c r="E66" i="2"/>
  <c r="F66" i="2" s="1"/>
  <c r="K176" i="2"/>
  <c r="E182" i="2"/>
  <c r="F182" i="2" s="1"/>
  <c r="J67" i="2"/>
  <c r="K67" i="2" s="1"/>
  <c r="E67" i="2"/>
  <c r="F67" i="2" s="1"/>
  <c r="J75" i="2"/>
  <c r="K75" i="2" s="1"/>
  <c r="E75" i="2"/>
  <c r="F75" i="2" s="1"/>
  <c r="E68" i="2"/>
  <c r="F68" i="2" s="1"/>
  <c r="J68" i="2"/>
  <c r="K68" i="2" s="1"/>
  <c r="E24" i="2"/>
  <c r="F24" i="2" s="1"/>
  <c r="J24" i="2"/>
  <c r="K24" i="2" s="1"/>
  <c r="J73" i="2"/>
  <c r="K73" i="2" s="1"/>
  <c r="E73" i="2"/>
  <c r="F73" i="2" s="1"/>
  <c r="J57" i="2"/>
  <c r="K57" i="2" s="1"/>
  <c r="E57" i="2"/>
  <c r="F57" i="2" s="1"/>
  <c r="K64" i="2"/>
  <c r="K211" i="2"/>
  <c r="E170" i="2"/>
  <c r="F170" i="2" s="1"/>
  <c r="K210" i="2"/>
  <c r="AF21" i="33"/>
  <c r="AK38" i="31"/>
  <c r="AH21" i="33"/>
  <c r="G36" i="31"/>
  <c r="N36" i="31" s="1"/>
  <c r="AF23" i="33"/>
  <c r="AM20" i="31"/>
  <c r="N34" i="31"/>
  <c r="N24" i="31"/>
  <c r="AI36" i="32"/>
  <c r="X29" i="27"/>
  <c r="D29" i="27" s="1"/>
  <c r="AI28" i="32"/>
  <c r="AK24" i="32"/>
  <c r="AM37" i="31"/>
  <c r="AK20" i="31"/>
  <c r="AH29" i="33"/>
  <c r="AF27" i="33"/>
  <c r="AI25" i="32"/>
  <c r="AK22" i="31"/>
  <c r="AM38" i="31"/>
  <c r="N29" i="31"/>
  <c r="AK21" i="31"/>
  <c r="N32" i="31"/>
  <c r="H38" i="31"/>
  <c r="O38" i="31" s="1"/>
  <c r="AM22" i="31"/>
  <c r="O20" i="31"/>
  <c r="O22" i="31"/>
  <c r="N26" i="31"/>
  <c r="G22" i="31"/>
  <c r="AF29" i="33"/>
  <c r="AH23" i="33"/>
  <c r="AH27" i="33"/>
  <c r="K29" i="33"/>
  <c r="O37" i="32"/>
  <c r="K27" i="33"/>
  <c r="K21" i="33"/>
  <c r="K23" i="33"/>
  <c r="AH31" i="33"/>
  <c r="AH35" i="33"/>
  <c r="C31" i="33"/>
  <c r="AF31" i="33"/>
  <c r="C35" i="33"/>
  <c r="AF35" i="33"/>
  <c r="D33" i="33"/>
  <c r="J23" i="33"/>
  <c r="F21" i="33"/>
  <c r="E29" i="33"/>
  <c r="F29" i="33" s="1"/>
  <c r="AH25" i="33"/>
  <c r="D25" i="33"/>
  <c r="K25" i="33" s="1"/>
  <c r="AF25" i="33"/>
  <c r="E27" i="33"/>
  <c r="F27" i="33" s="1"/>
  <c r="J21" i="33"/>
  <c r="E23" i="33"/>
  <c r="F23" i="33" s="1"/>
  <c r="C33" i="33"/>
  <c r="J29" i="33"/>
  <c r="J25" i="33"/>
  <c r="G29" i="32"/>
  <c r="H20" i="32"/>
  <c r="G26" i="32"/>
  <c r="H29" i="32"/>
  <c r="AK37" i="32"/>
  <c r="AK25" i="32"/>
  <c r="G20" i="32"/>
  <c r="AK29" i="32"/>
  <c r="AI37" i="32"/>
  <c r="AI29" i="32"/>
  <c r="G30" i="32"/>
  <c r="G34" i="32"/>
  <c r="I37" i="32"/>
  <c r="J37" i="32" s="1"/>
  <c r="AI34" i="32"/>
  <c r="H34" i="32"/>
  <c r="AK34" i="32"/>
  <c r="G32" i="32"/>
  <c r="G38" i="32"/>
  <c r="G21" i="32"/>
  <c r="AI26" i="32"/>
  <c r="H26" i="32"/>
  <c r="AK26" i="32"/>
  <c r="AI38" i="32"/>
  <c r="N33" i="32"/>
  <c r="AI24" i="32"/>
  <c r="G36" i="32"/>
  <c r="AI33" i="32"/>
  <c r="H33" i="32"/>
  <c r="O33" i="32" s="1"/>
  <c r="AK33" i="32"/>
  <c r="G25" i="32"/>
  <c r="AI30" i="32"/>
  <c r="N37" i="32"/>
  <c r="AK36" i="32"/>
  <c r="AI21" i="32"/>
  <c r="H21" i="32"/>
  <c r="AK21" i="32"/>
  <c r="G24" i="32"/>
  <c r="O24" i="32" s="1"/>
  <c r="G22" i="32"/>
  <c r="G28" i="32"/>
  <c r="O28" i="32" s="1"/>
  <c r="AI22" i="32"/>
  <c r="AK22" i="32"/>
  <c r="H22" i="32"/>
  <c r="AK30" i="32"/>
  <c r="AI32" i="32"/>
  <c r="H32" i="32"/>
  <c r="O32" i="32" s="1"/>
  <c r="AK32" i="32"/>
  <c r="AK38" i="32"/>
  <c r="AK28" i="32"/>
  <c r="G33" i="31"/>
  <c r="N33" i="31" s="1"/>
  <c r="AK37" i="31"/>
  <c r="AK30" i="31"/>
  <c r="H30" i="31"/>
  <c r="AM30" i="31"/>
  <c r="AK32" i="31"/>
  <c r="H32" i="31"/>
  <c r="O32" i="31" s="1"/>
  <c r="AM32" i="31"/>
  <c r="AK29" i="31"/>
  <c r="H29" i="31"/>
  <c r="AM29" i="31"/>
  <c r="G30" i="31"/>
  <c r="AK33" i="31"/>
  <c r="H33" i="31"/>
  <c r="O33" i="31" s="1"/>
  <c r="AM33" i="31"/>
  <c r="G25" i="31"/>
  <c r="AK28" i="31"/>
  <c r="H28" i="31"/>
  <c r="AM28" i="31"/>
  <c r="G21" i="31"/>
  <c r="I21" i="31" s="1"/>
  <c r="J21" i="31" s="1"/>
  <c r="O21" i="31"/>
  <c r="AK24" i="31"/>
  <c r="H24" i="31"/>
  <c r="AM24" i="31"/>
  <c r="AK34" i="31"/>
  <c r="H34" i="31"/>
  <c r="AM34" i="31"/>
  <c r="G28" i="31"/>
  <c r="G37" i="31"/>
  <c r="O37" i="31"/>
  <c r="AK36" i="31"/>
  <c r="H36" i="31"/>
  <c r="O36" i="31" s="1"/>
  <c r="AM36" i="31"/>
  <c r="AK25" i="31"/>
  <c r="H25" i="31"/>
  <c r="AM25" i="31"/>
  <c r="N38" i="31"/>
  <c r="AM21" i="31"/>
  <c r="AK26" i="31"/>
  <c r="H26" i="31"/>
  <c r="AM26" i="31"/>
  <c r="I20" i="31"/>
  <c r="J20" i="31" s="1"/>
  <c r="N20" i="31"/>
  <c r="S23" i="4"/>
  <c r="Z23" i="4" s="1"/>
  <c r="X20" i="26"/>
  <c r="G20" i="26" s="1"/>
  <c r="X23" i="27"/>
  <c r="D23" i="27" s="1"/>
  <c r="S33" i="4"/>
  <c r="C33" i="4" s="1"/>
  <c r="E33" i="4" s="1"/>
  <c r="F33" i="4" s="1"/>
  <c r="X25" i="27"/>
  <c r="D25" i="27" s="1"/>
  <c r="X35" i="27"/>
  <c r="D35" i="27" s="1"/>
  <c r="S33" i="27"/>
  <c r="C33" i="27" s="1"/>
  <c r="X27" i="27"/>
  <c r="D27" i="27" s="1"/>
  <c r="S27" i="4"/>
  <c r="C27" i="4" s="1"/>
  <c r="J27" i="4" s="1"/>
  <c r="S29" i="27"/>
  <c r="J35" i="27"/>
  <c r="X29" i="26"/>
  <c r="AH24" i="26"/>
  <c r="H24" i="26" s="1"/>
  <c r="AH29" i="26"/>
  <c r="AH20" i="26"/>
  <c r="AH36" i="26"/>
  <c r="D31" i="27"/>
  <c r="S23" i="27"/>
  <c r="C23" i="27" s="1"/>
  <c r="S31" i="27"/>
  <c r="C31" i="27" s="1"/>
  <c r="D33" i="27"/>
  <c r="S27" i="27"/>
  <c r="C27" i="27" s="1"/>
  <c r="C21" i="27"/>
  <c r="S25" i="27"/>
  <c r="AB25" i="4"/>
  <c r="J21" i="4"/>
  <c r="E25" i="4"/>
  <c r="F25" i="4" s="1"/>
  <c r="J25" i="4"/>
  <c r="M25" i="4" s="1"/>
  <c r="E21" i="4"/>
  <c r="F21" i="4" s="1"/>
  <c r="AH33" i="26"/>
  <c r="X22" i="26"/>
  <c r="G22" i="26" s="1"/>
  <c r="AH25" i="26"/>
  <c r="AH21" i="26"/>
  <c r="AH37" i="26"/>
  <c r="AH38" i="26"/>
  <c r="AH30" i="26"/>
  <c r="AH28" i="26"/>
  <c r="AH34" i="26"/>
  <c r="X21" i="26"/>
  <c r="AH32" i="26"/>
  <c r="X37" i="26"/>
  <c r="AH26" i="26"/>
  <c r="AH22" i="26"/>
  <c r="X28" i="26"/>
  <c r="X25" i="26"/>
  <c r="X34" i="26"/>
  <c r="X24" i="26"/>
  <c r="X26" i="26"/>
  <c r="X33" i="26"/>
  <c r="X30" i="26"/>
  <c r="X32" i="26"/>
  <c r="X38" i="26"/>
  <c r="X36" i="26"/>
  <c r="S29" i="4"/>
  <c r="Z29" i="4" s="1"/>
  <c r="Z21" i="4"/>
  <c r="AB21" i="4"/>
  <c r="S31" i="4"/>
  <c r="C31" i="4" s="1"/>
  <c r="J31" i="4" s="1"/>
  <c r="S35" i="4"/>
  <c r="Z25" i="4"/>
  <c r="L25" i="33" l="1"/>
  <c r="L29" i="33"/>
  <c r="L23" i="33"/>
  <c r="L21" i="33"/>
  <c r="AB23" i="4"/>
  <c r="I38" i="31"/>
  <c r="J38" i="31" s="1"/>
  <c r="AE29" i="27"/>
  <c r="O21" i="32"/>
  <c r="O34" i="31"/>
  <c r="P34" i="31" s="1"/>
  <c r="E31" i="33"/>
  <c r="F31" i="33" s="1"/>
  <c r="K31" i="33"/>
  <c r="K35" i="33"/>
  <c r="J27" i="33"/>
  <c r="L27" i="33" s="1"/>
  <c r="K19" i="2"/>
  <c r="K31" i="4"/>
  <c r="L31" i="4" s="1"/>
  <c r="C23" i="4"/>
  <c r="E23" i="4" s="1"/>
  <c r="F23" i="4" s="1"/>
  <c r="G29" i="26"/>
  <c r="N29" i="26" s="1"/>
  <c r="O24" i="31"/>
  <c r="P24" i="31" s="1"/>
  <c r="K25" i="27"/>
  <c r="N22" i="31"/>
  <c r="P22" i="31" s="1"/>
  <c r="P38" i="31"/>
  <c r="O29" i="31"/>
  <c r="P29" i="31" s="1"/>
  <c r="O26" i="31"/>
  <c r="P26" i="31" s="1"/>
  <c r="I22" i="31"/>
  <c r="J22" i="31" s="1"/>
  <c r="O25" i="31"/>
  <c r="O30" i="31"/>
  <c r="O28" i="31"/>
  <c r="K35" i="27"/>
  <c r="L35" i="27" s="1"/>
  <c r="I25" i="32"/>
  <c r="J25" i="32" s="1"/>
  <c r="O25" i="32"/>
  <c r="I36" i="32"/>
  <c r="J36" i="32" s="1"/>
  <c r="O36" i="32"/>
  <c r="I38" i="32"/>
  <c r="J38" i="32" s="1"/>
  <c r="O38" i="32"/>
  <c r="I20" i="32"/>
  <c r="J20" i="32" s="1"/>
  <c r="O20" i="32"/>
  <c r="O22" i="32"/>
  <c r="O26" i="32"/>
  <c r="O34" i="32"/>
  <c r="I30" i="32"/>
  <c r="J30" i="32" s="1"/>
  <c r="O30" i="32"/>
  <c r="O29" i="32"/>
  <c r="K33" i="33"/>
  <c r="K25" i="4"/>
  <c r="K21" i="4"/>
  <c r="L21" i="4" s="1"/>
  <c r="K27" i="4"/>
  <c r="L27" i="4" s="1"/>
  <c r="E35" i="33"/>
  <c r="F35" i="33" s="1"/>
  <c r="J33" i="33"/>
  <c r="E25" i="33"/>
  <c r="F25" i="33" s="1"/>
  <c r="E33" i="33"/>
  <c r="F33" i="33" s="1"/>
  <c r="I29" i="32"/>
  <c r="J29" i="32" s="1"/>
  <c r="P37" i="32"/>
  <c r="N28" i="32"/>
  <c r="P28" i="32" s="1"/>
  <c r="N24" i="32"/>
  <c r="P24" i="32" s="1"/>
  <c r="P33" i="32"/>
  <c r="I33" i="32"/>
  <c r="J33" i="32" s="1"/>
  <c r="N34" i="32"/>
  <c r="I24" i="32"/>
  <c r="J24" i="32" s="1"/>
  <c r="N22" i="32"/>
  <c r="I26" i="32"/>
  <c r="J26" i="32" s="1"/>
  <c r="N32" i="32"/>
  <c r="I34" i="32"/>
  <c r="J34" i="32" s="1"/>
  <c r="I28" i="32"/>
  <c r="J28" i="32" s="1"/>
  <c r="I21" i="32"/>
  <c r="J21" i="32" s="1"/>
  <c r="I22" i="32"/>
  <c r="J22" i="32" s="1"/>
  <c r="N21" i="32"/>
  <c r="I32" i="32"/>
  <c r="J32" i="32" s="1"/>
  <c r="I26" i="31"/>
  <c r="J26" i="31" s="1"/>
  <c r="I25" i="31"/>
  <c r="J25" i="31" s="1"/>
  <c r="N37" i="31"/>
  <c r="P37" i="31" s="1"/>
  <c r="I28" i="31"/>
  <c r="J28" i="31" s="1"/>
  <c r="P36" i="31"/>
  <c r="I36" i="31"/>
  <c r="J36" i="31" s="1"/>
  <c r="N21" i="31"/>
  <c r="P21" i="31" s="1"/>
  <c r="N30" i="31"/>
  <c r="I29" i="31"/>
  <c r="J29" i="31" s="1"/>
  <c r="P32" i="31"/>
  <c r="I32" i="31"/>
  <c r="J32" i="31" s="1"/>
  <c r="I30" i="31"/>
  <c r="J30" i="31" s="1"/>
  <c r="I34" i="31"/>
  <c r="J34" i="31" s="1"/>
  <c r="N28" i="31"/>
  <c r="P20" i="31"/>
  <c r="I37" i="31"/>
  <c r="J37" i="31" s="1"/>
  <c r="I24" i="31"/>
  <c r="J24" i="31" s="1"/>
  <c r="N25" i="31"/>
  <c r="P33" i="31"/>
  <c r="I33" i="31"/>
  <c r="J33" i="31" s="1"/>
  <c r="AB33" i="4"/>
  <c r="N20" i="26"/>
  <c r="AM20" i="26"/>
  <c r="Z33" i="4"/>
  <c r="H29" i="26"/>
  <c r="H25" i="26"/>
  <c r="K29" i="27"/>
  <c r="C29" i="27"/>
  <c r="AE33" i="27"/>
  <c r="E27" i="4"/>
  <c r="F27" i="4" s="1"/>
  <c r="AE31" i="27"/>
  <c r="Z27" i="4"/>
  <c r="J33" i="27"/>
  <c r="AB27" i="4"/>
  <c r="H37" i="26"/>
  <c r="E27" i="27"/>
  <c r="F27" i="27" s="1"/>
  <c r="AC29" i="27"/>
  <c r="N22" i="26"/>
  <c r="H34" i="26"/>
  <c r="AC33" i="27"/>
  <c r="H21" i="26"/>
  <c r="AM21" i="26"/>
  <c r="AK38" i="26"/>
  <c r="H20" i="26"/>
  <c r="AK29" i="26"/>
  <c r="H36" i="26"/>
  <c r="H30" i="26"/>
  <c r="AM29" i="26"/>
  <c r="AK20" i="26"/>
  <c r="J27" i="27"/>
  <c r="AK36" i="26"/>
  <c r="AK24" i="26"/>
  <c r="AK30" i="26"/>
  <c r="AC31" i="27"/>
  <c r="J23" i="27"/>
  <c r="J31" i="27"/>
  <c r="E35" i="27"/>
  <c r="F35" i="27" s="1"/>
  <c r="E23" i="27"/>
  <c r="F23" i="27" s="1"/>
  <c r="AE23" i="27"/>
  <c r="AC23" i="27"/>
  <c r="E31" i="27"/>
  <c r="F31" i="27" s="1"/>
  <c r="E33" i="27"/>
  <c r="F33" i="27" s="1"/>
  <c r="J21" i="27"/>
  <c r="AC27" i="27"/>
  <c r="AE27" i="27"/>
  <c r="C25" i="27"/>
  <c r="AE25" i="27"/>
  <c r="AC25" i="27"/>
  <c r="E31" i="4"/>
  <c r="F31" i="4" s="1"/>
  <c r="AB35" i="4"/>
  <c r="C35" i="4"/>
  <c r="AB29" i="4"/>
  <c r="C29" i="4"/>
  <c r="AM34" i="26"/>
  <c r="H33" i="26"/>
  <c r="AM28" i="26"/>
  <c r="H28" i="26"/>
  <c r="AK21" i="26"/>
  <c r="G21" i="26"/>
  <c r="AM30" i="26"/>
  <c r="H38" i="26"/>
  <c r="AK34" i="26"/>
  <c r="G32" i="26"/>
  <c r="G33" i="26"/>
  <c r="G25" i="26"/>
  <c r="G37" i="26"/>
  <c r="AM25" i="26"/>
  <c r="AM33" i="26"/>
  <c r="G26" i="26"/>
  <c r="G28" i="26"/>
  <c r="AK37" i="26"/>
  <c r="AM32" i="26"/>
  <c r="H32" i="26"/>
  <c r="AK32" i="26"/>
  <c r="AK25" i="26"/>
  <c r="G36" i="26"/>
  <c r="G24" i="26"/>
  <c r="O24" i="26"/>
  <c r="AK22" i="26"/>
  <c r="AM22" i="26"/>
  <c r="H22" i="26"/>
  <c r="AM37" i="26"/>
  <c r="AM36" i="26"/>
  <c r="AK28" i="26"/>
  <c r="AK33" i="26"/>
  <c r="AM24" i="26"/>
  <c r="G38" i="26"/>
  <c r="G30" i="26"/>
  <c r="G34" i="26"/>
  <c r="AM26" i="26"/>
  <c r="H26" i="26"/>
  <c r="AK26" i="26"/>
  <c r="AM38" i="26"/>
  <c r="Z35" i="4"/>
  <c r="AB31" i="4"/>
  <c r="Z31" i="4"/>
  <c r="L25" i="4" l="1"/>
  <c r="N25" i="4"/>
  <c r="L33" i="33"/>
  <c r="N25" i="32"/>
  <c r="P25" i="32" s="1"/>
  <c r="P34" i="32"/>
  <c r="J31" i="33"/>
  <c r="L31" i="33" s="1"/>
  <c r="J35" i="33"/>
  <c r="L35" i="33" s="1"/>
  <c r="N26" i="32"/>
  <c r="P26" i="32" s="1"/>
  <c r="N38" i="32"/>
  <c r="P38" i="32" s="1"/>
  <c r="K27" i="27"/>
  <c r="L27" i="27" s="1"/>
  <c r="O22" i="26"/>
  <c r="P22" i="26" s="1"/>
  <c r="P28" i="31"/>
  <c r="O34" i="26"/>
  <c r="O26" i="26"/>
  <c r="O36" i="26"/>
  <c r="O38" i="26"/>
  <c r="O33" i="26"/>
  <c r="O28" i="26"/>
  <c r="I20" i="26"/>
  <c r="J20" i="26" s="1"/>
  <c r="O20" i="26"/>
  <c r="P20" i="26" s="1"/>
  <c r="O32" i="26"/>
  <c r="O30" i="26"/>
  <c r="O21" i="26"/>
  <c r="O37" i="26"/>
  <c r="O25" i="26"/>
  <c r="I29" i="26"/>
  <c r="J29" i="26" s="1"/>
  <c r="O29" i="26"/>
  <c r="P29" i="26" s="1"/>
  <c r="K23" i="27"/>
  <c r="L23" i="27" s="1"/>
  <c r="K33" i="27"/>
  <c r="L33" i="27" s="1"/>
  <c r="K31" i="27"/>
  <c r="L31" i="27" s="1"/>
  <c r="N20" i="32"/>
  <c r="P20" i="32" s="1"/>
  <c r="N36" i="32"/>
  <c r="P36" i="32" s="1"/>
  <c r="N30" i="32"/>
  <c r="P30" i="32" s="1"/>
  <c r="N29" i="32"/>
  <c r="P29" i="32" s="1"/>
  <c r="J23" i="4"/>
  <c r="K23" i="4"/>
  <c r="J33" i="4"/>
  <c r="K33" i="4"/>
  <c r="P32" i="32"/>
  <c r="P22" i="32"/>
  <c r="P21" i="32"/>
  <c r="P30" i="31"/>
  <c r="P25" i="31"/>
  <c r="J29" i="27"/>
  <c r="L29" i="27" s="1"/>
  <c r="I37" i="26"/>
  <c r="J37" i="26" s="1"/>
  <c r="I25" i="26"/>
  <c r="J25" i="26" s="1"/>
  <c r="E29" i="27"/>
  <c r="F29" i="27" s="1"/>
  <c r="I21" i="26"/>
  <c r="J21" i="26" s="1"/>
  <c r="I28" i="26"/>
  <c r="J28" i="26" s="1"/>
  <c r="I34" i="26"/>
  <c r="J34" i="26" s="1"/>
  <c r="N21" i="26"/>
  <c r="N30" i="26"/>
  <c r="N38" i="26"/>
  <c r="J25" i="27"/>
  <c r="L25" i="27" s="1"/>
  <c r="E25" i="27"/>
  <c r="F25" i="27" s="1"/>
  <c r="E35" i="4"/>
  <c r="F35" i="4" s="1"/>
  <c r="E29" i="4"/>
  <c r="F29" i="4" s="1"/>
  <c r="I38" i="26"/>
  <c r="J38" i="26" s="1"/>
  <c r="N34" i="26"/>
  <c r="I22" i="26"/>
  <c r="J22" i="26" s="1"/>
  <c r="I30" i="26"/>
  <c r="J30" i="26" s="1"/>
  <c r="N26" i="26"/>
  <c r="N33" i="26"/>
  <c r="I26" i="26"/>
  <c r="J26" i="26" s="1"/>
  <c r="N36" i="26"/>
  <c r="I32" i="26"/>
  <c r="J32" i="26" s="1"/>
  <c r="I36" i="26"/>
  <c r="J36" i="26" s="1"/>
  <c r="N24" i="26"/>
  <c r="P24" i="26" s="1"/>
  <c r="I33" i="26"/>
  <c r="J33" i="26" s="1"/>
  <c r="N28" i="26"/>
  <c r="I24" i="26"/>
  <c r="J24" i="26" s="1"/>
  <c r="N37" i="26"/>
  <c r="N25" i="26"/>
  <c r="N32" i="26"/>
  <c r="E38" i="25"/>
  <c r="T38" i="25" s="1"/>
  <c r="E37" i="25"/>
  <c r="E36" i="25"/>
  <c r="E34" i="25"/>
  <c r="L34" i="25" s="1"/>
  <c r="E33" i="25"/>
  <c r="L33" i="25" s="1"/>
  <c r="E32" i="25"/>
  <c r="L32" i="25" s="1"/>
  <c r="L29" i="25"/>
  <c r="E28" i="25"/>
  <c r="L28" i="25" s="1"/>
  <c r="E26" i="25"/>
  <c r="L26" i="25" s="1"/>
  <c r="E25" i="25"/>
  <c r="L25" i="25" s="1"/>
  <c r="E24" i="25"/>
  <c r="L24" i="25" s="1"/>
  <c r="W22" i="25"/>
  <c r="AG21" i="25"/>
  <c r="E21" i="25"/>
  <c r="L21" i="25" s="1"/>
  <c r="AF20" i="25"/>
  <c r="AC28" i="25"/>
  <c r="U20" i="25"/>
  <c r="S22" i="25"/>
  <c r="E20" i="25"/>
  <c r="AG38" i="25"/>
  <c r="AF32" i="25"/>
  <c r="AE30" i="25"/>
  <c r="W29" i="25"/>
  <c r="AD18" i="24"/>
  <c r="AD17" i="24"/>
  <c r="AC17" i="24"/>
  <c r="T17" i="24"/>
  <c r="E38" i="24"/>
  <c r="E37" i="24"/>
  <c r="E36" i="24"/>
  <c r="L33" i="24"/>
  <c r="E32" i="24"/>
  <c r="L32" i="24" s="1"/>
  <c r="E29" i="24"/>
  <c r="L29" i="24" s="1"/>
  <c r="E28" i="24"/>
  <c r="L28" i="24" s="1"/>
  <c r="E26" i="24"/>
  <c r="L26" i="24" s="1"/>
  <c r="E25" i="24"/>
  <c r="L25" i="24" s="1"/>
  <c r="E24" i="24"/>
  <c r="L24" i="24" s="1"/>
  <c r="E22" i="24"/>
  <c r="L22" i="24" s="1"/>
  <c r="E21" i="24"/>
  <c r="L21" i="24" s="1"/>
  <c r="S38" i="24"/>
  <c r="E20" i="24"/>
  <c r="L23" i="4" l="1"/>
  <c r="L33" i="4"/>
  <c r="K25" i="24"/>
  <c r="M25" i="24"/>
  <c r="K30" i="24"/>
  <c r="M30" i="24"/>
  <c r="M36" i="24"/>
  <c r="K36" i="24"/>
  <c r="L36" i="24"/>
  <c r="K30" i="25"/>
  <c r="M30" i="25"/>
  <c r="K26" i="25"/>
  <c r="M26" i="25"/>
  <c r="M37" i="25"/>
  <c r="K37" i="25"/>
  <c r="L37" i="25"/>
  <c r="K24" i="24"/>
  <c r="M24" i="24"/>
  <c r="K26" i="24"/>
  <c r="M26" i="24"/>
  <c r="K29" i="24"/>
  <c r="M29" i="24"/>
  <c r="K32" i="24"/>
  <c r="M32" i="24"/>
  <c r="K34" i="24"/>
  <c r="M34" i="24"/>
  <c r="M37" i="24"/>
  <c r="L37" i="24"/>
  <c r="K37" i="24"/>
  <c r="K20" i="25"/>
  <c r="M20" i="25"/>
  <c r="L20" i="25"/>
  <c r="M28" i="25"/>
  <c r="K28" i="25"/>
  <c r="K33" i="25"/>
  <c r="M33" i="25"/>
  <c r="L38" i="25"/>
  <c r="M38" i="25"/>
  <c r="K38" i="25"/>
  <c r="K22" i="24"/>
  <c r="M22" i="24"/>
  <c r="K28" i="24"/>
  <c r="M28" i="24"/>
  <c r="K33" i="24"/>
  <c r="M33" i="24"/>
  <c r="L38" i="24"/>
  <c r="M38" i="24"/>
  <c r="K38" i="24"/>
  <c r="M25" i="25"/>
  <c r="K25" i="25"/>
  <c r="K36" i="25"/>
  <c r="M36" i="25"/>
  <c r="L36" i="25"/>
  <c r="T30" i="25"/>
  <c r="M22" i="25"/>
  <c r="K22" i="25"/>
  <c r="M32" i="25"/>
  <c r="K32" i="25"/>
  <c r="M21" i="24"/>
  <c r="K21" i="24"/>
  <c r="K20" i="24"/>
  <c r="M20" i="24"/>
  <c r="L20" i="24"/>
  <c r="M21" i="25"/>
  <c r="K21" i="25"/>
  <c r="M24" i="25"/>
  <c r="K24" i="25"/>
  <c r="AD29" i="25"/>
  <c r="M29" i="25"/>
  <c r="K29" i="25"/>
  <c r="K34" i="25"/>
  <c r="M34" i="25"/>
  <c r="AC25" i="24"/>
  <c r="P34" i="26"/>
  <c r="P30" i="26"/>
  <c r="P33" i="26"/>
  <c r="P25" i="26"/>
  <c r="P28" i="26"/>
  <c r="P37" i="26"/>
  <c r="P36" i="26"/>
  <c r="P21" i="26"/>
  <c r="AC26" i="24"/>
  <c r="J35" i="4"/>
  <c r="K35" i="4"/>
  <c r="J29" i="4"/>
  <c r="K29" i="4"/>
  <c r="U29" i="24"/>
  <c r="P26" i="26"/>
  <c r="P38" i="26"/>
  <c r="AC32" i="24"/>
  <c r="AC21" i="24"/>
  <c r="AC34" i="24"/>
  <c r="T25" i="24"/>
  <c r="AD36" i="24"/>
  <c r="S24" i="25"/>
  <c r="S34" i="24"/>
  <c r="S32" i="24"/>
  <c r="P32" i="26"/>
  <c r="S21" i="24"/>
  <c r="S26" i="24"/>
  <c r="S28" i="24"/>
  <c r="T33" i="24"/>
  <c r="U24" i="24"/>
  <c r="S22" i="24"/>
  <c r="S24" i="24"/>
  <c r="S29" i="24"/>
  <c r="S37" i="24"/>
  <c r="AC38" i="25"/>
  <c r="AC21" i="25"/>
  <c r="S34" i="25"/>
  <c r="V34" i="25"/>
  <c r="V29" i="25"/>
  <c r="V24" i="25"/>
  <c r="V36" i="25"/>
  <c r="V30" i="25"/>
  <c r="V25" i="25"/>
  <c r="V37" i="25"/>
  <c r="V32" i="25"/>
  <c r="V26" i="25"/>
  <c r="V21" i="25"/>
  <c r="U38" i="25"/>
  <c r="U33" i="25"/>
  <c r="U28" i="25"/>
  <c r="U22" i="25"/>
  <c r="U34" i="25"/>
  <c r="U29" i="25"/>
  <c r="U24" i="25"/>
  <c r="U36" i="25"/>
  <c r="U30" i="25"/>
  <c r="U25" i="25"/>
  <c r="AD36" i="25"/>
  <c r="AD30" i="25"/>
  <c r="AD25" i="25"/>
  <c r="AD37" i="25"/>
  <c r="AD32" i="25"/>
  <c r="AD26" i="25"/>
  <c r="AD38" i="25"/>
  <c r="AD33" i="25"/>
  <c r="AD28" i="25"/>
  <c r="T20" i="25"/>
  <c r="AE20" i="25"/>
  <c r="U21" i="25"/>
  <c r="AF21" i="25"/>
  <c r="V22" i="25"/>
  <c r="AG22" i="25"/>
  <c r="T25" i="25"/>
  <c r="U26" i="25"/>
  <c r="V28" i="25"/>
  <c r="AG33" i="25"/>
  <c r="T36" i="25"/>
  <c r="U37" i="25"/>
  <c r="V38" i="25"/>
  <c r="AE37" i="25"/>
  <c r="AE32" i="25"/>
  <c r="AE26" i="25"/>
  <c r="AE38" i="25"/>
  <c r="AE33" i="25"/>
  <c r="AE28" i="25"/>
  <c r="AE22" i="25"/>
  <c r="AE34" i="25"/>
  <c r="AE29" i="25"/>
  <c r="AE24" i="25"/>
  <c r="W36" i="25"/>
  <c r="W30" i="25"/>
  <c r="W25" i="25"/>
  <c r="W37" i="25"/>
  <c r="W32" i="25"/>
  <c r="W26" i="25"/>
  <c r="W38" i="25"/>
  <c r="W33" i="25"/>
  <c r="W28" i="25"/>
  <c r="AF38" i="25"/>
  <c r="AF33" i="25"/>
  <c r="AF28" i="25"/>
  <c r="AF22" i="25"/>
  <c r="AF34" i="25"/>
  <c r="AF29" i="25"/>
  <c r="AF24" i="25"/>
  <c r="AF36" i="25"/>
  <c r="AF30" i="25"/>
  <c r="AF25" i="25"/>
  <c r="V20" i="25"/>
  <c r="AC34" i="25"/>
  <c r="AC29" i="25"/>
  <c r="AC24" i="25"/>
  <c r="AC36" i="25"/>
  <c r="AC30" i="25"/>
  <c r="AC25" i="25"/>
  <c r="AC37" i="25"/>
  <c r="AC32" i="25"/>
  <c r="AC26" i="25"/>
  <c r="AG20" i="25"/>
  <c r="S21" i="25"/>
  <c r="W21" i="25"/>
  <c r="AD21" i="25"/>
  <c r="AC22" i="25"/>
  <c r="W24" i="25"/>
  <c r="AE25" i="25"/>
  <c r="AF26" i="25"/>
  <c r="AG28" i="25"/>
  <c r="U32" i="25"/>
  <c r="V33" i="25"/>
  <c r="W34" i="25"/>
  <c r="AE36" i="25"/>
  <c r="AF37" i="25"/>
  <c r="T37" i="25"/>
  <c r="T32" i="25"/>
  <c r="T26" i="25"/>
  <c r="T33" i="25"/>
  <c r="T28" i="25"/>
  <c r="T34" i="25"/>
  <c r="T29" i="25"/>
  <c r="T24" i="25"/>
  <c r="AG34" i="25"/>
  <c r="AG29" i="25"/>
  <c r="AG24" i="25"/>
  <c r="AG36" i="25"/>
  <c r="AG30" i="25"/>
  <c r="AG25" i="25"/>
  <c r="AG37" i="25"/>
  <c r="AG32" i="25"/>
  <c r="AG26" i="25"/>
  <c r="S36" i="25"/>
  <c r="S30" i="25"/>
  <c r="S25" i="25"/>
  <c r="S37" i="25"/>
  <c r="S32" i="25"/>
  <c r="S26" i="25"/>
  <c r="S38" i="25"/>
  <c r="S33" i="25"/>
  <c r="S28" i="25"/>
  <c r="W20" i="25"/>
  <c r="AD20" i="25"/>
  <c r="T21" i="25"/>
  <c r="AE21" i="25"/>
  <c r="T22" i="25"/>
  <c r="AD22" i="25"/>
  <c r="AD24" i="25"/>
  <c r="S29" i="25"/>
  <c r="AC33" i="25"/>
  <c r="AD34" i="25"/>
  <c r="AC20" i="24"/>
  <c r="AD37" i="24"/>
  <c r="AD32" i="24"/>
  <c r="AD26" i="24"/>
  <c r="AD34" i="24"/>
  <c r="AD29" i="24"/>
  <c r="AD24" i="24"/>
  <c r="AD38" i="24"/>
  <c r="AD30" i="24"/>
  <c r="AD28" i="24"/>
  <c r="AD22" i="24"/>
  <c r="AD20" i="24"/>
  <c r="T30" i="24"/>
  <c r="U36" i="24"/>
  <c r="U30" i="24"/>
  <c r="U38" i="24"/>
  <c r="U33" i="24"/>
  <c r="U28" i="24"/>
  <c r="U22" i="24"/>
  <c r="U37" i="24"/>
  <c r="U34" i="24"/>
  <c r="U26" i="24"/>
  <c r="U20" i="24"/>
  <c r="T20" i="24"/>
  <c r="U21" i="24"/>
  <c r="AD25" i="24"/>
  <c r="U32" i="24"/>
  <c r="AD33" i="24"/>
  <c r="AD21" i="24"/>
  <c r="U25" i="24"/>
  <c r="T34" i="24"/>
  <c r="T29" i="24"/>
  <c r="T37" i="24"/>
  <c r="T32" i="24"/>
  <c r="T26" i="24"/>
  <c r="T21" i="24"/>
  <c r="T38" i="24"/>
  <c r="T28" i="24"/>
  <c r="T24" i="24"/>
  <c r="T36" i="24"/>
  <c r="T22" i="24"/>
  <c r="AC36" i="24"/>
  <c r="AC30" i="24"/>
  <c r="AC38" i="24"/>
  <c r="AC33" i="24"/>
  <c r="AC28" i="24"/>
  <c r="AC22" i="24"/>
  <c r="AC24" i="24"/>
  <c r="AC29" i="24"/>
  <c r="AC37" i="24"/>
  <c r="S25" i="24"/>
  <c r="S30" i="24"/>
  <c r="S36" i="24"/>
  <c r="S33" i="24"/>
  <c r="AF21" i="24" l="1"/>
  <c r="H21" i="24" s="1"/>
  <c r="O21" i="24" s="1"/>
  <c r="L29" i="4"/>
  <c r="L35" i="4"/>
  <c r="AF25" i="24"/>
  <c r="H25" i="24" s="1"/>
  <c r="AF24" i="24"/>
  <c r="H24" i="24" s="1"/>
  <c r="AF26" i="24"/>
  <c r="H26" i="24" s="1"/>
  <c r="W29" i="24"/>
  <c r="G29" i="24" s="1"/>
  <c r="AF36" i="24"/>
  <c r="AF20" i="24"/>
  <c r="H20" i="24" s="1"/>
  <c r="W21" i="24"/>
  <c r="AF32" i="24"/>
  <c r="H32" i="24" s="1"/>
  <c r="AH38" i="25"/>
  <c r="H38" i="25" s="1"/>
  <c r="X34" i="25"/>
  <c r="AF34" i="24"/>
  <c r="W36" i="24"/>
  <c r="G36" i="24" s="1"/>
  <c r="W25" i="24"/>
  <c r="W24" i="24"/>
  <c r="W34" i="24"/>
  <c r="G34" i="24" s="1"/>
  <c r="W22" i="24"/>
  <c r="G22" i="24" s="1"/>
  <c r="X20" i="25"/>
  <c r="AF38" i="24"/>
  <c r="AH20" i="25"/>
  <c r="X33" i="25"/>
  <c r="G33" i="25" s="1"/>
  <c r="X37" i="25"/>
  <c r="AH28" i="25"/>
  <c r="AH29" i="25"/>
  <c r="X22" i="25"/>
  <c r="X24" i="25"/>
  <c r="G24" i="25" s="1"/>
  <c r="AH32" i="25"/>
  <c r="AH36" i="25"/>
  <c r="AH25" i="25"/>
  <c r="AH21" i="25"/>
  <c r="X26" i="25"/>
  <c r="X30" i="25"/>
  <c r="X29" i="25"/>
  <c r="X38" i="25"/>
  <c r="X25" i="25"/>
  <c r="AH22" i="25"/>
  <c r="AH26" i="25"/>
  <c r="AH30" i="25"/>
  <c r="AH34" i="25"/>
  <c r="AH33" i="25"/>
  <c r="X28" i="25"/>
  <c r="X32" i="25"/>
  <c r="X36" i="25"/>
  <c r="X21" i="25"/>
  <c r="AH37" i="25"/>
  <c r="AH24" i="25"/>
  <c r="W33" i="24"/>
  <c r="AF22" i="24"/>
  <c r="H22" i="24" s="1"/>
  <c r="AF30" i="24"/>
  <c r="W20" i="24"/>
  <c r="AF29" i="24"/>
  <c r="AF37" i="24"/>
  <c r="AF28" i="24"/>
  <c r="W32" i="24"/>
  <c r="W26" i="24"/>
  <c r="W38" i="24"/>
  <c r="W37" i="24"/>
  <c r="AF33" i="24"/>
  <c r="W30" i="24"/>
  <c r="W28" i="24"/>
  <c r="AJ25" i="24" l="1"/>
  <c r="AI24" i="24"/>
  <c r="O26" i="24"/>
  <c r="O22" i="24"/>
  <c r="G26" i="25"/>
  <c r="N26" i="25" s="1"/>
  <c r="H38" i="24"/>
  <c r="O38" i="24" s="1"/>
  <c r="AI21" i="24"/>
  <c r="AJ20" i="24"/>
  <c r="G34" i="25"/>
  <c r="N34" i="25" s="1"/>
  <c r="H28" i="25"/>
  <c r="G24" i="24"/>
  <c r="I24" i="24" s="1"/>
  <c r="J24" i="24" s="1"/>
  <c r="AJ24" i="24"/>
  <c r="O24" i="24"/>
  <c r="AJ36" i="24"/>
  <c r="H36" i="24"/>
  <c r="O36" i="24" s="1"/>
  <c r="AI36" i="24"/>
  <c r="AK38" i="25"/>
  <c r="G21" i="24"/>
  <c r="N21" i="24" s="1"/>
  <c r="O20" i="24"/>
  <c r="AK28" i="25"/>
  <c r="AJ34" i="24"/>
  <c r="AK29" i="25"/>
  <c r="AM29" i="25"/>
  <c r="AJ21" i="24"/>
  <c r="AI25" i="24"/>
  <c r="H29" i="25"/>
  <c r="AI37" i="24"/>
  <c r="H20" i="25"/>
  <c r="O20" i="25" s="1"/>
  <c r="G25" i="24"/>
  <c r="I25" i="24" s="1"/>
  <c r="J25" i="24" s="1"/>
  <c r="AJ32" i="24"/>
  <c r="H34" i="24"/>
  <c r="H25" i="25"/>
  <c r="AI34" i="24"/>
  <c r="H30" i="24"/>
  <c r="G30" i="25"/>
  <c r="N30" i="25" s="1"/>
  <c r="AM20" i="25"/>
  <c r="O25" i="24"/>
  <c r="N34" i="24"/>
  <c r="AI30" i="24"/>
  <c r="H21" i="25"/>
  <c r="AJ33" i="24"/>
  <c r="H33" i="24"/>
  <c r="O33" i="24" s="1"/>
  <c r="AK20" i="25"/>
  <c r="H28" i="24"/>
  <c r="G20" i="25"/>
  <c r="H36" i="25"/>
  <c r="H29" i="24"/>
  <c r="AJ29" i="24"/>
  <c r="H37" i="24"/>
  <c r="O37" i="24" s="1"/>
  <c r="AJ22" i="24"/>
  <c r="AM25" i="25"/>
  <c r="AI32" i="24"/>
  <c r="G20" i="24"/>
  <c r="I20" i="24" s="1"/>
  <c r="J20" i="24" s="1"/>
  <c r="AI20" i="24"/>
  <c r="O32" i="24"/>
  <c r="G32" i="24"/>
  <c r="I32" i="24" s="1"/>
  <c r="J32" i="24" s="1"/>
  <c r="G37" i="25"/>
  <c r="N37" i="25" s="1"/>
  <c r="N33" i="25"/>
  <c r="N24" i="25"/>
  <c r="G22" i="25"/>
  <c r="N22" i="25" s="1"/>
  <c r="AM32" i="25"/>
  <c r="AM28" i="25"/>
  <c r="AK21" i="25"/>
  <c r="H32" i="25"/>
  <c r="AK33" i="25"/>
  <c r="H33" i="25"/>
  <c r="AM33" i="25"/>
  <c r="G25" i="25"/>
  <c r="G38" i="25"/>
  <c r="I38" i="25" s="1"/>
  <c r="J38" i="25" s="1"/>
  <c r="O38" i="25"/>
  <c r="AM24" i="25"/>
  <c r="H24" i="25"/>
  <c r="AK24" i="25"/>
  <c r="AK25" i="25"/>
  <c r="AM26" i="25"/>
  <c r="H26" i="25"/>
  <c r="O26" i="25" s="1"/>
  <c r="AK26" i="25"/>
  <c r="G29" i="25"/>
  <c r="G21" i="25"/>
  <c r="AM34" i="25"/>
  <c r="H34" i="25"/>
  <c r="O34" i="25" s="1"/>
  <c r="AK34" i="25"/>
  <c r="G36" i="25"/>
  <c r="AK36" i="25"/>
  <c r="AM30" i="25"/>
  <c r="H30" i="25"/>
  <c r="O30" i="25" s="1"/>
  <c r="AK30" i="25"/>
  <c r="G32" i="25"/>
  <c r="AM37" i="25"/>
  <c r="H37" i="25"/>
  <c r="O37" i="25" s="1"/>
  <c r="AK37" i="25"/>
  <c r="G28" i="25"/>
  <c r="AM36" i="25"/>
  <c r="AK32" i="25"/>
  <c r="AM38" i="25"/>
  <c r="AK22" i="25"/>
  <c r="H22" i="25"/>
  <c r="O22" i="25" s="1"/>
  <c r="AM22" i="25"/>
  <c r="AM21" i="25"/>
  <c r="AI22" i="24"/>
  <c r="AI29" i="24"/>
  <c r="G33" i="24"/>
  <c r="N33" i="24" s="1"/>
  <c r="AI33" i="24"/>
  <c r="AJ37" i="24"/>
  <c r="AI28" i="24"/>
  <c r="G37" i="24"/>
  <c r="N37" i="24" s="1"/>
  <c r="AJ38" i="24"/>
  <c r="AI38" i="24"/>
  <c r="AI26" i="24"/>
  <c r="G38" i="24"/>
  <c r="N38" i="24" s="1"/>
  <c r="G26" i="24"/>
  <c r="N26" i="24" s="1"/>
  <c r="AJ26" i="24"/>
  <c r="G28" i="24"/>
  <c r="G30" i="24"/>
  <c r="N22" i="24"/>
  <c r="N36" i="24"/>
  <c r="AJ28" i="24"/>
  <c r="AJ30" i="24"/>
  <c r="I22" i="24"/>
  <c r="J22" i="24" s="1"/>
  <c r="N29" i="24"/>
  <c r="O24" i="25" l="1"/>
  <c r="P24" i="25" s="1"/>
  <c r="O21" i="25"/>
  <c r="O33" i="25"/>
  <c r="P33" i="25" s="1"/>
  <c r="O29" i="24"/>
  <c r="O25" i="25"/>
  <c r="O36" i="25"/>
  <c r="O29" i="25"/>
  <c r="O28" i="25"/>
  <c r="O32" i="25"/>
  <c r="O30" i="24"/>
  <c r="O34" i="24"/>
  <c r="P34" i="24" s="1"/>
  <c r="O28" i="24"/>
  <c r="N25" i="24"/>
  <c r="P25" i="24" s="1"/>
  <c r="I28" i="25"/>
  <c r="J28" i="25" s="1"/>
  <c r="N24" i="24"/>
  <c r="P24" i="24" s="1"/>
  <c r="I21" i="24"/>
  <c r="J21" i="24" s="1"/>
  <c r="I20" i="25"/>
  <c r="J20" i="25" s="1"/>
  <c r="I36" i="24"/>
  <c r="J36" i="24" s="1"/>
  <c r="I29" i="25"/>
  <c r="J29" i="25" s="1"/>
  <c r="I34" i="24"/>
  <c r="J34" i="24" s="1"/>
  <c r="N20" i="24"/>
  <c r="P20" i="24" s="1"/>
  <c r="I21" i="25"/>
  <c r="J21" i="25" s="1"/>
  <c r="I30" i="24"/>
  <c r="J30" i="24" s="1"/>
  <c r="I25" i="25"/>
  <c r="J25" i="25" s="1"/>
  <c r="I38" i="24"/>
  <c r="J38" i="24" s="1"/>
  <c r="N20" i="25"/>
  <c r="P20" i="25" s="1"/>
  <c r="P26" i="24"/>
  <c r="P29" i="24"/>
  <c r="P33" i="24"/>
  <c r="I29" i="24"/>
  <c r="J29" i="24" s="1"/>
  <c r="N36" i="25"/>
  <c r="I37" i="24"/>
  <c r="J37" i="24" s="1"/>
  <c r="P22" i="24"/>
  <c r="I33" i="24"/>
  <c r="J33" i="24" s="1"/>
  <c r="P37" i="24"/>
  <c r="N32" i="25"/>
  <c r="N32" i="24"/>
  <c r="P32" i="24" s="1"/>
  <c r="N21" i="25"/>
  <c r="I32" i="25"/>
  <c r="J32" i="25" s="1"/>
  <c r="P34" i="25"/>
  <c r="I34" i="25"/>
  <c r="J34" i="25" s="1"/>
  <c r="P22" i="25"/>
  <c r="I22" i="25"/>
  <c r="J22" i="25" s="1"/>
  <c r="I26" i="25"/>
  <c r="J26" i="25" s="1"/>
  <c r="P26" i="25"/>
  <c r="I24" i="25"/>
  <c r="J24" i="25" s="1"/>
  <c r="I37" i="25"/>
  <c r="J37" i="25" s="1"/>
  <c r="P37" i="25"/>
  <c r="N28" i="25"/>
  <c r="I30" i="25"/>
  <c r="J30" i="25" s="1"/>
  <c r="P30" i="25"/>
  <c r="N38" i="25"/>
  <c r="P38" i="25" s="1"/>
  <c r="I33" i="25"/>
  <c r="J33" i="25" s="1"/>
  <c r="N29" i="25"/>
  <c r="I36" i="25"/>
  <c r="J36" i="25" s="1"/>
  <c r="N25" i="25"/>
  <c r="P38" i="24"/>
  <c r="N28" i="24"/>
  <c r="I26" i="24"/>
  <c r="J26" i="24" s="1"/>
  <c r="P36" i="24"/>
  <c r="I28" i="24"/>
  <c r="J28" i="24" s="1"/>
  <c r="P21" i="24"/>
  <c r="N30" i="24"/>
  <c r="P30" i="24" l="1"/>
  <c r="P32" i="25"/>
  <c r="P28" i="25"/>
  <c r="P25" i="25"/>
  <c r="P29" i="25"/>
  <c r="P36" i="25"/>
  <c r="P21" i="25"/>
  <c r="P28" i="24"/>
  <c r="E38" i="15"/>
  <c r="E37" i="15"/>
  <c r="E34" i="15"/>
  <c r="L34" i="15" s="1"/>
  <c r="L33" i="15"/>
  <c r="E32" i="15"/>
  <c r="L32" i="15" s="1"/>
  <c r="E30" i="15"/>
  <c r="L30" i="15" s="1"/>
  <c r="E29" i="15"/>
  <c r="L29" i="15" s="1"/>
  <c r="E28" i="15"/>
  <c r="L28" i="15" s="1"/>
  <c r="E26" i="15"/>
  <c r="L26" i="15" s="1"/>
  <c r="E25" i="15"/>
  <c r="L25" i="15" s="1"/>
  <c r="E24" i="15"/>
  <c r="L24" i="15" s="1"/>
  <c r="E22" i="15"/>
  <c r="L22" i="15" s="1"/>
  <c r="E21" i="15"/>
  <c r="L21" i="15" s="1"/>
  <c r="E20" i="15"/>
  <c r="M21" i="15" l="1"/>
  <c r="K21" i="15"/>
  <c r="M26" i="15"/>
  <c r="K26" i="15"/>
  <c r="M32" i="15"/>
  <c r="K32" i="15"/>
  <c r="M37" i="15"/>
  <c r="L37" i="15"/>
  <c r="K37" i="15"/>
  <c r="M22" i="15"/>
  <c r="K22" i="15"/>
  <c r="K28" i="15"/>
  <c r="M28" i="15"/>
  <c r="K33" i="15"/>
  <c r="M33" i="15"/>
  <c r="L38" i="15"/>
  <c r="M38" i="15"/>
  <c r="K38" i="15"/>
  <c r="M24" i="15"/>
  <c r="K24" i="15"/>
  <c r="K29" i="15"/>
  <c r="M29" i="15"/>
  <c r="M34" i="15"/>
  <c r="K34" i="15"/>
  <c r="L20" i="15"/>
  <c r="M20" i="15"/>
  <c r="K20" i="15"/>
  <c r="M25" i="15"/>
  <c r="K25" i="15"/>
  <c r="M30" i="15"/>
  <c r="K30" i="15"/>
  <c r="K36" i="15"/>
  <c r="M36" i="15"/>
  <c r="L36" i="15"/>
  <c r="AD18" i="15"/>
  <c r="AD17" i="15"/>
  <c r="S20" i="15"/>
  <c r="T17" i="15"/>
  <c r="AC17" i="15"/>
  <c r="AD37" i="15" l="1"/>
  <c r="AD32" i="15"/>
  <c r="AD26" i="15"/>
  <c r="AD21" i="15"/>
  <c r="AD28" i="15"/>
  <c r="AD36" i="15"/>
  <c r="AD30" i="15"/>
  <c r="AD25" i="15"/>
  <c r="AD20" i="15"/>
  <c r="AD33" i="15"/>
  <c r="AD34" i="15"/>
  <c r="AD29" i="15"/>
  <c r="AD24" i="15"/>
  <c r="AD38" i="15"/>
  <c r="AD22" i="15"/>
  <c r="U38" i="15" l="1"/>
  <c r="U37" i="15"/>
  <c r="U36" i="15"/>
  <c r="U34" i="15"/>
  <c r="U33" i="15"/>
  <c r="U32" i="15"/>
  <c r="U30" i="15"/>
  <c r="U29" i="15"/>
  <c r="U28" i="15"/>
  <c r="U26" i="15"/>
  <c r="U25" i="15"/>
  <c r="U24" i="15"/>
  <c r="U22" i="15"/>
  <c r="U21" i="15"/>
  <c r="U20" i="15"/>
  <c r="S38" i="15"/>
  <c r="S37" i="15"/>
  <c r="S36" i="15"/>
  <c r="S34" i="15"/>
  <c r="S33" i="15"/>
  <c r="S32" i="15"/>
  <c r="S30" i="15"/>
  <c r="S29" i="15"/>
  <c r="S28" i="15"/>
  <c r="S26" i="15"/>
  <c r="S25" i="15"/>
  <c r="S24" i="15"/>
  <c r="S22" i="15"/>
  <c r="S21" i="15"/>
  <c r="AB38" i="15"/>
  <c r="AB37" i="15"/>
  <c r="AB36" i="15"/>
  <c r="AB34" i="15"/>
  <c r="AB33" i="15"/>
  <c r="AB32" i="15"/>
  <c r="AB30" i="15"/>
  <c r="AB29" i="15"/>
  <c r="AB28" i="15"/>
  <c r="AB26" i="15"/>
  <c r="AB25" i="15"/>
  <c r="AB24" i="15"/>
  <c r="AB22" i="15"/>
  <c r="AB21" i="15"/>
  <c r="AB20" i="15"/>
  <c r="AC36" i="15" l="1"/>
  <c r="AF36" i="15" s="1"/>
  <c r="AC30" i="15"/>
  <c r="AF30" i="15" s="1"/>
  <c r="AC25" i="15"/>
  <c r="AF25" i="15" s="1"/>
  <c r="AC20" i="15"/>
  <c r="AC34" i="15"/>
  <c r="AF34" i="15" s="1"/>
  <c r="AC29" i="15"/>
  <c r="AF29" i="15" s="1"/>
  <c r="AC24" i="15"/>
  <c r="AF24" i="15" s="1"/>
  <c r="AC38" i="15"/>
  <c r="AF38" i="15" s="1"/>
  <c r="AC33" i="15"/>
  <c r="AF33" i="15" s="1"/>
  <c r="AC28" i="15"/>
  <c r="AF28" i="15" s="1"/>
  <c r="AC22" i="15"/>
  <c r="AF22" i="15" s="1"/>
  <c r="AC37" i="15"/>
  <c r="AF37" i="15" s="1"/>
  <c r="AC32" i="15"/>
  <c r="AF32" i="15" s="1"/>
  <c r="AC26" i="15"/>
  <c r="AF26" i="15" s="1"/>
  <c r="AC21" i="15"/>
  <c r="AF21" i="15" s="1"/>
  <c r="T38" i="15"/>
  <c r="W38" i="15" s="1"/>
  <c r="T28" i="15"/>
  <c r="W28" i="15" s="1"/>
  <c r="T25" i="15"/>
  <c r="W25" i="15" s="1"/>
  <c r="T20" i="15"/>
  <c r="W20" i="15" s="1"/>
  <c r="AF20" i="15"/>
  <c r="T29" i="15"/>
  <c r="W29" i="15" s="1"/>
  <c r="T22" i="15"/>
  <c r="W22" i="15" s="1"/>
  <c r="T37" i="15"/>
  <c r="W37" i="15" s="1"/>
  <c r="T21" i="15"/>
  <c r="W21" i="15" s="1"/>
  <c r="T24" i="15"/>
  <c r="W24" i="15" s="1"/>
  <c r="T34" i="15"/>
  <c r="W34" i="15" s="1"/>
  <c r="T30" i="15"/>
  <c r="W30" i="15" s="1"/>
  <c r="T26" i="15"/>
  <c r="W26" i="15" s="1"/>
  <c r="T36" i="15"/>
  <c r="W36" i="15" s="1"/>
  <c r="T33" i="15"/>
  <c r="W33" i="15" s="1"/>
  <c r="T32" i="15"/>
  <c r="W32" i="15" s="1"/>
  <c r="H33" i="15" l="1"/>
  <c r="O33" i="15" s="1"/>
  <c r="H21" i="15"/>
  <c r="H37" i="15"/>
  <c r="H28" i="15"/>
  <c r="H34" i="15"/>
  <c r="H25" i="15"/>
  <c r="H24" i="15"/>
  <c r="H38" i="15"/>
  <c r="H32" i="15"/>
  <c r="O32" i="15" s="1"/>
  <c r="H36" i="15"/>
  <c r="H29" i="15"/>
  <c r="H26" i="15"/>
  <c r="H20" i="15"/>
  <c r="H30" i="15"/>
  <c r="H22" i="15"/>
  <c r="G20" i="15"/>
  <c r="G30" i="15"/>
  <c r="G24" i="15"/>
  <c r="G29" i="15"/>
  <c r="G26" i="15"/>
  <c r="G33" i="15"/>
  <c r="G34" i="15"/>
  <c r="G38" i="15"/>
  <c r="G37" i="15"/>
  <c r="G25" i="15"/>
  <c r="G21" i="15"/>
  <c r="G28" i="15"/>
  <c r="G32" i="15"/>
  <c r="G36" i="15"/>
  <c r="G22" i="15"/>
  <c r="AI21" i="15"/>
  <c r="AJ29" i="15"/>
  <c r="AI32" i="15"/>
  <c r="AJ24" i="15"/>
  <c r="AJ37" i="15"/>
  <c r="AJ28" i="15"/>
  <c r="AJ26" i="15"/>
  <c r="AJ20" i="15"/>
  <c r="AI30" i="15"/>
  <c r="AJ22" i="15"/>
  <c r="AI25" i="15"/>
  <c r="AJ34" i="15"/>
  <c r="AI24" i="15"/>
  <c r="AJ36" i="15"/>
  <c r="AJ38" i="15"/>
  <c r="AI33" i="15"/>
  <c r="AJ33" i="15"/>
  <c r="AI20" i="15"/>
  <c r="AI36" i="15"/>
  <c r="AJ30" i="15"/>
  <c r="AI26" i="15"/>
  <c r="AI34" i="15"/>
  <c r="AI28" i="15"/>
  <c r="AJ25" i="15"/>
  <c r="AI22" i="15"/>
  <c r="AI38" i="15"/>
  <c r="O21" i="15" l="1"/>
  <c r="O24" i="15"/>
  <c r="I25" i="15"/>
  <c r="J25" i="15" s="1"/>
  <c r="O26" i="15"/>
  <c r="O22" i="15"/>
  <c r="O20" i="15"/>
  <c r="O38" i="15"/>
  <c r="O28" i="15"/>
  <c r="O37" i="15"/>
  <c r="O30" i="15"/>
  <c r="O36" i="15"/>
  <c r="O25" i="15"/>
  <c r="O29" i="15"/>
  <c r="O34" i="15"/>
  <c r="N30" i="15"/>
  <c r="N20" i="15"/>
  <c r="N24" i="15"/>
  <c r="I24" i="15"/>
  <c r="J24" i="15" s="1"/>
  <c r="I20" i="15"/>
  <c r="J20" i="15" s="1"/>
  <c r="I32" i="15"/>
  <c r="J32" i="15" s="1"/>
  <c r="N32" i="15"/>
  <c r="P32" i="15" s="1"/>
  <c r="I37" i="15"/>
  <c r="J37" i="15" s="1"/>
  <c r="N37" i="15"/>
  <c r="I26" i="15"/>
  <c r="J26" i="15" s="1"/>
  <c r="N26" i="15"/>
  <c r="I30" i="15"/>
  <c r="J30" i="15" s="1"/>
  <c r="I38" i="15"/>
  <c r="J38" i="15" s="1"/>
  <c r="N38" i="15"/>
  <c r="I29" i="15"/>
  <c r="J29" i="15" s="1"/>
  <c r="N29" i="15"/>
  <c r="I22" i="15"/>
  <c r="J22" i="15" s="1"/>
  <c r="N22" i="15"/>
  <c r="I28" i="15"/>
  <c r="J28" i="15" s="1"/>
  <c r="N28" i="15"/>
  <c r="N25" i="15"/>
  <c r="I34" i="15"/>
  <c r="J34" i="15" s="1"/>
  <c r="N34" i="15"/>
  <c r="I36" i="15"/>
  <c r="J36" i="15" s="1"/>
  <c r="N36" i="15"/>
  <c r="P36" i="15" s="1"/>
  <c r="I21" i="15"/>
  <c r="J21" i="15" s="1"/>
  <c r="N21" i="15"/>
  <c r="I33" i="15"/>
  <c r="J33" i="15" s="1"/>
  <c r="N33" i="15"/>
  <c r="P33" i="15" s="1"/>
  <c r="AJ21" i="15"/>
  <c r="AJ32" i="15"/>
  <c r="AI37" i="15"/>
  <c r="AI29" i="15"/>
  <c r="X21" i="27"/>
  <c r="P21" i="15" l="1"/>
  <c r="P26" i="15"/>
  <c r="P38" i="15"/>
  <c r="P25" i="15"/>
  <c r="P30" i="15"/>
  <c r="P34" i="15"/>
  <c r="P28" i="15"/>
  <c r="P22" i="15"/>
  <c r="P29" i="15"/>
  <c r="P37" i="15"/>
  <c r="P20" i="15"/>
  <c r="P24" i="15"/>
  <c r="D21" i="27"/>
  <c r="K21" i="27" s="1"/>
  <c r="L21" i="27" s="1"/>
  <c r="AC21" i="27"/>
  <c r="AE21" i="27"/>
  <c r="E21" i="27" l="1"/>
  <c r="F21" i="27" s="1"/>
</calcChain>
</file>

<file path=xl/sharedStrings.xml><?xml version="1.0" encoding="utf-8"?>
<sst xmlns="http://schemas.openxmlformats.org/spreadsheetml/2006/main" count="2195" uniqueCount="435">
  <si>
    <t>kWh</t>
  </si>
  <si>
    <t>Current</t>
  </si>
  <si>
    <t>Customer</t>
  </si>
  <si>
    <t>Charge</t>
  </si>
  <si>
    <t>Bill</t>
  </si>
  <si>
    <t>Total</t>
  </si>
  <si>
    <t>$</t>
  </si>
  <si>
    <t>Difference</t>
  </si>
  <si>
    <t>%</t>
  </si>
  <si>
    <t>Proposed</t>
  </si>
  <si>
    <t>Rate GS</t>
  </si>
  <si>
    <t>Customer Charge</t>
  </si>
  <si>
    <t>Energy Charge</t>
  </si>
  <si>
    <t>Demand Charge</t>
  </si>
  <si>
    <t>per kWh</t>
  </si>
  <si>
    <t>Rate PS</t>
  </si>
  <si>
    <t>Primary</t>
  </si>
  <si>
    <t>Secondary</t>
  </si>
  <si>
    <t xml:space="preserve">Demand </t>
  </si>
  <si>
    <t>per kW</t>
  </si>
  <si>
    <t>kW</t>
  </si>
  <si>
    <t>Rate RTS</t>
  </si>
  <si>
    <t>Base</t>
  </si>
  <si>
    <t>Load</t>
  </si>
  <si>
    <t>Factor</t>
  </si>
  <si>
    <t>Demand</t>
  </si>
  <si>
    <t>kVA</t>
  </si>
  <si>
    <t xml:space="preserve">Load </t>
  </si>
  <si>
    <t xml:space="preserve"> Demand </t>
  </si>
  <si>
    <t>Rate TOD</t>
  </si>
  <si>
    <t>Intermediate</t>
  </si>
  <si>
    <t xml:space="preserve">    Intermediate</t>
  </si>
  <si>
    <t xml:space="preserve">    Peak</t>
  </si>
  <si>
    <t xml:space="preserve">    Base</t>
  </si>
  <si>
    <t>Peak</t>
  </si>
  <si>
    <t>Single Phase</t>
  </si>
  <si>
    <t>Three Phase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</si>
  <si>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</si>
  <si>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</si>
  <si>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</si>
  <si>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</si>
  <si>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</si>
  <si>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</si>
  <si>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</si>
  <si>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</si>
  <si>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</si>
  <si>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</si>
  <si>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Dec</t>
  </si>
  <si>
    <t xml:space="preserve">               Hours </t>
  </si>
  <si>
    <t xml:space="preserve">             of Use</t>
  </si>
  <si>
    <t xml:space="preserve">   kWh</t>
  </si>
  <si>
    <t xml:space="preserve">      kWh</t>
  </si>
  <si>
    <t xml:space="preserve"> kW</t>
  </si>
  <si>
    <t>*</t>
  </si>
  <si>
    <t xml:space="preserve">    Summer</t>
  </si>
  <si>
    <t xml:space="preserve">    Winter</t>
  </si>
  <si>
    <t>Charge **</t>
  </si>
  <si>
    <t>Basic Service</t>
  </si>
  <si>
    <t>Energy</t>
  </si>
  <si>
    <t>Charge**</t>
  </si>
  <si>
    <t>per kVA</t>
  </si>
  <si>
    <t>CURRENT</t>
  </si>
  <si>
    <t>PROPOSED</t>
  </si>
  <si>
    <t>Service</t>
  </si>
  <si>
    <t>Basic</t>
  </si>
  <si>
    <t>Rate FLS</t>
  </si>
  <si>
    <t>Transmission</t>
  </si>
  <si>
    <t>per kW (Summer)</t>
  </si>
  <si>
    <t>per kW (Winter)</t>
  </si>
  <si>
    <t>($)</t>
  </si>
  <si>
    <t>(%)</t>
  </si>
  <si>
    <t>FAC</t>
  </si>
  <si>
    <t>ECR</t>
  </si>
  <si>
    <t>DSM</t>
  </si>
  <si>
    <t xml:space="preserve">Proposed </t>
  </si>
  <si>
    <t xml:space="preserve">Increase </t>
  </si>
  <si>
    <t>Base Fuel</t>
  </si>
  <si>
    <t>General Service - Single Phase</t>
  </si>
  <si>
    <t>General Service - Three Phase</t>
  </si>
  <si>
    <t>Rate RTOD-E</t>
  </si>
  <si>
    <t>Rate RTOD-D</t>
  </si>
  <si>
    <t xml:space="preserve">    Base / Off Peak</t>
  </si>
  <si>
    <t>On-Peak</t>
  </si>
  <si>
    <t>Off-Peak</t>
  </si>
  <si>
    <t>Interm</t>
  </si>
  <si>
    <t>LIGHTING</t>
  </si>
  <si>
    <t>Rate Per Light Per Month</t>
  </si>
  <si>
    <t>OVERHEAD SERVICE</t>
  </si>
  <si>
    <r>
      <t xml:space="preserve">  </t>
    </r>
    <r>
      <rPr>
        <b/>
        <i/>
        <sz val="11"/>
        <rFont val="Times New Roman"/>
        <family val="1"/>
      </rPr>
      <t>High Pressure Sodium</t>
    </r>
  </si>
  <si>
    <r>
      <t xml:space="preserve">  </t>
    </r>
    <r>
      <rPr>
        <b/>
        <i/>
        <sz val="11"/>
        <rFont val="Times New Roman"/>
        <family val="1"/>
      </rPr>
      <t>Metal Halide</t>
    </r>
  </si>
  <si>
    <t>UNDERGROUND SERVICE</t>
  </si>
  <si>
    <t xml:space="preserve">  High Pressure Sodium</t>
  </si>
  <si>
    <t xml:space="preserve">  Metal Halide</t>
  </si>
  <si>
    <r>
      <t xml:space="preserve">  </t>
    </r>
    <r>
      <rPr>
        <b/>
        <i/>
        <sz val="11"/>
        <rFont val="Times New Roman"/>
        <family val="1"/>
      </rPr>
      <t>Mercury Vapor</t>
    </r>
  </si>
  <si>
    <r>
      <t xml:space="preserve">  </t>
    </r>
    <r>
      <rPr>
        <b/>
        <i/>
        <sz val="11"/>
        <rFont val="Times New Roman"/>
        <family val="1"/>
      </rPr>
      <t>Incandescent</t>
    </r>
  </si>
  <si>
    <t>Restricted Lighting Service - Rate RLS</t>
  </si>
  <si>
    <t>Lighting Service - Rate LS</t>
  </si>
  <si>
    <t>Analysis assumes Peak Demand occurs in the Peak Period</t>
  </si>
  <si>
    <r>
      <t xml:space="preserve">  </t>
    </r>
    <r>
      <rPr>
        <b/>
        <i/>
        <sz val="10"/>
        <rFont val="Arial"/>
        <family val="2"/>
      </rPr>
      <t>High Pressure Sodium</t>
    </r>
  </si>
  <si>
    <r>
      <t xml:space="preserve">  </t>
    </r>
    <r>
      <rPr>
        <b/>
        <i/>
        <sz val="10"/>
        <rFont val="Arial"/>
        <family val="2"/>
      </rPr>
      <t>Metal Halide</t>
    </r>
  </si>
  <si>
    <r>
      <t xml:space="preserve">  </t>
    </r>
    <r>
      <rPr>
        <b/>
        <i/>
        <sz val="10"/>
        <rFont val="Arial"/>
        <family val="2"/>
      </rPr>
      <t>Mercury Vapor</t>
    </r>
  </si>
  <si>
    <r>
      <t xml:space="preserve">  </t>
    </r>
    <r>
      <rPr>
        <b/>
        <i/>
        <sz val="10"/>
        <rFont val="Arial"/>
        <family val="2"/>
      </rPr>
      <t>Incandescent</t>
    </r>
  </si>
  <si>
    <t>Hours of Use</t>
  </si>
  <si>
    <t>All inputs linked to INPUT tab</t>
  </si>
  <si>
    <t>Residential (Rate RS) / Volunteer Fire Dept (Rate VFD)</t>
  </si>
  <si>
    <t>Rate LE</t>
  </si>
  <si>
    <t>Rate TE</t>
  </si>
  <si>
    <t>Traffic Energy Service - Rate TE</t>
  </si>
  <si>
    <t>Lighting Energy Service - Rate LE</t>
  </si>
  <si>
    <t>Rate CTAC</t>
  </si>
  <si>
    <t xml:space="preserve">Pole </t>
  </si>
  <si>
    <t>Attachments</t>
  </si>
  <si>
    <t>per attach</t>
  </si>
  <si>
    <t>Rate RS/VFD</t>
  </si>
  <si>
    <t>PS Secondary</t>
  </si>
  <si>
    <t>PS Primary</t>
  </si>
  <si>
    <t>TOD Secondary</t>
  </si>
  <si>
    <t>RTS</t>
  </si>
  <si>
    <t>FLS</t>
  </si>
  <si>
    <t>DSM Billings</t>
  </si>
  <si>
    <t>ECR Billings</t>
  </si>
  <si>
    <t>Revenue As Billed</t>
  </si>
  <si>
    <t>DSM / kWh</t>
  </si>
  <si>
    <t>FAC / kWh</t>
  </si>
  <si>
    <t>ECR / kWh</t>
  </si>
  <si>
    <t>TOTAL</t>
  </si>
  <si>
    <t>CSR</t>
  </si>
  <si>
    <t>Minimum</t>
  </si>
  <si>
    <t>Maximum</t>
  </si>
  <si>
    <t>Variance</t>
  </si>
  <si>
    <t>Billing Factors</t>
  </si>
  <si>
    <t>DSM does not apply to Industrial Customers</t>
  </si>
  <si>
    <t>Assumes peak demand at 50% of base based on actual FLS data</t>
  </si>
  <si>
    <t>ODL (LS/RLS)</t>
  </si>
  <si>
    <t>Source: 12MonLights tab</t>
  </si>
  <si>
    <t>Assumes</t>
  </si>
  <si>
    <r>
      <t xml:space="preserve"> </t>
    </r>
    <r>
      <rPr>
        <sz val="10"/>
        <rFont val="Arial"/>
        <family val="2"/>
      </rPr>
      <t>452 Cobra Head, 16000 Lumen Fixture Only</t>
    </r>
  </si>
  <si>
    <r>
      <t xml:space="preserve"> </t>
    </r>
    <r>
      <rPr>
        <sz val="10"/>
        <rFont val="Arial"/>
        <family val="2"/>
      </rPr>
      <t>453 Cobra Head, 28500 Lumen Fixture Only</t>
    </r>
  </si>
  <si>
    <t xml:space="preserve"> 454 Cobra Head, 50000 Lumen Fixture Only</t>
  </si>
  <si>
    <t xml:space="preserve"> 455 Directional, 16000 Lumen  Fixture Only</t>
  </si>
  <si>
    <t xml:space="preserve"> 456 Directional, 50000 Lumen Fixture Only</t>
  </si>
  <si>
    <t xml:space="preserve"> 457 Open Bottom, 9500 Lumen Fixture Only</t>
  </si>
  <si>
    <t>470 Directional, 12000 Lumen Fixture Only</t>
  </si>
  <si>
    <t>473 Directional, 32000 Lumen Fixture Only</t>
  </si>
  <si>
    <t>476 Directional, 107800 Lumen Fixture Only</t>
  </si>
  <si>
    <t/>
  </si>
  <si>
    <t>412 Colonial, 4Sided, 5800 Lumen Smooth Pole</t>
  </si>
  <si>
    <t>413 Colonial, 4Sided, 9500 Lumen Smooth Pole</t>
  </si>
  <si>
    <t>444 Colonial, 4Sided, 16000 Lumen Smooth Pole</t>
  </si>
  <si>
    <t>415 Acorn, 5800 Lumen Smooth Pole</t>
  </si>
  <si>
    <t>416 Acorn, 9500 Lumen Smooth Pole</t>
  </si>
  <si>
    <t>445 Acorn, 16,000 Lumen Smooth Pole</t>
  </si>
  <si>
    <t>427 London, 5800 Lumen Fluted Pole</t>
  </si>
  <si>
    <t>429 London, 9500 Lumen Fluted Pole</t>
  </si>
  <si>
    <t>431 Victorian, 5800 Lumen Fluted Pole</t>
  </si>
  <si>
    <t>433 Victorian, 9500 Lumen Fluted Pole</t>
  </si>
  <si>
    <t>400 Dark Sky, 4000 Lumen</t>
  </si>
  <si>
    <t>401 Dark Sky, 9500 Lumen</t>
  </si>
  <si>
    <t>423 Cobra Head, 16000 Lumen Smooth Pole</t>
  </si>
  <si>
    <t>424 Cobra Head, 28500 Lumen Smooth Pole</t>
  </si>
  <si>
    <t>425 Cobra Head, 50000 Lumen Smooth Pole</t>
  </si>
  <si>
    <t xml:space="preserve">439 Contemporary, 16000 Lumen Fixture Only </t>
  </si>
  <si>
    <t xml:space="preserve">420 Contemporary, 16000 Lumen Fixture &amp; Pole </t>
  </si>
  <si>
    <t xml:space="preserve">440 Contemporary, 28500 Lumen Fixture Only </t>
  </si>
  <si>
    <t>421 Contemporary, 28500 Lumen Fixture &amp; Pole</t>
  </si>
  <si>
    <t xml:space="preserve">441 Contemporary, 50000 Lumen Fixture Only </t>
  </si>
  <si>
    <t>422 Contemporary, 50000 Lumen Fixture &amp; Pole</t>
  </si>
  <si>
    <t xml:space="preserve"> 479 Contemporary, 12000 Lumen Fixture Only</t>
  </si>
  <si>
    <t xml:space="preserve"> 480 Contemporary, 12000 Lumen Fixture &amp; Pole</t>
  </si>
  <si>
    <t xml:space="preserve"> 481 Contemporary, 32000 Lumen Fixture Only</t>
  </si>
  <si>
    <t xml:space="preserve"> 482 Contemporary, 32000 Lumen Fixture &amp; Pole</t>
  </si>
  <si>
    <t xml:space="preserve"> 483 Contemporary, 107800 Lumen Fixture Only</t>
  </si>
  <si>
    <t xml:space="preserve"> 484 Contemporary, 107800 Lumen Fixture &amp; Pole</t>
  </si>
  <si>
    <t xml:space="preserve"> 252 Cobra/Open Bottom 8000L Fixture Only</t>
  </si>
  <si>
    <t xml:space="preserve"> 203 Cobra Head 13000 Lumen Fixture Only</t>
  </si>
  <si>
    <t xml:space="preserve"> 204 Cobra Head 25000 Lumen Fixture Only</t>
  </si>
  <si>
    <t xml:space="preserve"> 210 Directional 60000 Lumen Fixture Only</t>
  </si>
  <si>
    <t xml:space="preserve"> 201 Open Bottom 4000 Lumen Fixture Only</t>
  </si>
  <si>
    <t>471 Directional, 12000 Lumen Fixture &amp; Wood Pole</t>
  </si>
  <si>
    <t>474 Directional, 32000 Lumen Fixture &amp; Wood Pole</t>
  </si>
  <si>
    <t>475 Directional, 32000 Lumen Fixture &amp; Metal Pole</t>
  </si>
  <si>
    <t>477 Directional,107800 Lumen Fixture &amp;                                                                                   Wood Pole</t>
  </si>
  <si>
    <t xml:space="preserve"> 275 Cobra/Contemporary 16000 Lumen </t>
  </si>
  <si>
    <t xml:space="preserve">                                               Fixture &amp; Smooth Pole</t>
  </si>
  <si>
    <t xml:space="preserve"> 266 Cobra/Contemporary 28500 Lumen </t>
  </si>
  <si>
    <t xml:space="preserve"> 267 Cobra/Contemporary 50000 Lumen </t>
  </si>
  <si>
    <t xml:space="preserve"> 276 Coach/Acorn 5800 Lumen </t>
  </si>
  <si>
    <t xml:space="preserve"> 274 Coach/Acorn 9500 Lumen </t>
  </si>
  <si>
    <t xml:space="preserve"> 277 Coach/Acorn 16000 Lumen </t>
  </si>
  <si>
    <t xml:space="preserve"> 279 Contemporary 120000 Lumen Fixture Only</t>
  </si>
  <si>
    <t xml:space="preserve"> 278 Contemporary 120000 Lumen </t>
  </si>
  <si>
    <t xml:space="preserve"> 417 Acorn 9500 Lumen Bronze Decorative Pole</t>
  </si>
  <si>
    <t xml:space="preserve"> 419 Acorn 16000 Lumen Bronze Decorative Pole</t>
  </si>
  <si>
    <t xml:space="preserve"> 280 Victorian 5800 Lumen Fixture Only</t>
  </si>
  <si>
    <t xml:space="preserve"> 281 Victorian 9500 Lumen Fixture Only</t>
  </si>
  <si>
    <t xml:space="preserve"> 282 London 5800 Lumen Fixture Only</t>
  </si>
  <si>
    <t xml:space="preserve"> 283 London 9500 Lumen Fixture Only</t>
  </si>
  <si>
    <t xml:space="preserve"> 426 London, 5800 Lumen Fixture &amp; Pole</t>
  </si>
  <si>
    <t xml:space="preserve"> 428 London, 9500 Lumen Fixture &amp; Pole</t>
  </si>
  <si>
    <t xml:space="preserve"> 430 Victorian, 5800 Lumen Fixture &amp; Pole</t>
  </si>
  <si>
    <t xml:space="preserve"> 432 Victorian, 9500 Lumen Fixture Pole</t>
  </si>
  <si>
    <t xml:space="preserve"> 318 Cobra Head, 8000 Lumen Fixture &amp; Pole</t>
  </si>
  <si>
    <t xml:space="preserve"> 314 Cobra Head, 13000 Lumen Fixture &amp; Pole</t>
  </si>
  <si>
    <t xml:space="preserve"> 315 Cobra Head, 25000 Lumen Fixture &amp; Pole</t>
  </si>
  <si>
    <t xml:space="preserve"> 206 Coach, 4000 Lumen Fixture &amp; Pole</t>
  </si>
  <si>
    <t xml:space="preserve"> 208 Coach, 8000 Lumen Fixture &amp; Pole</t>
  </si>
  <si>
    <t xml:space="preserve"> 349 Continental Jr, 1500 Lumen Fixture &amp; Pole</t>
  </si>
  <si>
    <t xml:space="preserve"> 348 Continental Jr, 6000 Lumen Fixture &amp; Pole</t>
  </si>
  <si>
    <t>LG&amp;E Rate</t>
  </si>
  <si>
    <t>LG&amp;E</t>
  </si>
  <si>
    <t>LGUM_201</t>
  </si>
  <si>
    <t>LGUM_203</t>
  </si>
  <si>
    <t>LGUM_204</t>
  </si>
  <si>
    <t>LGUM_206</t>
  </si>
  <si>
    <t>LGUM_207</t>
  </si>
  <si>
    <t>LGUM_208</t>
  </si>
  <si>
    <t>LGUM_209</t>
  </si>
  <si>
    <r>
      <t xml:space="preserve"> </t>
    </r>
    <r>
      <rPr>
        <sz val="11"/>
        <rFont val="Times New Roman"/>
        <family val="1"/>
      </rPr>
      <t>452 Cobra Head, 16000 Lumen Fixture Only</t>
    </r>
  </si>
  <si>
    <t>LGUM_210</t>
  </si>
  <si>
    <r>
      <t xml:space="preserve"> </t>
    </r>
    <r>
      <rPr>
        <sz val="11"/>
        <rFont val="Times New Roman"/>
        <family val="1"/>
      </rPr>
      <t>453 Cobra Head, 28500 Lumen Fixture Only</t>
    </r>
  </si>
  <si>
    <t>LGUM_252</t>
  </si>
  <si>
    <t>LGUM_266</t>
  </si>
  <si>
    <t>LGUM_267</t>
  </si>
  <si>
    <t>LGUM_274</t>
  </si>
  <si>
    <t>LGUM_275</t>
  </si>
  <si>
    <t>LGUM_276</t>
  </si>
  <si>
    <t>LGUM_277</t>
  </si>
  <si>
    <t>LGUM_278</t>
  </si>
  <si>
    <t>LGUM_279</t>
  </si>
  <si>
    <t>LGUM_280</t>
  </si>
  <si>
    <t>LGUM_281</t>
  </si>
  <si>
    <t>LGUM_282</t>
  </si>
  <si>
    <t>LGUM_283</t>
  </si>
  <si>
    <t>LGUM_314</t>
  </si>
  <si>
    <t>LGUM_315</t>
  </si>
  <si>
    <t>LGUM_318</t>
  </si>
  <si>
    <t>LGUM_348</t>
  </si>
  <si>
    <t>LGUM_349</t>
  </si>
  <si>
    <t>LGUM_400</t>
  </si>
  <si>
    <t>LGUM_401</t>
  </si>
  <si>
    <t>LGUM_412</t>
  </si>
  <si>
    <t>LGUM_413</t>
  </si>
  <si>
    <t>LGUM_415</t>
  </si>
  <si>
    <t>LGUM_416</t>
  </si>
  <si>
    <t>LGUM_417</t>
  </si>
  <si>
    <t>LGUM_419</t>
  </si>
  <si>
    <t>LGUM_420</t>
  </si>
  <si>
    <t>LGUM_421</t>
  </si>
  <si>
    <t>LGUM_422</t>
  </si>
  <si>
    <t>LGUM_423</t>
  </si>
  <si>
    <t>LGUM_424</t>
  </si>
  <si>
    <t>LGUM_425</t>
  </si>
  <si>
    <t>LGUM_426</t>
  </si>
  <si>
    <t>LGUM_427</t>
  </si>
  <si>
    <t>LGUM_428</t>
  </si>
  <si>
    <t>LGUM_429</t>
  </si>
  <si>
    <t>LGUM_430</t>
  </si>
  <si>
    <t>LGUM_431</t>
  </si>
  <si>
    <t>LGUM_432</t>
  </si>
  <si>
    <t>LGUM_433</t>
  </si>
  <si>
    <t>LGUM_440</t>
  </si>
  <si>
    <t>LGUM_441</t>
  </si>
  <si>
    <t>LGUM_452</t>
  </si>
  <si>
    <t>LGUM_453</t>
  </si>
  <si>
    <t>LGUM_454</t>
  </si>
  <si>
    <t>LGUM_456</t>
  </si>
  <si>
    <t>LGUM_458</t>
  </si>
  <si>
    <t>LGUM_470</t>
  </si>
  <si>
    <t>LGUM_471</t>
  </si>
  <si>
    <t>LGUM_473</t>
  </si>
  <si>
    <t>LGUM_476</t>
  </si>
  <si>
    <t>LGUM_477</t>
  </si>
  <si>
    <t>LGUM_480</t>
  </si>
  <si>
    <t>LGUM_481</t>
  </si>
  <si>
    <t>LGUM_482</t>
  </si>
  <si>
    <t>LGUM_483</t>
  </si>
  <si>
    <t>LGUM_484</t>
  </si>
  <si>
    <t>Source:  Schedule D-2 F</t>
  </si>
  <si>
    <t>Source:  Billing Determinants - SBR tab</t>
  </si>
  <si>
    <t>RS</t>
  </si>
  <si>
    <t>GS3</t>
  </si>
  <si>
    <t>PSS</t>
  </si>
  <si>
    <t>PSP</t>
  </si>
  <si>
    <t>TODS</t>
  </si>
  <si>
    <t>FLST</t>
  </si>
  <si>
    <t>Demand ECR</t>
  </si>
  <si>
    <t>Non-Fuel ECR</t>
  </si>
  <si>
    <t>GSS</t>
  </si>
  <si>
    <t>LWC</t>
  </si>
  <si>
    <t>FK</t>
  </si>
  <si>
    <t>FK/LWC</t>
  </si>
  <si>
    <t>no DSM forecast revenues for RTS</t>
  </si>
  <si>
    <t>CURRENT -  based on Rate LEV</t>
  </si>
  <si>
    <t>based on Rate RS</t>
  </si>
  <si>
    <t xml:space="preserve">Base </t>
  </si>
  <si>
    <t>Billing Factor</t>
  </si>
  <si>
    <t>Energy ECR</t>
  </si>
  <si>
    <t>Base ECR - Energy/Demand</t>
  </si>
  <si>
    <t>Power Service Secondary (Rate PSS)</t>
  </si>
  <si>
    <t>Power Service Primary (Rate PSP)</t>
  </si>
  <si>
    <t>Time-of-Day Secondary (Rate TODS)</t>
  </si>
  <si>
    <t>Retail Transmission Service (Rate RTS)</t>
  </si>
  <si>
    <t>Source:  Billing Determinants file</t>
  </si>
  <si>
    <t>Average Usage (kWh)</t>
  </si>
  <si>
    <t>ratio of usage: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</si>
  <si>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</si>
  <si>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</si>
  <si>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</si>
  <si>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</si>
  <si>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</si>
  <si>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</si>
  <si>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</si>
  <si>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Schedule Description:</t>
  </si>
  <si>
    <t>Schedule Number: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</si>
  <si>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</si>
  <si>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</si>
  <si>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</si>
  <si>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</si>
  <si>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</si>
  <si>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</si>
  <si>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</si>
  <si>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DATA: ____BASE PERIOD__X___FORECASTED PERIOD</t>
  </si>
  <si>
    <t>WORKPAPER REFERENCE NO(S):________</t>
  </si>
  <si>
    <t>WITNESS:</t>
  </si>
  <si>
    <t xml:space="preserve">WITNESS:   </t>
  </si>
  <si>
    <t>Typical Electric Bill Comparison under Present &amp; Proposed Rates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</si>
  <si>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</si>
  <si>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</si>
  <si>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</si>
  <si>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</si>
  <si>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</si>
  <si>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</si>
  <si>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</si>
  <si>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</si>
  <si>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</si>
  <si>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</si>
  <si>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Assumptions:</t>
  </si>
  <si>
    <t>Billing Factors calculated as a unit charge based on forecast period revenues and volumes</t>
  </si>
  <si>
    <t>Current and Proposed Bill calculation uses a blended rate of 5/12 of the summer rate plus 7/12 of the winter rate</t>
  </si>
  <si>
    <t>**No LG&amp;E customers on this rate schedule**</t>
  </si>
  <si>
    <t>Analysis assumes Peak Demand at 50% of base demand</t>
  </si>
  <si>
    <t>DSM does not apply to this rate schedule</t>
  </si>
  <si>
    <t>RS/VFD</t>
  </si>
  <si>
    <t>RTOD-E</t>
  </si>
  <si>
    <t>RTOD-D</t>
  </si>
  <si>
    <t>GS3P</t>
  </si>
  <si>
    <t>LS-RLS</t>
  </si>
  <si>
    <t>LE</t>
  </si>
  <si>
    <t>TE</t>
  </si>
  <si>
    <t>CTAC</t>
  </si>
  <si>
    <t xml:space="preserve">Monthly </t>
  </si>
  <si>
    <t>Billing Factors calculated as a unit charge based on forecast period revenues and volumes and assuming October hours of usage</t>
  </si>
  <si>
    <t>$/kWh</t>
  </si>
  <si>
    <t>Residential/VFD</t>
  </si>
  <si>
    <t>LEV</t>
  </si>
  <si>
    <t xml:space="preserve">LE </t>
  </si>
  <si>
    <t>Blended Rates</t>
  </si>
  <si>
    <t>Using blended rate of GS-Single &amp; GS-Three Phase</t>
  </si>
  <si>
    <t>using Rate RS billing factors</t>
  </si>
  <si>
    <t>SCHEDULE N (Electric)</t>
  </si>
  <si>
    <t>Calculations may vary from other schedules due to rounding</t>
  </si>
  <si>
    <t xml:space="preserve">Lighting Service - Rate LS </t>
  </si>
  <si>
    <t>477 Directional, 107800 Lumen Fixture &amp; Wood Pole</t>
  </si>
  <si>
    <t xml:space="preserve"> 209 Cobra Head 60000 Lumen Fixture Only</t>
  </si>
  <si>
    <t xml:space="preserve"> 209 Cobra Head 25000 Lumen Fixture Only</t>
  </si>
  <si>
    <t xml:space="preserve"> 207 Directional 25000 Lumen Fixture Only</t>
  </si>
  <si>
    <t>Base Rate</t>
  </si>
  <si>
    <t xml:space="preserve">   ***No customers currently on this rate***</t>
  </si>
  <si>
    <t>(Rate RS)</t>
  </si>
  <si>
    <t>Fluctuating Load Service - Transmission - No LG&amp;E Customers on this rate schedule</t>
  </si>
  <si>
    <t>Fluctuating Load Service- Primary - No LG&amp;E Customers on this rate schedule</t>
  </si>
  <si>
    <t>For the 2016 Rate Case Filing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</si>
  <si>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</si>
  <si>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</si>
  <si>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</si>
  <si>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</si>
  <si>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</si>
  <si>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</si>
  <si>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</si>
  <si>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</si>
  <si>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</si>
  <si>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</si>
  <si>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</si>
  <si>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</si>
  <si>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C.M. GARRETT</t>
  </si>
  <si>
    <t>WITNESS:   C. M. GARRETT</t>
  </si>
  <si>
    <t>TOD Primary</t>
  </si>
  <si>
    <t>TODP</t>
  </si>
  <si>
    <t>FAC+OSS Billings</t>
  </si>
  <si>
    <t>FAC+OSS / kWh</t>
  </si>
  <si>
    <t>CASE NO. 2016-00371</t>
  </si>
  <si>
    <t xml:space="preserve">Residential Time-of-Day Energy </t>
  </si>
  <si>
    <t xml:space="preserve">Residential Time-of-Day Demand </t>
  </si>
  <si>
    <t>Time-of-Day Primary (Rate TODP).</t>
  </si>
  <si>
    <t>LGUM_455</t>
  </si>
  <si>
    <t>LGUM_457</t>
  </si>
  <si>
    <t>Nov</t>
  </si>
  <si>
    <t xml:space="preserve">  Light Emitting Diode (LED)</t>
  </si>
  <si>
    <t xml:space="preserve">490 Cobra Head, 8,179 Lumen Fixture Only </t>
  </si>
  <si>
    <t xml:space="preserve">491 Cobra Head, 14,166 Lumen Fixture Only </t>
  </si>
  <si>
    <t xml:space="preserve">492 Cobra Head, 23,214 Lumen Fixture Only </t>
  </si>
  <si>
    <t>493 Open Bottom, 5,007 Lumen Fixture Only</t>
  </si>
  <si>
    <t>LGUM_490</t>
  </si>
  <si>
    <t>LGUM_491</t>
  </si>
  <si>
    <t>LGUM_492</t>
  </si>
  <si>
    <t>LGUM_493</t>
  </si>
  <si>
    <t xml:space="preserve">  Light Emitting Diode (LED) (new rate schedule)</t>
  </si>
  <si>
    <t xml:space="preserve">496 Cobra Head, 8,179 Lumen, Smooth Pole </t>
  </si>
  <si>
    <t xml:space="preserve">497 Cobra Head, 14,166 Lumen, Smooth Pole </t>
  </si>
  <si>
    <t xml:space="preserve">498 Cobra Head, 23,214 Lumen, Smooth Pole </t>
  </si>
  <si>
    <t>499 Open Bottom, 5,665 Lumen, Smooth Pole</t>
  </si>
  <si>
    <t xml:space="preserve">499 Cobra Head, 5,665 Lumen, Smooth Pole </t>
  </si>
  <si>
    <t>LGUM_496</t>
  </si>
  <si>
    <t>LGUM_497</t>
  </si>
  <si>
    <t>LGUM_498</t>
  </si>
  <si>
    <t>LGUM_499</t>
  </si>
  <si>
    <t xml:space="preserve">496 Cobra Head, 8,179 Lumen Smooth Pole </t>
  </si>
  <si>
    <t xml:space="preserve">497 Cobra Head, 14,166 Lumen Smooth Pole </t>
  </si>
  <si>
    <t xml:space="preserve">498 Cobra Head, 23,214 Lumen Smooth Pole </t>
  </si>
  <si>
    <t>499 Open Bottom, 5,665 Lumen Smooth Pole</t>
  </si>
  <si>
    <t>Source:  Schedule M-2.2&amp;2.3</t>
  </si>
  <si>
    <t>FAC+OSS</t>
  </si>
  <si>
    <t xml:space="preserve">* Transferred from Lighting Service - Rate LS </t>
  </si>
  <si>
    <t xml:space="preserve"> 479 Contemporary, 12000 Lumen Fixture Only *</t>
  </si>
  <si>
    <t xml:space="preserve"> 480 Contemporary, 12000 Lumen Fixture &amp; Pole *</t>
  </si>
  <si>
    <t xml:space="preserve"> 483 Contemporary, 107800 Lumen Fixture Only *</t>
  </si>
  <si>
    <t xml:space="preserve"> 484 Contemporary, 107800 Lumen Fixture &amp; Pole *</t>
  </si>
  <si>
    <t>470 Directional, 12000 Lumen Fixture Only *</t>
  </si>
  <si>
    <t>476 Directional, 107800 Lumen Fixture Only *</t>
  </si>
  <si>
    <t>N/A</t>
  </si>
  <si>
    <r>
      <t xml:space="preserve">Pole and Structure Attachment Charges – Rate PSA </t>
    </r>
    <r>
      <rPr>
        <b/>
        <i/>
        <u/>
        <sz val="10"/>
        <rFont val="Arial"/>
        <family val="2"/>
      </rPr>
      <t>(new rate schedule)</t>
    </r>
  </si>
  <si>
    <t>Rate PSA to replace Cable Television Attachment Charges - Rate CTAC</t>
  </si>
  <si>
    <t>Other Attachment Charges:</t>
  </si>
  <si>
    <t>$  0.81 per year for each linear foot of duct.</t>
  </si>
  <si>
    <t>$84.00 per year for each Wireless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</si>
</sst>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&quot;$&quot;#,##0.00000_);\(&quot;$&quot;#,##0.00000\)"/>
    <numFmt numFmtId="167" formatCode="[$-409]mmm\-yy;@"/>
    <numFmt numFmtId="168" formatCode="0.0%"/>
    <numFmt numFmtId="169" formatCode="_(* #,##0.000_);_(* \(#,##0.000\);_(* &quot;-&quot;??_);_(@_)"/>
    <numFmt numFmtId="170" formatCode="_(&quot;$&quot;* #,##0_);_(&quot;$&quot;* \(#,##0\);_(&quot;$&quot;* &quot;-&quot;??_);_(@_)"/>
    <numFmt numFmtId="171" formatCode="_(&quot;$&quot;* #,##0.0000000_);_(&quot;$&quot;* \(#,##0.0000000\);_(&quot;$&quot;* &quot;-&quot;??_);_(@_)"/>
    <numFmt numFmtId="172" formatCode="0.000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u/>
      <sz val="12"/>
      <name val="Times New Roman"/>
      <family val="1"/>
    </font>
    <font>
      <sz val="8"/>
      <color rgb="FF00000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u/>
      <sz val="11"/>
      <name val="Times New Roman"/>
      <family val="1"/>
    </font>
    <font>
      <sz val="11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1" fontId="17" fillId="0" borderId="0"/>
    <xf numFmtId="0" fontId="2" fillId="0" borderId="0"/>
    <xf numFmtId="0" fontId="3" fillId="0" borderId="0"/>
    <xf numFmtId="0" fontId="3" fillId="0" borderId="0"/>
    <xf numFmtId="0" fontId="24" fillId="0" borderId="0"/>
    <xf numFmtId="9" fontId="2" fillId="0" borderId="0" applyFont="0" applyFill="0" applyBorder="0" applyAlignment="0" applyProtection="0"/>
    <xf numFmtId="0" fontId="26" fillId="0" borderId="0"/>
  </cellStyleXfs>
  <cellXfs count="457">
    <xf numFmtId="0" fontId="0" fillId="0" borderId="0" xfId="0"/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textRotation="180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0" fontId="0" fillId="0" borderId="0" xfId="2" applyNumberFormat="1" applyFont="1"/>
    <xf numFmtId="10" fontId="3" fillId="0" borderId="0" xfId="2" applyNumberFormat="1"/>
    <xf numFmtId="0" fontId="0" fillId="0" borderId="0" xfId="0" applyBorder="1"/>
    <xf numFmtId="164" fontId="0" fillId="0" borderId="0" xfId="0" applyNumberFormat="1" applyBorder="1"/>
    <xf numFmtId="4" fontId="0" fillId="0" borderId="0" xfId="0" applyNumberFormat="1"/>
    <xf numFmtId="9" fontId="0" fillId="0" borderId="0" xfId="0" applyNumberFormat="1"/>
    <xf numFmtId="3" fontId="0" fillId="0" borderId="0" xfId="0" applyNumberFormat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Fill="1"/>
    <xf numFmtId="10" fontId="3" fillId="0" borderId="0" xfId="2" applyNumberFormat="1" applyAlignment="1">
      <alignment horizontal="center"/>
    </xf>
    <xf numFmtId="7" fontId="0" fillId="0" borderId="0" xfId="0" applyNumberFormat="1" applyAlignment="1">
      <alignment horizontal="center"/>
    </xf>
    <xf numFmtId="7" fontId="0" fillId="0" borderId="0" xfId="0" applyNumberFormat="1"/>
    <xf numFmtId="7" fontId="4" fillId="0" borderId="0" xfId="0" applyNumberFormat="1" applyFont="1" applyAlignment="1">
      <alignment horizontal="center"/>
    </xf>
    <xf numFmtId="7" fontId="4" fillId="0" borderId="0" xfId="0" quotePrefix="1" applyNumberFormat="1" applyFont="1" applyAlignment="1">
      <alignment horizontal="center"/>
    </xf>
    <xf numFmtId="7" fontId="4" fillId="0" borderId="0" xfId="0" applyNumberFormat="1" applyFont="1"/>
    <xf numFmtId="7" fontId="0" fillId="0" borderId="0" xfId="0" applyNumberFormat="1" applyBorder="1"/>
    <xf numFmtId="7" fontId="0" fillId="0" borderId="0" xfId="0" applyNumberFormat="1" applyFill="1"/>
    <xf numFmtId="0" fontId="4" fillId="0" borderId="0" xfId="0" quotePrefix="1" applyFont="1" applyAlignment="1">
      <alignment horizontal="center"/>
    </xf>
    <xf numFmtId="10" fontId="0" fillId="0" borderId="0" xfId="2" applyNumberFormat="1" applyFont="1" applyBorder="1"/>
    <xf numFmtId="44" fontId="6" fillId="0" borderId="0" xfId="3" applyNumberFormat="1"/>
    <xf numFmtId="44" fontId="0" fillId="0" borderId="0" xfId="0" applyNumberFormat="1"/>
    <xf numFmtId="0" fontId="3" fillId="0" borderId="0" xfId="0" applyFont="1"/>
    <xf numFmtId="164" fontId="3" fillId="0" borderId="0" xfId="2" applyNumberFormat="1"/>
    <xf numFmtId="0" fontId="0" fillId="2" borderId="0" xfId="0" applyFill="1"/>
    <xf numFmtId="165" fontId="4" fillId="0" borderId="0" xfId="0" applyNumberFormat="1" applyFont="1"/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3" xfId="0" applyFont="1" applyBorder="1" applyAlignment="1"/>
    <xf numFmtId="167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7" fontId="4" fillId="0" borderId="0" xfId="0" quotePrefix="1" applyNumberFormat="1" applyFont="1" applyAlignment="1">
      <alignment horizontal="center" wrapText="1"/>
    </xf>
    <xf numFmtId="0" fontId="4" fillId="0" borderId="3" xfId="0" quotePrefix="1" applyFont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/>
    <xf numFmtId="0" fontId="4" fillId="0" borderId="0" xfId="0" quotePrefix="1" applyFont="1" applyBorder="1" applyAlignment="1">
      <alignment horizontal="center"/>
    </xf>
    <xf numFmtId="0" fontId="0" fillId="0" borderId="0" xfId="0" quotePrefix="1" applyAlignment="1">
      <alignment horizontal="left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5" xfId="0" applyFont="1" applyBorder="1" applyAlignment="1">
      <alignment horizontal="justify" vertical="center" wrapText="1"/>
    </xf>
    <xf numFmtId="0" fontId="0" fillId="0" borderId="0" xfId="0" applyAlignment="1"/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3" fontId="0" fillId="0" borderId="0" xfId="0" applyNumberFormat="1" applyFill="1"/>
    <xf numFmtId="0" fontId="4" fillId="0" borderId="0" xfId="0" applyFont="1" applyFill="1"/>
    <xf numFmtId="164" fontId="0" fillId="0" borderId="0" xfId="0" applyNumberForma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3" fillId="0" borderId="0" xfId="0" applyFont="1" applyFill="1"/>
    <xf numFmtId="44" fontId="0" fillId="0" borderId="0" xfId="0" applyNumberFormat="1" applyFill="1"/>
    <xf numFmtId="168" fontId="0" fillId="0" borderId="0" xfId="2" applyNumberFormat="1" applyFont="1" applyFill="1" applyAlignment="1">
      <alignment horizontal="center"/>
    </xf>
    <xf numFmtId="49" fontId="14" fillId="3" borderId="16" xfId="0" applyNumberFormat="1" applyFont="1" applyFill="1" applyBorder="1" applyAlignment="1">
      <alignment horizontal="left" vertical="center"/>
    </xf>
    <xf numFmtId="169" fontId="14" fillId="3" borderId="0" xfId="1" applyNumberFormat="1" applyFont="1" applyFill="1" applyBorder="1" applyAlignment="1">
      <alignment horizontal="left" vertical="center"/>
    </xf>
    <xf numFmtId="0" fontId="9" fillId="0" borderId="17" xfId="0" applyFont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0" fillId="0" borderId="0" xfId="0" applyFill="1" applyAlignment="1">
      <alignment horizontal="right"/>
    </xf>
    <xf numFmtId="0" fontId="9" fillId="2" borderId="8" xfId="0" applyFont="1" applyFill="1" applyBorder="1" applyAlignment="1">
      <alignment horizontal="center" vertical="center"/>
    </xf>
    <xf numFmtId="8" fontId="9" fillId="2" borderId="10" xfId="0" applyNumberFormat="1" applyFont="1" applyFill="1" applyBorder="1" applyAlignment="1">
      <alignment horizontal="left" vertical="center"/>
    </xf>
    <xf numFmtId="8" fontId="9" fillId="2" borderId="12" xfId="0" applyNumberFormat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8" fontId="9" fillId="2" borderId="6" xfId="0" applyNumberFormat="1" applyFont="1" applyFill="1" applyBorder="1" applyAlignment="1">
      <alignment horizontal="left" vertical="center"/>
    </xf>
    <xf numFmtId="8" fontId="9" fillId="2" borderId="15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0" fontId="9" fillId="2" borderId="13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/>
    </xf>
    <xf numFmtId="3" fontId="0" fillId="0" borderId="0" xfId="0" applyNumberFormat="1" applyAlignment="1">
      <alignment horizontal="center"/>
    </xf>
    <xf numFmtId="8" fontId="4" fillId="0" borderId="0" xfId="0" quotePrefix="1" applyNumberFormat="1" applyFont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3" xfId="0" quotePrefix="1" applyFont="1" applyBorder="1" applyAlignment="1">
      <alignment horizontal="left"/>
    </xf>
    <xf numFmtId="170" fontId="0" fillId="0" borderId="0" xfId="0" applyNumberFormat="1"/>
    <xf numFmtId="0" fontId="3" fillId="0" borderId="0" xfId="0" applyFont="1" applyFill="1" applyAlignment="1">
      <alignment horizontal="right"/>
    </xf>
    <xf numFmtId="0" fontId="4" fillId="0" borderId="3" xfId="0" applyFont="1" applyFill="1" applyBorder="1" applyAlignment="1"/>
    <xf numFmtId="165" fontId="4" fillId="0" borderId="0" xfId="0" applyNumberFormat="1" applyFont="1" applyFill="1"/>
    <xf numFmtId="10" fontId="0" fillId="0" borderId="0" xfId="2" applyNumberFormat="1" applyFont="1" applyFill="1"/>
    <xf numFmtId="164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  <xf numFmtId="168" fontId="0" fillId="0" borderId="1" xfId="2" applyNumberFormat="1" applyFont="1" applyFill="1" applyBorder="1" applyAlignment="1">
      <alignment horizontal="center"/>
    </xf>
    <xf numFmtId="37" fontId="0" fillId="0" borderId="0" xfId="1" applyNumberFormat="1" applyFont="1"/>
    <xf numFmtId="171" fontId="0" fillId="0" borderId="0" xfId="0" applyNumberFormat="1"/>
    <xf numFmtId="170" fontId="0" fillId="0" borderId="0" xfId="0" applyNumberFormat="1" applyFill="1"/>
    <xf numFmtId="37" fontId="0" fillId="0" borderId="0" xfId="1" applyNumberFormat="1" applyFont="1" applyFill="1"/>
    <xf numFmtId="171" fontId="0" fillId="0" borderId="0" xfId="0" applyNumberFormat="1" applyFill="1"/>
    <xf numFmtId="170" fontId="4" fillId="0" borderId="0" xfId="0" applyNumberFormat="1" applyFont="1"/>
    <xf numFmtId="0" fontId="9" fillId="2" borderId="19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9" fontId="14" fillId="3" borderId="27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horizontal="justify" vertical="center"/>
    </xf>
    <xf numFmtId="0" fontId="9" fillId="0" borderId="0" xfId="0" applyFont="1" applyBorder="1" applyAlignment="1">
      <alignment vertical="center"/>
    </xf>
    <xf numFmtId="8" fontId="9" fillId="2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19" fillId="2" borderId="0" xfId="0" applyFont="1" applyFill="1" applyAlignment="1"/>
    <xf numFmtId="0" fontId="9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8" fontId="9" fillId="0" borderId="10" xfId="0" applyNumberFormat="1" applyFont="1" applyBorder="1" applyAlignment="1">
      <alignment vertical="center" wrapText="1"/>
    </xf>
    <xf numFmtId="8" fontId="9" fillId="2" borderId="10" xfId="0" applyNumberFormat="1" applyFont="1" applyFill="1" applyBorder="1" applyAlignment="1">
      <alignment vertical="center" wrapText="1"/>
    </xf>
    <xf numFmtId="8" fontId="9" fillId="0" borderId="12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8" fontId="9" fillId="0" borderId="8" xfId="0" applyNumberFormat="1" applyFont="1" applyBorder="1" applyAlignment="1">
      <alignment vertical="center" wrapText="1"/>
    </xf>
    <xf numFmtId="8" fontId="9" fillId="0" borderId="15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70" fontId="0" fillId="0" borderId="3" xfId="0" applyNumberFormat="1" applyBorder="1"/>
    <xf numFmtId="0" fontId="21" fillId="0" borderId="0" xfId="0" quotePrefix="1" applyFont="1" applyAlignment="1">
      <alignment horizontal="center"/>
    </xf>
    <xf numFmtId="0" fontId="21" fillId="0" borderId="3" xfId="0" applyFont="1" applyBorder="1" applyAlignment="1">
      <alignment horizontal="center"/>
    </xf>
    <xf numFmtId="165" fontId="21" fillId="0" borderId="0" xfId="0" applyNumberFormat="1" applyFont="1"/>
    <xf numFmtId="0" fontId="21" fillId="0" borderId="0" xfId="0" applyFont="1" applyAlignment="1">
      <alignment horizontal="center"/>
    </xf>
    <xf numFmtId="0" fontId="4" fillId="0" borderId="3" xfId="0" applyFont="1" applyFill="1" applyBorder="1"/>
    <xf numFmtId="0" fontId="4" fillId="0" borderId="28" xfId="0" quotePrefix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0" fontId="4" fillId="0" borderId="28" xfId="0" applyNumberFormat="1" applyFont="1" applyBorder="1"/>
    <xf numFmtId="0" fontId="4" fillId="4" borderId="0" xfId="0" applyFont="1" applyFill="1"/>
    <xf numFmtId="0" fontId="0" fillId="4" borderId="0" xfId="0" applyFill="1"/>
    <xf numFmtId="168" fontId="0" fillId="0" borderId="3" xfId="2" applyNumberFormat="1" applyFont="1" applyBorder="1"/>
    <xf numFmtId="168" fontId="0" fillId="0" borderId="0" xfId="0" applyNumberFormat="1"/>
    <xf numFmtId="0" fontId="0" fillId="0" borderId="0" xfId="0" quotePrefix="1" applyFill="1" applyAlignment="1">
      <alignment horizontal="left"/>
    </xf>
    <xf numFmtId="7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9" fontId="0" fillId="0" borderId="0" xfId="0" applyNumberFormat="1" applyFill="1"/>
    <xf numFmtId="10" fontId="3" fillId="0" borderId="0" xfId="2" applyNumberFormat="1" applyFill="1" applyAlignment="1">
      <alignment horizontal="center"/>
    </xf>
    <xf numFmtId="164" fontId="3" fillId="0" borderId="0" xfId="2" applyNumberFormat="1" applyFill="1"/>
    <xf numFmtId="4" fontId="0" fillId="0" borderId="0" xfId="0" applyNumberFormat="1" applyFill="1"/>
    <xf numFmtId="10" fontId="3" fillId="0" borderId="0" xfId="2" applyNumberFormat="1" applyFill="1"/>
    <xf numFmtId="0" fontId="0" fillId="0" borderId="0" xfId="0" applyFill="1" applyAlignment="1">
      <alignment textRotation="180"/>
    </xf>
    <xf numFmtId="14" fontId="3" fillId="0" borderId="0" xfId="6" quotePrefix="1" applyNumberFormat="1" applyFont="1" applyAlignment="1">
      <alignment horizontal="left"/>
    </xf>
    <xf numFmtId="0" fontId="2" fillId="0" borderId="0" xfId="5"/>
    <xf numFmtId="0" fontId="3" fillId="0" borderId="0" xfId="6" applyFont="1"/>
    <xf numFmtId="0" fontId="4" fillId="0" borderId="3" xfId="6" applyFont="1" applyBorder="1"/>
    <xf numFmtId="49" fontId="3" fillId="0" borderId="0" xfId="6" applyNumberFormat="1" applyFont="1" applyAlignment="1">
      <alignment horizontal="left"/>
    </xf>
    <xf numFmtId="0" fontId="23" fillId="0" borderId="0" xfId="6" applyFont="1"/>
    <xf numFmtId="0" fontId="3" fillId="0" borderId="0" xfId="6" quotePrefix="1" applyFont="1" applyAlignment="1">
      <alignment horizontal="left"/>
    </xf>
    <xf numFmtId="0" fontId="3" fillId="0" borderId="0" xfId="7"/>
    <xf numFmtId="0" fontId="0" fillId="0" borderId="3" xfId="0" applyFill="1" applyBorder="1"/>
    <xf numFmtId="0" fontId="0" fillId="0" borderId="0" xfId="0" applyAlignment="1">
      <alignment horizontal="right"/>
    </xf>
    <xf numFmtId="167" fontId="4" fillId="0" borderId="0" xfId="5" quotePrefix="1" applyNumberFormat="1" applyFont="1" applyFill="1" applyBorder="1" applyAlignment="1">
      <alignment horizontal="center" wrapText="1"/>
    </xf>
    <xf numFmtId="0" fontId="25" fillId="0" borderId="0" xfId="5" applyFont="1" applyFill="1" applyBorder="1"/>
    <xf numFmtId="167" fontId="4" fillId="0" borderId="0" xfId="5" applyNumberFormat="1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167" fontId="4" fillId="0" borderId="0" xfId="5" quotePrefix="1" applyNumberFormat="1" applyFont="1" applyFill="1" applyAlignment="1">
      <alignment horizontal="center" wrapText="1"/>
    </xf>
    <xf numFmtId="0" fontId="25" fillId="0" borderId="0" xfId="5" applyFont="1" applyFill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167" fontId="4" fillId="0" borderId="0" xfId="5" quotePrefix="1" applyNumberFormat="1" applyFont="1" applyFill="1" applyAlignment="1">
      <alignment horizontal="center" wrapText="1"/>
    </xf>
    <xf numFmtId="0" fontId="25" fillId="0" borderId="0" xfId="5" applyFont="1" applyFill="1"/>
    <xf numFmtId="0" fontId="4" fillId="0" borderId="0" xfId="0" applyFont="1" applyBorder="1" applyAlignment="1">
      <alignment horizontal="center"/>
    </xf>
    <xf numFmtId="0" fontId="3" fillId="0" borderId="0" xfId="0" quotePrefix="1" applyFont="1" applyFill="1" applyAlignment="1">
      <alignment horizontal="left" indent="1"/>
    </xf>
    <xf numFmtId="0" fontId="3" fillId="0" borderId="0" xfId="0" quotePrefix="1" applyFont="1" applyAlignment="1">
      <alignment horizontal="left" indent="1"/>
    </xf>
    <xf numFmtId="0" fontId="25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41" fontId="0" fillId="4" borderId="0" xfId="0" applyNumberFormat="1" applyFill="1"/>
    <xf numFmtId="0" fontId="0" fillId="0" borderId="0" xfId="0" applyAlignment="1">
      <alignment horizontal="left" inden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4" fillId="0" borderId="0" xfId="0" applyFont="1" applyFill="1" applyAlignment="1"/>
    <xf numFmtId="0" fontId="4" fillId="0" borderId="2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22" xfId="0" applyFont="1" applyFill="1" applyBorder="1"/>
    <xf numFmtId="0" fontId="8" fillId="0" borderId="0" xfId="0" quotePrefix="1" applyFont="1" applyFill="1" applyAlignment="1">
      <alignment horizontal="left"/>
    </xf>
    <xf numFmtId="0" fontId="3" fillId="0" borderId="5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6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3" fillId="0" borderId="0" xfId="0" applyFont="1" applyFill="1" applyBorder="1"/>
    <xf numFmtId="8" fontId="3" fillId="0" borderId="0" xfId="0" applyNumberFormat="1" applyFont="1" applyFill="1"/>
    <xf numFmtId="168" fontId="3" fillId="0" borderId="0" xfId="2" applyNumberFormat="1" applyFont="1" applyFill="1"/>
    <xf numFmtId="166" fontId="3" fillId="0" borderId="0" xfId="0" applyNumberFormat="1" applyFont="1" applyFill="1"/>
    <xf numFmtId="7" fontId="3" fillId="0" borderId="0" xfId="0" applyNumberFormat="1" applyFont="1" applyFill="1"/>
    <xf numFmtId="0" fontId="4" fillId="0" borderId="21" xfId="0" applyFont="1" applyFill="1" applyBorder="1" applyAlignment="1">
      <alignment vertical="center"/>
    </xf>
    <xf numFmtId="8" fontId="3" fillId="0" borderId="28" xfId="0" applyNumberFormat="1" applyFont="1" applyFill="1" applyBorder="1" applyAlignment="1">
      <alignment horizontal="left" vertical="center"/>
    </xf>
    <xf numFmtId="8" fontId="3" fillId="0" borderId="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25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right" vertical="top"/>
    </xf>
    <xf numFmtId="8" fontId="3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0" xfId="0" applyNumberFormat="1" applyFont="1" applyFill="1" applyBorder="1"/>
    <xf numFmtId="4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/>
    <xf numFmtId="44" fontId="3" fillId="0" borderId="0" xfId="2" applyNumberFormat="1" applyFont="1" applyFill="1"/>
    <xf numFmtId="0" fontId="26" fillId="0" borderId="0" xfId="10"/>
    <xf numFmtId="0" fontId="4" fillId="0" borderId="3" xfId="0" quotePrefix="1" applyFont="1" applyBorder="1" applyAlignment="1">
      <alignment horizontal="center"/>
    </xf>
    <xf numFmtId="165" fontId="3" fillId="0" borderId="0" xfId="0" applyNumberFormat="1" applyFont="1" applyFill="1"/>
    <xf numFmtId="170" fontId="3" fillId="0" borderId="0" xfId="0" applyNumberFormat="1" applyFont="1" applyAlignment="1">
      <alignment horizontal="center"/>
    </xf>
    <xf numFmtId="37" fontId="0" fillId="0" borderId="0" xfId="0" applyNumberFormat="1"/>
    <xf numFmtId="0" fontId="0" fillId="0" borderId="0" xfId="0" applyFill="1" applyAlignment="1">
      <alignment horizontal="center"/>
    </xf>
    <xf numFmtId="172" fontId="0" fillId="0" borderId="0" xfId="2" applyNumberFormat="1" applyFont="1"/>
    <xf numFmtId="170" fontId="0" fillId="0" borderId="3" xfId="0" applyNumberFormat="1" applyFill="1" applyBorder="1"/>
    <xf numFmtId="0" fontId="20" fillId="0" borderId="0" xfId="0" applyFont="1" applyFill="1"/>
    <xf numFmtId="171" fontId="0" fillId="0" borderId="3" xfId="0" applyNumberFormat="1" applyBorder="1"/>
    <xf numFmtId="10" fontId="0" fillId="0" borderId="4" xfId="2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5" applyFont="1"/>
    <xf numFmtId="0" fontId="3" fillId="0" borderId="0" xfId="7" quotePrefix="1" applyAlignment="1">
      <alignment horizontal="left"/>
    </xf>
    <xf numFmtId="0" fontId="3" fillId="0" borderId="0" xfId="0" applyFont="1" applyFill="1" applyBorder="1" applyAlignment="1">
      <alignment horizontal="center"/>
    </xf>
    <xf numFmtId="168" fontId="3" fillId="0" borderId="0" xfId="2" applyNumberFormat="1" applyFont="1" applyFill="1" applyBorder="1"/>
    <xf numFmtId="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26" xfId="0" applyFont="1" applyFill="1" applyBorder="1" applyAlignment="1">
      <alignment horizontal="justify" vertical="center"/>
    </xf>
    <xf numFmtId="0" fontId="25" fillId="0" borderId="0" xfId="0" quotePrefix="1" applyFont="1" applyAlignment="1">
      <alignment horizontal="left"/>
    </xf>
    <xf numFmtId="0" fontId="3" fillId="0" borderId="18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left" vertical="center"/>
    </xf>
    <xf numFmtId="0" fontId="9" fillId="0" borderId="30" xfId="0" quotePrefix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27" fillId="0" borderId="0" xfId="5" applyFont="1" applyFill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8" fontId="9" fillId="0" borderId="12" xfId="0" applyNumberFormat="1" applyFont="1" applyBorder="1" applyAlignment="1">
      <alignment horizontal="right" vertical="center"/>
    </xf>
    <xf numFmtId="8" fontId="9" fillId="0" borderId="10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8" fontId="9" fillId="0" borderId="6" xfId="0" applyNumberFormat="1" applyFont="1" applyBorder="1" applyAlignment="1">
      <alignment horizontal="right" vertical="center"/>
    </xf>
    <xf numFmtId="8" fontId="9" fillId="0" borderId="15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0" fillId="0" borderId="0" xfId="0" applyFill="1" applyAlignment="1">
      <alignment horizontal="center"/>
    </xf>
    <xf numFmtId="170" fontId="3" fillId="0" borderId="0" xfId="0" applyNumberFormat="1" applyFont="1" applyFill="1"/>
    <xf numFmtId="170" fontId="0" fillId="6" borderId="0" xfId="0" applyNumberFormat="1" applyFill="1"/>
    <xf numFmtId="0" fontId="4" fillId="0" borderId="3" xfId="5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7" fillId="0" borderId="0" xfId="0" quotePrefix="1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8" fontId="4" fillId="0" borderId="0" xfId="2" applyNumberFormat="1" applyFont="1" applyFill="1"/>
    <xf numFmtId="168" fontId="4" fillId="0" borderId="0" xfId="2" applyNumberFormat="1" applyFont="1" applyFill="1" applyAlignment="1">
      <alignment horizontal="right"/>
    </xf>
    <xf numFmtId="0" fontId="15" fillId="0" borderId="0" xfId="0" applyFont="1" applyFill="1"/>
    <xf numFmtId="0" fontId="16" fillId="0" borderId="0" xfId="0" applyFont="1" applyFill="1"/>
    <xf numFmtId="0" fontId="4" fillId="0" borderId="3" xfId="0" quotePrefix="1" applyFont="1" applyFill="1" applyBorder="1" applyAlignment="1">
      <alignment horizontal="left"/>
    </xf>
    <xf numFmtId="0" fontId="15" fillId="0" borderId="0" xfId="0" applyFont="1" applyFill="1" applyBorder="1"/>
    <xf numFmtId="0" fontId="4" fillId="0" borderId="0" xfId="0" applyFont="1" applyBorder="1"/>
    <xf numFmtId="1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5" fillId="0" borderId="0" xfId="0" quotePrefix="1" applyFont="1" applyBorder="1" applyAlignment="1">
      <alignment horizontal="left"/>
    </xf>
    <xf numFmtId="44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0" fontId="8" fillId="0" borderId="0" xfId="0" quotePrefix="1" applyFont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167" fontId="4" fillId="0" borderId="3" xfId="5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/>
    <xf numFmtId="44" fontId="0" fillId="0" borderId="0" xfId="0" applyNumberFormat="1" applyBorder="1"/>
    <xf numFmtId="168" fontId="0" fillId="0" borderId="0" xfId="2" applyNumberFormat="1" applyFont="1" applyBorder="1" applyAlignment="1">
      <alignment horizontal="center"/>
    </xf>
    <xf numFmtId="44" fontId="0" fillId="0" borderId="0" xfId="0" applyNumberFormat="1" applyFill="1" applyBorder="1"/>
    <xf numFmtId="8" fontId="9" fillId="2" borderId="10" xfId="0" applyNumberFormat="1" applyFont="1" applyFill="1" applyBorder="1" applyAlignment="1">
      <alignment horizontal="left" vertical="center" wrapText="1"/>
    </xf>
    <xf numFmtId="8" fontId="9" fillId="2" borderId="12" xfId="0" applyNumberFormat="1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8" fontId="9" fillId="2" borderId="8" xfId="0" applyNumberFormat="1" applyFont="1" applyFill="1" applyBorder="1" applyAlignment="1">
      <alignment horizontal="left" vertical="center" wrapText="1"/>
    </xf>
    <xf numFmtId="8" fontId="9" fillId="2" borderId="15" xfId="0" applyNumberFormat="1" applyFont="1" applyFill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right" vertical="center"/>
    </xf>
    <xf numFmtId="0" fontId="4" fillId="0" borderId="3" xfId="5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9" fillId="0" borderId="33" xfId="0" applyFont="1" applyBorder="1" applyAlignment="1">
      <alignment vertical="center"/>
    </xf>
    <xf numFmtId="8" fontId="9" fillId="0" borderId="34" xfId="0" applyNumberFormat="1" applyFont="1" applyBorder="1" applyAlignment="1">
      <alignment horizontal="right" vertical="center"/>
    </xf>
    <xf numFmtId="8" fontId="9" fillId="2" borderId="20" xfId="0" applyNumberFormat="1" applyFont="1" applyFill="1" applyBorder="1" applyAlignment="1">
      <alignment horizontal="left" vertical="center"/>
    </xf>
    <xf numFmtId="0" fontId="12" fillId="0" borderId="33" xfId="0" applyFont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4" xfId="0" quotePrefix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8" fontId="9" fillId="0" borderId="0" xfId="0" applyNumberFormat="1" applyFont="1" applyBorder="1" applyAlignment="1">
      <alignment horizontal="right" vertical="center"/>
    </xf>
    <xf numFmtId="8" fontId="4" fillId="0" borderId="0" xfId="0" applyNumberFormat="1" applyFont="1" applyFill="1"/>
    <xf numFmtId="7" fontId="4" fillId="0" borderId="0" xfId="0" applyNumberFormat="1" applyFont="1" applyFill="1"/>
    <xf numFmtId="0" fontId="4" fillId="0" borderId="0" xfId="0" quotePrefix="1" applyFont="1" applyFill="1" applyBorder="1" applyAlignment="1">
      <alignment horizontal="left"/>
    </xf>
    <xf numFmtId="168" fontId="3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justify" vertical="center"/>
    </xf>
    <xf numFmtId="44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8" fontId="4" fillId="0" borderId="0" xfId="0" applyNumberFormat="1" applyFont="1" applyFill="1" applyBorder="1"/>
    <xf numFmtId="168" fontId="4" fillId="0" borderId="0" xfId="2" applyNumberFormat="1" applyFont="1" applyFill="1" applyBorder="1"/>
    <xf numFmtId="0" fontId="4" fillId="0" borderId="0" xfId="0" applyFont="1" applyFill="1" applyBorder="1" applyAlignment="1"/>
    <xf numFmtId="168" fontId="4" fillId="0" borderId="0" xfId="2" applyNumberFormat="1" applyFont="1" applyFill="1" applyBorder="1" applyAlignment="1">
      <alignment horizontal="right"/>
    </xf>
    <xf numFmtId="7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vertical="center"/>
    </xf>
    <xf numFmtId="41" fontId="0" fillId="0" borderId="0" xfId="0" applyNumberFormat="1" applyFill="1"/>
    <xf numFmtId="168" fontId="0" fillId="5" borderId="0" xfId="0" applyNumberFormat="1" applyFill="1"/>
    <xf numFmtId="164" fontId="0" fillId="5" borderId="0" xfId="0" applyNumberFormat="1" applyFill="1"/>
    <xf numFmtId="166" fontId="0" fillId="7" borderId="0" xfId="0" applyNumberFormat="1" applyFill="1" applyAlignment="1">
      <alignment horizontal="center"/>
    </xf>
    <xf numFmtId="0" fontId="4" fillId="0" borderId="0" xfId="5" applyFont="1" applyFill="1" applyBorder="1" applyAlignment="1">
      <alignment horizontal="center"/>
    </xf>
    <xf numFmtId="7" fontId="3" fillId="5" borderId="0" xfId="0" applyNumberFormat="1" applyFont="1" applyFill="1"/>
    <xf numFmtId="8" fontId="4" fillId="5" borderId="0" xfId="0" quotePrefix="1" applyNumberFormat="1" applyFont="1" applyFill="1" applyAlignment="1">
      <alignment horizontal="center"/>
    </xf>
    <xf numFmtId="8" fontId="3" fillId="7" borderId="28" xfId="0" applyNumberFormat="1" applyFont="1" applyFill="1" applyBorder="1" applyAlignment="1">
      <alignment horizontal="left" vertical="center"/>
    </xf>
    <xf numFmtId="8" fontId="3" fillId="7" borderId="2" xfId="0" applyNumberFormat="1" applyFont="1" applyFill="1" applyBorder="1" applyAlignment="1">
      <alignment horizontal="left" vertical="center"/>
    </xf>
    <xf numFmtId="8" fontId="9" fillId="7" borderId="34" xfId="0" applyNumberFormat="1" applyFont="1" applyFill="1" applyBorder="1" applyAlignment="1">
      <alignment horizontal="right" vertical="center"/>
    </xf>
    <xf numFmtId="8" fontId="9" fillId="7" borderId="20" xfId="0" applyNumberFormat="1" applyFont="1" applyFill="1" applyBorder="1" applyAlignment="1">
      <alignment horizontal="left" vertical="center"/>
    </xf>
    <xf numFmtId="8" fontId="3" fillId="7" borderId="34" xfId="0" applyNumberFormat="1" applyFont="1" applyFill="1" applyBorder="1" applyAlignment="1">
      <alignment horizontal="left" vertical="center"/>
    </xf>
    <xf numFmtId="8" fontId="3" fillId="7" borderId="20" xfId="0" applyNumberFormat="1" applyFont="1" applyFill="1" applyBorder="1" applyAlignment="1">
      <alignment horizontal="left" vertical="center"/>
    </xf>
    <xf numFmtId="168" fontId="25" fillId="0" borderId="0" xfId="2" applyNumberFormat="1" applyFont="1" applyFill="1" applyBorder="1" applyAlignment="1">
      <alignment horizontal="center"/>
    </xf>
    <xf numFmtId="168" fontId="25" fillId="0" borderId="0" xfId="2" applyNumberFormat="1" applyFont="1" applyFill="1" applyAlignment="1">
      <alignment horizontal="center"/>
    </xf>
    <xf numFmtId="0" fontId="4" fillId="0" borderId="0" xfId="5" applyFont="1" applyFill="1" applyBorder="1" applyAlignment="1">
      <alignment horizontal="center"/>
    </xf>
    <xf numFmtId="49" fontId="3" fillId="0" borderId="0" xfId="6" quotePrefix="1" applyNumberFormat="1" applyFont="1" applyFill="1" applyAlignment="1">
      <alignment horizontal="left"/>
    </xf>
    <xf numFmtId="168" fontId="3" fillId="0" borderId="0" xfId="2" applyNumberFormat="1" applyFont="1" applyFill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25" fillId="0" borderId="0" xfId="2" applyNumberFormat="1" applyFont="1" applyFill="1" applyAlignment="1">
      <alignment horizontal="center" vertical="center"/>
    </xf>
    <xf numFmtId="168" fontId="3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8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0" fillId="7" borderId="0" xfId="0" applyNumberFormat="1" applyFill="1" applyAlignment="1">
      <alignment horizontal="center"/>
    </xf>
    <xf numFmtId="170" fontId="4" fillId="0" borderId="0" xfId="0" applyNumberFormat="1" applyFont="1" applyFill="1"/>
    <xf numFmtId="0" fontId="3" fillId="0" borderId="0" xfId="0" applyFont="1" applyFill="1" applyAlignment="1">
      <alignment horizontal="left"/>
    </xf>
    <xf numFmtId="37" fontId="0" fillId="0" borderId="3" xfId="1" applyNumberFormat="1" applyFont="1" applyFill="1" applyBorder="1"/>
    <xf numFmtId="171" fontId="0" fillId="0" borderId="3" xfId="0" applyNumberFormat="1" applyFill="1" applyBorder="1"/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4" fillId="0" borderId="2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22" fillId="0" borderId="0" xfId="6" applyFont="1" applyAlignment="1">
      <alignment horizontal="center"/>
    </xf>
    <xf numFmtId="0" fontId="4" fillId="0" borderId="3" xfId="5" quotePrefix="1" applyFont="1" applyFill="1" applyBorder="1" applyAlignment="1">
      <alignment horizontal="center"/>
    </xf>
    <xf numFmtId="0" fontId="4" fillId="0" borderId="3" xfId="5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27" fillId="0" borderId="0" xfId="0" quotePrefix="1" applyNumberFormat="1" applyFont="1" applyAlignment="1">
      <alignment horizontal="center"/>
    </xf>
    <xf numFmtId="0" fontId="4" fillId="0" borderId="3" xfId="0" quotePrefix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5" quotePrefix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</cellXfs>
  <cellStyles count="11">
    <cellStyle name="Comma" xfId="1" builtinId="3"/>
    <cellStyle name="Normal" xfId="0" builtinId="0"/>
    <cellStyle name="Normal 10 2" xfId="7"/>
    <cellStyle name="Normal 13" xfId="3"/>
    <cellStyle name="Normal 2" xfId="5"/>
    <cellStyle name="Normal 2 19" xfId="4"/>
    <cellStyle name="Normal 2 2" xfId="10"/>
    <cellStyle name="Normal 47" xfId="6"/>
    <cellStyle name="Normal 48" xfId="8"/>
    <cellStyle name="Percent" xfId="2" builtinId="5"/>
    <cellStyle name="Percent 2" xfId="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488157</xdr:colOff>
      <xdr:row>68</xdr:row>
      <xdr:rowOff>190500</xdr:rowOff>
    </xdr:from>
    <xdr:to>
      <xdr:col>4</xdr:col>
      <xdr:colOff>0</xdr:colOff>
      <xdr:row>91</xdr:row>
      <xdr:rowOff>130969</xdr:rowOff>
    </xdr:to>
    <xdr:cxnSp macro="">
      <xdr:nvCxnSpPr>
        <xdr:cNvPr id="3" name="Straight Arrow Connector 2"/>
        <xdr:cNvCxnSpPr/>
      </xdr:nvCxnSpPr>
      <xdr:spPr>
        <a:xfrm flipH="1">
          <a:off x="4738688" y="12834938"/>
          <a:ext cx="476250" cy="42148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te%20Case%202016\Schedule%20N\KU%20Filing%20Req%2016-8-n%20Test%20Year%20Billing%20Factor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ate Case Constants"/>
      <sheetName val="SCHEDULES===&gt;"/>
      <sheetName val="Rate RS-VFD"/>
      <sheetName val="Rate RTOD Energy"/>
      <sheetName val="Rate RTOD Demand"/>
      <sheetName val="Rate AES Single Phase"/>
      <sheetName val="Rate AES Three Phase"/>
      <sheetName val="Rate GS Single Phase"/>
      <sheetName val="Rate GS Three Phase"/>
      <sheetName val="Rate PS Secondary"/>
      <sheetName val="Rate PS Primary"/>
      <sheetName val="Rate TOD Secondary"/>
      <sheetName val="Rate TOD Primary"/>
      <sheetName val="Rate RTS"/>
      <sheetName val="Rate FLS Transmission"/>
      <sheetName val="Rate FLS Primary"/>
      <sheetName val="Rate LS-RLS"/>
      <sheetName val="Rate LE"/>
      <sheetName val="Rate TE"/>
      <sheetName val="Rate PSA"/>
    </sheetNames>
    <sheetDataSet>
      <sheetData sheetId="0"/>
      <sheetData sheetId="1">
        <row r="26">
          <cell r="C26" t="str">
            <v>Calculations may vary from other schedules due to rounding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G134"/>
  <sheetViews>
    <sheetView tabSelected="1" zoomScale="80" zoomScaleNormal="80" workbookViewId="0">
      <selection activeCell="C55" sqref="C55"/>
    </sheetView>
  </sheetViews>
  <sheetFormatPr defaultRowHeight="13.2" x14ac:dyDescent="0.25"/>
  <cols>
    <col min="1" max="1" width="30.5546875" customWidth="1"/>
    <col min="2" max="2" width="18.6640625" customWidth="1"/>
    <col min="3" max="3" width="16.6640625" customWidth="1"/>
    <col min="4" max="5" width="14.44140625" customWidth="1"/>
    <col min="6" max="6" width="16.44140625" customWidth="1"/>
    <col min="7" max="7" width="15.88671875" bestFit="1" customWidth="1"/>
    <col min="8" max="8" width="14.5546875" bestFit="1" customWidth="1"/>
    <col min="9" max="9" width="12.44140625" customWidth="1"/>
    <col min="10" max="11" width="19" bestFit="1" customWidth="1"/>
    <col min="12" max="12" width="15.109375" bestFit="1" customWidth="1"/>
    <col min="13" max="13" width="15.109375" customWidth="1"/>
    <col min="14" max="14" width="11.44140625" customWidth="1"/>
    <col min="15" max="15" width="10" bestFit="1" customWidth="1"/>
    <col min="16" max="16" width="10.44140625" style="17" customWidth="1"/>
    <col min="17" max="17" width="11.44140625" customWidth="1"/>
    <col min="24" max="24" width="11.33203125" customWidth="1"/>
    <col min="25" max="25" width="47.88671875" bestFit="1" customWidth="1"/>
    <col min="26" max="27" width="24.109375" bestFit="1" customWidth="1"/>
  </cols>
  <sheetData>
    <row r="1" spans="1:28" x14ac:dyDescent="0.25">
      <c r="A1" s="2" t="s">
        <v>61</v>
      </c>
      <c r="B1" s="26" t="s">
        <v>113</v>
      </c>
      <c r="C1" s="3" t="s">
        <v>79</v>
      </c>
      <c r="D1" s="3" t="s">
        <v>80</v>
      </c>
      <c r="E1" s="3" t="s">
        <v>10</v>
      </c>
      <c r="F1" s="3" t="s">
        <v>10</v>
      </c>
      <c r="G1" s="3" t="s">
        <v>15</v>
      </c>
      <c r="H1" s="3" t="s">
        <v>15</v>
      </c>
      <c r="I1" s="26" t="s">
        <v>29</v>
      </c>
      <c r="J1" s="3" t="s">
        <v>29</v>
      </c>
      <c r="K1" s="3" t="s">
        <v>21</v>
      </c>
      <c r="L1" s="26" t="s">
        <v>65</v>
      </c>
      <c r="M1" s="88" t="s">
        <v>65</v>
      </c>
      <c r="N1" s="87" t="s">
        <v>105</v>
      </c>
      <c r="O1" s="84" t="s">
        <v>106</v>
      </c>
      <c r="P1" s="86" t="s">
        <v>109</v>
      </c>
      <c r="R1" s="17"/>
      <c r="AA1" s="32"/>
    </row>
    <row r="2" spans="1:28" ht="13.8" thickBot="1" x14ac:dyDescent="0.3">
      <c r="B2" s="3"/>
      <c r="C2" s="3"/>
      <c r="D2" s="3"/>
      <c r="E2" s="3" t="s">
        <v>35</v>
      </c>
      <c r="F2" s="3" t="s">
        <v>36</v>
      </c>
      <c r="G2" s="3" t="s">
        <v>16</v>
      </c>
      <c r="H2" s="3" t="s">
        <v>17</v>
      </c>
      <c r="I2" s="3" t="s">
        <v>16</v>
      </c>
      <c r="J2" s="3" t="s">
        <v>17</v>
      </c>
      <c r="K2" s="3"/>
      <c r="L2" s="3" t="s">
        <v>66</v>
      </c>
      <c r="M2" s="87" t="s">
        <v>16</v>
      </c>
      <c r="N2" s="87"/>
      <c r="O2" s="17"/>
      <c r="R2" s="17"/>
      <c r="T2" s="2" t="s">
        <v>208</v>
      </c>
      <c r="V2" s="2" t="s">
        <v>23</v>
      </c>
      <c r="Y2" s="2" t="s">
        <v>209</v>
      </c>
      <c r="AA2" s="32"/>
    </row>
    <row r="3" spans="1:28" ht="13.8" thickBot="1" x14ac:dyDescent="0.3">
      <c r="B3" s="3"/>
      <c r="C3" s="3"/>
      <c r="D3" s="3"/>
      <c r="M3" s="17"/>
      <c r="N3" s="17"/>
      <c r="O3" s="17"/>
      <c r="R3" s="17"/>
      <c r="T3" s="92" t="s">
        <v>210</v>
      </c>
      <c r="U3">
        <v>201</v>
      </c>
      <c r="V3" s="93">
        <v>0.1</v>
      </c>
      <c r="Y3" s="66"/>
      <c r="Z3" s="66"/>
      <c r="AA3" s="104"/>
    </row>
    <row r="4" spans="1:28" ht="16.2" thickBot="1" x14ac:dyDescent="0.3">
      <c r="A4" s="17" t="s">
        <v>11</v>
      </c>
      <c r="B4" s="37">
        <v>10.75</v>
      </c>
      <c r="C4" s="37">
        <f>+$B$4</f>
        <v>10.75</v>
      </c>
      <c r="D4" s="37">
        <f>+$B$4</f>
        <v>10.75</v>
      </c>
      <c r="E4" s="37">
        <v>25</v>
      </c>
      <c r="F4" s="37">
        <v>40</v>
      </c>
      <c r="G4" s="37">
        <v>200</v>
      </c>
      <c r="H4" s="37">
        <v>90</v>
      </c>
      <c r="I4" s="37">
        <v>300</v>
      </c>
      <c r="J4" s="37">
        <v>200</v>
      </c>
      <c r="K4" s="37">
        <v>1000</v>
      </c>
      <c r="L4" s="37">
        <v>1000</v>
      </c>
      <c r="M4" s="37">
        <v>1000</v>
      </c>
      <c r="N4" s="37">
        <v>0</v>
      </c>
      <c r="O4" s="37">
        <v>4</v>
      </c>
      <c r="P4" s="37">
        <v>7.25</v>
      </c>
      <c r="R4" s="17"/>
      <c r="T4" s="92" t="s">
        <v>211</v>
      </c>
      <c r="U4">
        <v>203</v>
      </c>
      <c r="V4" s="93">
        <v>0.29799999999999999</v>
      </c>
      <c r="Y4" s="78" t="s">
        <v>96</v>
      </c>
      <c r="Z4" s="66"/>
      <c r="AA4" s="104"/>
    </row>
    <row r="5" spans="1:28" ht="14.4" thickBot="1" x14ac:dyDescent="0.3">
      <c r="A5" s="17"/>
      <c r="B5" s="38"/>
      <c r="C5" s="38"/>
      <c r="D5" s="38"/>
      <c r="E5" s="17"/>
      <c r="F5" s="17"/>
      <c r="G5" s="17"/>
      <c r="H5" s="17"/>
      <c r="I5" s="17"/>
      <c r="J5" s="17"/>
      <c r="K5" s="17"/>
      <c r="L5" s="17"/>
      <c r="M5" s="39"/>
      <c r="N5" s="17"/>
      <c r="O5" s="17"/>
      <c r="R5" s="17"/>
      <c r="T5" s="92" t="s">
        <v>212</v>
      </c>
      <c r="U5">
        <v>204</v>
      </c>
      <c r="V5" s="93">
        <v>0.46200000000000002</v>
      </c>
      <c r="Y5" s="74"/>
      <c r="Z5" s="95" t="s">
        <v>86</v>
      </c>
      <c r="AA5" s="131" t="s">
        <v>86</v>
      </c>
    </row>
    <row r="6" spans="1:28" ht="14.4" thickBot="1" x14ac:dyDescent="0.3">
      <c r="A6" s="17" t="s">
        <v>12</v>
      </c>
      <c r="B6" s="39">
        <v>8.6389999999999995E-2</v>
      </c>
      <c r="D6" s="39">
        <v>4.5650000000000003E-2</v>
      </c>
      <c r="E6" s="39">
        <v>9.6500000000000002E-2</v>
      </c>
      <c r="F6" s="39">
        <v>9.6500000000000002E-2</v>
      </c>
      <c r="G6" s="39">
        <v>3.925E-2</v>
      </c>
      <c r="H6" s="39">
        <v>4.0710000000000003E-2</v>
      </c>
      <c r="I6" s="39">
        <v>3.8240000000000003E-2</v>
      </c>
      <c r="J6" s="39">
        <v>4.0489999999999998E-2</v>
      </c>
      <c r="K6" s="39">
        <v>3.7109999999999997E-2</v>
      </c>
      <c r="L6" s="39">
        <v>3.6119999999999999E-2</v>
      </c>
      <c r="M6" s="39">
        <v>3.6119999999999999E-2</v>
      </c>
      <c r="N6" s="39">
        <v>6.9339999999999999E-2</v>
      </c>
      <c r="O6" s="39">
        <v>7.8710000000000002E-2</v>
      </c>
      <c r="P6" s="39"/>
      <c r="R6" s="17"/>
      <c r="T6" s="92" t="s">
        <v>213</v>
      </c>
      <c r="U6">
        <v>206</v>
      </c>
      <c r="V6" s="93">
        <v>0.1</v>
      </c>
      <c r="Y6" s="68"/>
      <c r="Z6" s="69" t="s">
        <v>1</v>
      </c>
      <c r="AA6" s="97" t="s">
        <v>9</v>
      </c>
      <c r="AB6" s="94" t="s">
        <v>23</v>
      </c>
    </row>
    <row r="7" spans="1:28" ht="14.4" thickBot="1" x14ac:dyDescent="0.3">
      <c r="A7" s="17" t="s">
        <v>32</v>
      </c>
      <c r="B7" s="17"/>
      <c r="C7" s="39">
        <v>0.23263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96"/>
      <c r="P7" s="96"/>
      <c r="R7" s="17"/>
      <c r="T7" s="92" t="s">
        <v>214</v>
      </c>
      <c r="U7">
        <v>207</v>
      </c>
      <c r="V7" s="93">
        <v>0.46200000000000002</v>
      </c>
      <c r="Y7" s="70" t="s">
        <v>87</v>
      </c>
      <c r="Z7" s="69"/>
      <c r="AA7" s="97"/>
    </row>
    <row r="8" spans="1:28" ht="15" thickBot="1" x14ac:dyDescent="0.3">
      <c r="A8" s="17" t="s">
        <v>33</v>
      </c>
      <c r="B8" s="17"/>
      <c r="C8" s="39">
        <v>6.1280000000000001E-2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96"/>
      <c r="P8" s="96"/>
      <c r="R8" s="17"/>
      <c r="T8" s="92" t="s">
        <v>215</v>
      </c>
      <c r="U8">
        <v>208</v>
      </c>
      <c r="V8" s="93">
        <v>0.21</v>
      </c>
      <c r="Y8" s="132" t="s">
        <v>91</v>
      </c>
      <c r="Z8" s="69"/>
      <c r="AA8" s="97"/>
    </row>
    <row r="9" spans="1:28" ht="14.4" thickBot="1" x14ac:dyDescent="0.3"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96"/>
      <c r="P9" s="96"/>
      <c r="R9" s="17"/>
      <c r="T9" s="92" t="s">
        <v>216</v>
      </c>
      <c r="U9">
        <v>209</v>
      </c>
      <c r="V9" s="93">
        <v>1.18</v>
      </c>
      <c r="X9">
        <v>452</v>
      </c>
      <c r="Y9" s="133" t="s">
        <v>217</v>
      </c>
      <c r="Z9" s="316">
        <v>13.78</v>
      </c>
      <c r="AA9" s="98">
        <v>13.78</v>
      </c>
      <c r="AB9">
        <f>VLOOKUP($X9,$U$3:$V$99,2,FALSE)</f>
        <v>0.18099999999999999</v>
      </c>
    </row>
    <row r="10" spans="1:28" ht="14.4" thickBot="1" x14ac:dyDescent="0.3">
      <c r="A10" s="17"/>
      <c r="B10" s="17"/>
      <c r="C10" s="39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96"/>
      <c r="P10" s="96"/>
      <c r="R10" s="17"/>
      <c r="T10" s="92" t="s">
        <v>218</v>
      </c>
      <c r="U10">
        <v>210</v>
      </c>
      <c r="V10" s="93">
        <v>1.18</v>
      </c>
      <c r="X10">
        <v>453</v>
      </c>
      <c r="Y10" s="134" t="s">
        <v>219</v>
      </c>
      <c r="Z10" s="315">
        <v>16.170000000000002</v>
      </c>
      <c r="AA10" s="99">
        <v>16.170000000000002</v>
      </c>
      <c r="AB10">
        <f>VLOOKUP($X10,$U$3:$V$99,2,FALSE)</f>
        <v>0.29399999999999998</v>
      </c>
    </row>
    <row r="11" spans="1:28" ht="14.4" thickBot="1" x14ac:dyDescent="0.3">
      <c r="A11" s="17" t="s">
        <v>13</v>
      </c>
      <c r="B11" s="17"/>
      <c r="D11" s="17"/>
      <c r="E11" s="17"/>
      <c r="F11" s="17"/>
      <c r="G11" s="17"/>
      <c r="H11" s="17"/>
      <c r="I11" s="38"/>
      <c r="J11" s="38"/>
      <c r="K11" s="41"/>
      <c r="L11" s="41"/>
      <c r="M11" s="41"/>
      <c r="N11" s="17"/>
      <c r="O11" s="83"/>
      <c r="P11" s="83"/>
      <c r="R11" s="17"/>
      <c r="T11" s="92" t="s">
        <v>220</v>
      </c>
      <c r="U11">
        <v>252</v>
      </c>
      <c r="V11" s="93">
        <v>0.21</v>
      </c>
      <c r="X11">
        <v>454</v>
      </c>
      <c r="Y11" s="73" t="s">
        <v>138</v>
      </c>
      <c r="Z11" s="315">
        <v>18.61</v>
      </c>
      <c r="AA11" s="99">
        <v>18.61</v>
      </c>
      <c r="AB11">
        <f>VLOOKUP($X11,$U$3:$V$99,2,FALSE)</f>
        <v>0.47099999999999997</v>
      </c>
    </row>
    <row r="12" spans="1:28" ht="14.4" thickBot="1" x14ac:dyDescent="0.3">
      <c r="A12" s="82" t="s">
        <v>54</v>
      </c>
      <c r="B12" s="17"/>
      <c r="C12" s="17"/>
      <c r="D12" s="17"/>
      <c r="E12" s="17"/>
      <c r="F12" s="17"/>
      <c r="G12" s="40">
        <v>15.92</v>
      </c>
      <c r="H12" s="40">
        <v>18.399999999999999</v>
      </c>
      <c r="I12" s="38"/>
      <c r="J12" s="38"/>
      <c r="K12" s="41"/>
      <c r="L12" s="41"/>
      <c r="M12" s="41"/>
      <c r="N12" s="17"/>
      <c r="O12" s="83"/>
      <c r="P12" s="83"/>
      <c r="R12" s="17"/>
      <c r="T12" s="92" t="s">
        <v>221</v>
      </c>
      <c r="U12">
        <v>266</v>
      </c>
      <c r="V12" s="93">
        <v>0.29399999999999998</v>
      </c>
      <c r="X12">
        <v>455</v>
      </c>
      <c r="Y12" s="73" t="s">
        <v>139</v>
      </c>
      <c r="Z12" s="315">
        <v>14.73</v>
      </c>
      <c r="AA12" s="99">
        <v>14.73</v>
      </c>
      <c r="AB12">
        <f t="shared" ref="AB12:AB19" si="0">VLOOKUP($X12,$U$3:$V$99,2,FALSE)</f>
        <v>0.18099999999999999</v>
      </c>
    </row>
    <row r="13" spans="1:28" ht="14.4" thickBot="1" x14ac:dyDescent="0.3">
      <c r="A13" s="82" t="s">
        <v>55</v>
      </c>
      <c r="B13" s="17"/>
      <c r="C13" s="17"/>
      <c r="D13" s="17"/>
      <c r="E13" s="17"/>
      <c r="F13" s="17"/>
      <c r="G13" s="40">
        <v>13.63</v>
      </c>
      <c r="H13" s="40">
        <v>15.99</v>
      </c>
      <c r="I13" s="38"/>
      <c r="J13" s="38"/>
      <c r="K13" s="41"/>
      <c r="L13" s="41"/>
      <c r="M13" s="41"/>
      <c r="N13" s="17"/>
      <c r="O13" s="83"/>
      <c r="P13" s="83"/>
      <c r="R13" s="17"/>
      <c r="T13" s="92" t="s">
        <v>222</v>
      </c>
      <c r="U13">
        <v>267</v>
      </c>
      <c r="V13" s="93">
        <v>0.47099999999999997</v>
      </c>
      <c r="X13">
        <v>456</v>
      </c>
      <c r="Y13" s="73" t="s">
        <v>140</v>
      </c>
      <c r="Z13" s="315">
        <v>19.440000000000001</v>
      </c>
      <c r="AA13" s="99">
        <v>19.440000000000001</v>
      </c>
      <c r="AB13">
        <f t="shared" si="0"/>
        <v>0.47099999999999997</v>
      </c>
    </row>
    <row r="14" spans="1:28" ht="14.4" thickBot="1" x14ac:dyDescent="0.3">
      <c r="A14" s="17" t="s">
        <v>32</v>
      </c>
      <c r="B14" s="17"/>
      <c r="C14" s="17"/>
      <c r="D14" s="41">
        <v>12.38</v>
      </c>
      <c r="E14" s="17"/>
      <c r="F14" s="17"/>
      <c r="G14" s="17"/>
      <c r="H14" s="17"/>
      <c r="I14" s="37">
        <v>5.26</v>
      </c>
      <c r="J14" s="37">
        <v>6.74</v>
      </c>
      <c r="K14" s="41">
        <v>4.8499999999999996</v>
      </c>
      <c r="L14" s="41">
        <v>3.42</v>
      </c>
      <c r="M14" s="41">
        <v>3.42</v>
      </c>
      <c r="N14" s="17"/>
      <c r="O14" s="96"/>
      <c r="P14" s="96"/>
      <c r="Q14" s="83"/>
      <c r="R14" s="17"/>
      <c r="T14" s="92" t="s">
        <v>223</v>
      </c>
      <c r="U14">
        <v>274</v>
      </c>
      <c r="V14" s="93">
        <v>0.11700000000000001</v>
      </c>
      <c r="X14">
        <v>457</v>
      </c>
      <c r="Y14" s="73" t="s">
        <v>141</v>
      </c>
      <c r="Z14" s="315">
        <v>11.93</v>
      </c>
      <c r="AA14" s="99">
        <v>11.93</v>
      </c>
      <c r="AB14">
        <f t="shared" si="0"/>
        <v>0.11700000000000001</v>
      </c>
    </row>
    <row r="15" spans="1:28" ht="14.4" thickBot="1" x14ac:dyDescent="0.3">
      <c r="A15" s="17" t="s">
        <v>31</v>
      </c>
      <c r="B15" s="17"/>
      <c r="C15" s="17"/>
      <c r="D15" s="41"/>
      <c r="E15" s="17"/>
      <c r="F15" s="17"/>
      <c r="G15" s="17"/>
      <c r="H15" s="17"/>
      <c r="I15" s="37">
        <v>3.91</v>
      </c>
      <c r="J15" s="37">
        <v>5.0999999999999996</v>
      </c>
      <c r="K15" s="41">
        <v>3.3</v>
      </c>
      <c r="L15" s="41">
        <v>2.37</v>
      </c>
      <c r="M15" s="41">
        <v>2.37</v>
      </c>
      <c r="N15" s="17"/>
      <c r="O15" s="83"/>
      <c r="P15" s="83"/>
      <c r="Q15" s="83"/>
      <c r="R15" s="17"/>
      <c r="T15" s="92" t="s">
        <v>224</v>
      </c>
      <c r="U15">
        <v>275</v>
      </c>
      <c r="V15" s="93">
        <v>0.18099999999999999</v>
      </c>
      <c r="Y15" s="67"/>
      <c r="Z15" s="317"/>
      <c r="AA15" s="100"/>
    </row>
    <row r="16" spans="1:28" ht="15" thickBot="1" x14ac:dyDescent="0.3">
      <c r="A16" s="17" t="s">
        <v>33</v>
      </c>
      <c r="B16" s="17"/>
      <c r="C16" s="17"/>
      <c r="D16" s="41">
        <v>3.25</v>
      </c>
      <c r="E16" s="17"/>
      <c r="F16" s="17"/>
      <c r="G16" s="17"/>
      <c r="H16" s="17"/>
      <c r="I16" s="37">
        <v>3.75</v>
      </c>
      <c r="J16" s="37">
        <v>4.5999999999999996</v>
      </c>
      <c r="K16" s="41">
        <v>3.05</v>
      </c>
      <c r="L16" s="41">
        <v>1.62</v>
      </c>
      <c r="M16" s="41">
        <v>2.37</v>
      </c>
      <c r="N16" s="17"/>
      <c r="O16" s="96"/>
      <c r="P16" s="96"/>
      <c r="Q16" s="17"/>
      <c r="R16" s="17"/>
      <c r="T16" s="92" t="s">
        <v>225</v>
      </c>
      <c r="U16">
        <v>276</v>
      </c>
      <c r="V16" s="93">
        <v>8.3000000000000004E-2</v>
      </c>
      <c r="Y16" s="71" t="s">
        <v>89</v>
      </c>
      <c r="Z16" s="318"/>
      <c r="AA16" s="97"/>
    </row>
    <row r="17" spans="1:28" ht="14.4" thickBot="1" x14ac:dyDescent="0.3">
      <c r="A17" s="17"/>
      <c r="B17" s="17"/>
      <c r="C17" s="17"/>
      <c r="D17" s="17"/>
      <c r="E17" s="17"/>
      <c r="F17" s="17"/>
      <c r="G17" s="17"/>
      <c r="H17" s="17"/>
      <c r="I17" s="37"/>
      <c r="J17" s="37"/>
      <c r="K17" s="41"/>
      <c r="L17" s="41"/>
      <c r="M17" s="41"/>
      <c r="N17" s="17"/>
      <c r="O17" s="96"/>
      <c r="P17" s="96"/>
      <c r="Q17" s="17"/>
      <c r="R17" s="17"/>
      <c r="T17" s="92" t="s">
        <v>226</v>
      </c>
      <c r="U17">
        <v>277</v>
      </c>
      <c r="V17" s="93">
        <v>0.18099999999999999</v>
      </c>
      <c r="X17">
        <v>470</v>
      </c>
      <c r="Y17" s="72" t="s">
        <v>142</v>
      </c>
      <c r="Z17" s="316">
        <v>13.81</v>
      </c>
      <c r="AA17" s="98">
        <v>13.81</v>
      </c>
      <c r="AB17">
        <f t="shared" si="0"/>
        <v>0.15</v>
      </c>
    </row>
    <row r="18" spans="1:28" ht="14.4" thickBot="1" x14ac:dyDescent="0.3">
      <c r="A18" s="166" t="s">
        <v>302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Q18" s="17"/>
      <c r="R18" s="17"/>
      <c r="T18" s="92" t="s">
        <v>227</v>
      </c>
      <c r="U18">
        <v>278</v>
      </c>
      <c r="V18" s="93">
        <v>1</v>
      </c>
      <c r="X18">
        <v>473</v>
      </c>
      <c r="Y18" s="67" t="s">
        <v>143</v>
      </c>
      <c r="Z18" s="319">
        <v>19.89</v>
      </c>
      <c r="AA18" s="102">
        <v>19.89</v>
      </c>
      <c r="AB18">
        <f t="shared" si="0"/>
        <v>0.35</v>
      </c>
    </row>
    <row r="19" spans="1:28" ht="14.4" thickBot="1" x14ac:dyDescent="0.3">
      <c r="A19" s="166" t="s">
        <v>303</v>
      </c>
      <c r="B19" s="212">
        <v>957</v>
      </c>
      <c r="C19" s="212">
        <v>949</v>
      </c>
      <c r="D19" s="212">
        <v>0</v>
      </c>
      <c r="E19" s="212">
        <f>415089458/344482</f>
        <v>1204.9670461736753</v>
      </c>
      <c r="F19" s="212">
        <f>943289763/198362</f>
        <v>4755.3955041792278</v>
      </c>
      <c r="G19" s="212">
        <v>191317</v>
      </c>
      <c r="H19" s="212">
        <v>55311</v>
      </c>
      <c r="I19" s="212">
        <v>1460258</v>
      </c>
      <c r="J19" s="212">
        <v>242209</v>
      </c>
      <c r="K19" s="212">
        <v>7356472</v>
      </c>
      <c r="L19" s="212">
        <v>0</v>
      </c>
      <c r="M19" s="212">
        <v>0</v>
      </c>
      <c r="N19" s="212">
        <v>1675</v>
      </c>
      <c r="O19" s="212">
        <v>286</v>
      </c>
      <c r="P19" s="401">
        <v>0</v>
      </c>
      <c r="Q19" s="17"/>
      <c r="R19" s="17"/>
      <c r="T19" s="92" t="s">
        <v>228</v>
      </c>
      <c r="U19">
        <v>279</v>
      </c>
      <c r="V19" s="93">
        <v>1</v>
      </c>
      <c r="X19">
        <v>476</v>
      </c>
      <c r="Y19" s="76" t="s">
        <v>144</v>
      </c>
      <c r="Z19" s="320">
        <v>42.04</v>
      </c>
      <c r="AA19" s="103">
        <v>42.04</v>
      </c>
      <c r="AB19">
        <f t="shared" si="0"/>
        <v>1.08</v>
      </c>
    </row>
    <row r="20" spans="1:28" ht="14.4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83"/>
      <c r="P20" s="83"/>
      <c r="Q20" s="17"/>
      <c r="R20" s="17"/>
      <c r="T20" s="92" t="s">
        <v>229</v>
      </c>
      <c r="U20">
        <v>280</v>
      </c>
      <c r="V20" s="93">
        <v>8.3000000000000004E-2</v>
      </c>
      <c r="Y20" s="374"/>
      <c r="Z20" s="375"/>
      <c r="AA20" s="376"/>
    </row>
    <row r="21" spans="1:28" ht="15" thickBot="1" x14ac:dyDescent="0.3">
      <c r="I21" s="58"/>
      <c r="N21" s="17"/>
      <c r="O21" s="17"/>
      <c r="Q21" s="17"/>
      <c r="R21" s="17"/>
      <c r="T21" s="92" t="s">
        <v>230</v>
      </c>
      <c r="U21">
        <v>281</v>
      </c>
      <c r="V21" s="93">
        <v>0.11700000000000001</v>
      </c>
      <c r="Y21" s="377" t="s">
        <v>397</v>
      </c>
      <c r="Z21" s="375"/>
      <c r="AA21" s="376"/>
    </row>
    <row r="22" spans="1:28" ht="14.4" thickBot="1" x14ac:dyDescent="0.3">
      <c r="A22" s="2" t="s">
        <v>62</v>
      </c>
      <c r="B22" s="26" t="s">
        <v>113</v>
      </c>
      <c r="C22" s="3" t="s">
        <v>79</v>
      </c>
      <c r="D22" s="3" t="s">
        <v>80</v>
      </c>
      <c r="E22" s="3" t="s">
        <v>10</v>
      </c>
      <c r="F22" s="3" t="s">
        <v>10</v>
      </c>
      <c r="G22" s="3" t="s">
        <v>15</v>
      </c>
      <c r="H22" s="3" t="s">
        <v>15</v>
      </c>
      <c r="I22" s="343" t="s">
        <v>29</v>
      </c>
      <c r="J22" s="3" t="s">
        <v>29</v>
      </c>
      <c r="K22" s="3" t="s">
        <v>21</v>
      </c>
      <c r="L22" s="26" t="s">
        <v>65</v>
      </c>
      <c r="M22" s="88" t="s">
        <v>65</v>
      </c>
      <c r="N22" s="87" t="s">
        <v>105</v>
      </c>
      <c r="O22" s="84" t="s">
        <v>106</v>
      </c>
      <c r="P22" s="86" t="s">
        <v>109</v>
      </c>
      <c r="R22" s="17"/>
      <c r="T22" s="92" t="s">
        <v>231</v>
      </c>
      <c r="U22">
        <v>282</v>
      </c>
      <c r="V22" s="93">
        <v>8.3000000000000004E-2</v>
      </c>
      <c r="X22">
        <v>490</v>
      </c>
      <c r="Y22" s="374" t="s">
        <v>398</v>
      </c>
      <c r="Z22" s="375">
        <v>14.62</v>
      </c>
      <c r="AA22" s="376">
        <v>14.62</v>
      </c>
      <c r="AB22">
        <f t="shared" ref="AB22:AB25" si="1">VLOOKUP($X22,$U$3:$V$99,2,FALSE)</f>
        <v>0.08</v>
      </c>
    </row>
    <row r="23" spans="1:28" ht="14.4" thickBot="1" x14ac:dyDescent="0.3">
      <c r="B23" s="3"/>
      <c r="C23" s="3"/>
      <c r="D23" s="3"/>
      <c r="E23" s="3" t="s">
        <v>35</v>
      </c>
      <c r="F23" s="3" t="s">
        <v>36</v>
      </c>
      <c r="G23" s="3" t="s">
        <v>16</v>
      </c>
      <c r="H23" s="3" t="s">
        <v>17</v>
      </c>
      <c r="I23" s="343" t="s">
        <v>16</v>
      </c>
      <c r="J23" s="3" t="s">
        <v>17</v>
      </c>
      <c r="K23" s="3"/>
      <c r="L23" s="3" t="s">
        <v>66</v>
      </c>
      <c r="M23" s="87" t="s">
        <v>16</v>
      </c>
      <c r="N23" s="87"/>
      <c r="O23" s="17"/>
      <c r="R23" s="17"/>
      <c r="T23" s="92" t="s">
        <v>232</v>
      </c>
      <c r="U23">
        <v>283</v>
      </c>
      <c r="V23" s="93">
        <v>0.11700000000000001</v>
      </c>
      <c r="X23">
        <v>491</v>
      </c>
      <c r="Y23" s="374" t="s">
        <v>399</v>
      </c>
      <c r="Z23" s="375">
        <v>17.73</v>
      </c>
      <c r="AA23" s="376">
        <v>17.73</v>
      </c>
      <c r="AB23">
        <f t="shared" si="1"/>
        <v>0.13400000000000001</v>
      </c>
    </row>
    <row r="24" spans="1:28" ht="14.4" thickBot="1" x14ac:dyDescent="0.3">
      <c r="A24" s="8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Q24" s="17"/>
      <c r="R24" s="17"/>
      <c r="T24" s="92" t="s">
        <v>233</v>
      </c>
      <c r="U24">
        <v>314</v>
      </c>
      <c r="V24" s="93">
        <v>0.29799999999999999</v>
      </c>
      <c r="X24">
        <v>492</v>
      </c>
      <c r="Y24" s="374" t="s">
        <v>400</v>
      </c>
      <c r="Z24" s="375">
        <v>27.18</v>
      </c>
      <c r="AA24" s="376">
        <v>27.18</v>
      </c>
      <c r="AB24">
        <f t="shared" si="1"/>
        <v>0.22800000000000001</v>
      </c>
    </row>
    <row r="25" spans="1:28" ht="14.4" thickBot="1" x14ac:dyDescent="0.3">
      <c r="A25" s="17" t="s">
        <v>11</v>
      </c>
      <c r="B25" s="37">
        <v>22</v>
      </c>
      <c r="C25" s="37">
        <v>22</v>
      </c>
      <c r="D25" s="37">
        <v>22</v>
      </c>
      <c r="E25" s="37">
        <v>31.5</v>
      </c>
      <c r="F25" s="37">
        <v>50.4</v>
      </c>
      <c r="G25" s="37">
        <v>240</v>
      </c>
      <c r="H25" s="37">
        <v>90</v>
      </c>
      <c r="I25" s="37">
        <v>330</v>
      </c>
      <c r="J25" s="37">
        <v>200</v>
      </c>
      <c r="K25" s="37">
        <v>1400</v>
      </c>
      <c r="L25" s="37">
        <v>1400</v>
      </c>
      <c r="M25" s="37">
        <v>330</v>
      </c>
      <c r="N25" s="37">
        <v>0</v>
      </c>
      <c r="O25" s="37">
        <v>4</v>
      </c>
      <c r="P25" s="425">
        <v>7.25</v>
      </c>
      <c r="Q25" s="17"/>
      <c r="R25" s="17"/>
      <c r="T25" s="92" t="s">
        <v>234</v>
      </c>
      <c r="U25">
        <v>315</v>
      </c>
      <c r="V25" s="93">
        <v>0.46200000000000002</v>
      </c>
      <c r="X25">
        <v>493</v>
      </c>
      <c r="Y25" s="374" t="s">
        <v>401</v>
      </c>
      <c r="Z25" s="375">
        <v>9.65</v>
      </c>
      <c r="AA25" s="376">
        <v>9.65</v>
      </c>
      <c r="AB25">
        <f t="shared" si="1"/>
        <v>0.05</v>
      </c>
    </row>
    <row r="26" spans="1:28" ht="14.4" thickBot="1" x14ac:dyDescent="0.3">
      <c r="A26" s="17"/>
      <c r="B26" s="292"/>
      <c r="C26" s="292"/>
      <c r="D26" s="292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Q26" s="17"/>
      <c r="R26" s="17"/>
      <c r="T26" s="92" t="s">
        <v>235</v>
      </c>
      <c r="U26">
        <v>318</v>
      </c>
      <c r="V26" s="93">
        <v>0.21</v>
      </c>
      <c r="X26" t="s">
        <v>145</v>
      </c>
      <c r="Y26" s="68"/>
      <c r="Z26" s="318"/>
      <c r="AA26" s="97"/>
    </row>
    <row r="27" spans="1:28" ht="14.4" thickBot="1" x14ac:dyDescent="0.3">
      <c r="A27" s="17" t="s">
        <v>12</v>
      </c>
      <c r="B27" s="404">
        <f>0.0479+0.03681</f>
        <v>8.4710000000000008E-2</v>
      </c>
      <c r="C27" s="39"/>
      <c r="D27" s="404">
        <v>3.6810000000000002E-2</v>
      </c>
      <c r="E27" s="404">
        <v>0.1023</v>
      </c>
      <c r="F27" s="404">
        <f>E27</f>
        <v>0.1023</v>
      </c>
      <c r="G27" s="39">
        <v>3.925E-2</v>
      </c>
      <c r="H27" s="39">
        <v>4.0710000000000003E-2</v>
      </c>
      <c r="I27" s="39">
        <v>3.8240000000000003E-2</v>
      </c>
      <c r="J27" s="39">
        <v>4.0489999999999998E-2</v>
      </c>
      <c r="K27" s="39">
        <v>3.7109999999999997E-2</v>
      </c>
      <c r="L27" s="39">
        <v>3.7109999999999997E-2</v>
      </c>
      <c r="M27" s="404">
        <v>3.8240000000000003E-2</v>
      </c>
      <c r="N27" s="39">
        <v>6.9339999999999999E-2</v>
      </c>
      <c r="O27" s="39">
        <v>8.5330000000000003E-2</v>
      </c>
      <c r="P27" s="39"/>
      <c r="Q27" s="17"/>
      <c r="R27" s="17"/>
      <c r="T27" s="92" t="s">
        <v>236</v>
      </c>
      <c r="U27">
        <v>348</v>
      </c>
      <c r="V27" s="93">
        <v>0.44700000000000001</v>
      </c>
      <c r="Y27" s="70" t="s">
        <v>90</v>
      </c>
      <c r="Z27" s="318"/>
      <c r="AA27" s="97"/>
    </row>
    <row r="28" spans="1:28" ht="15" thickBot="1" x14ac:dyDescent="0.3">
      <c r="A28" s="17" t="s">
        <v>32</v>
      </c>
      <c r="B28" s="39"/>
      <c r="C28" s="39">
        <v>0.23263</v>
      </c>
      <c r="D28" s="39"/>
      <c r="E28" s="39"/>
      <c r="F28" s="39"/>
      <c r="G28" s="39"/>
      <c r="H28" s="39"/>
      <c r="I28" s="39"/>
      <c r="J28" s="39"/>
      <c r="K28" s="39"/>
      <c r="L28" s="17"/>
      <c r="M28" s="17"/>
      <c r="N28" s="17"/>
      <c r="O28" s="17"/>
      <c r="Q28" s="17"/>
      <c r="R28" s="17"/>
      <c r="T28" s="92" t="s">
        <v>237</v>
      </c>
      <c r="U28">
        <v>349</v>
      </c>
      <c r="V28" s="93">
        <v>0.10199999999999999</v>
      </c>
      <c r="Y28" s="71" t="s">
        <v>88</v>
      </c>
      <c r="Z28" s="321"/>
      <c r="AA28" s="101"/>
    </row>
    <row r="29" spans="1:28" ht="14.4" thickBot="1" x14ac:dyDescent="0.3">
      <c r="A29" s="295" t="s">
        <v>31</v>
      </c>
      <c r="B29" s="39"/>
      <c r="C29" s="39">
        <v>0.23263</v>
      </c>
      <c r="D29" s="39"/>
      <c r="E29" s="39"/>
      <c r="F29" s="39"/>
      <c r="G29" s="39"/>
      <c r="H29" s="39"/>
      <c r="I29" s="39"/>
      <c r="J29" s="39"/>
      <c r="K29" s="39"/>
      <c r="L29" s="17"/>
      <c r="M29" s="17"/>
      <c r="N29" s="17"/>
      <c r="O29" s="17"/>
      <c r="P29" s="25"/>
      <c r="Q29" s="17"/>
      <c r="R29" s="17"/>
      <c r="T29" s="135" t="s">
        <v>238</v>
      </c>
      <c r="U29">
        <v>400</v>
      </c>
      <c r="V29" s="93">
        <v>0.06</v>
      </c>
      <c r="X29">
        <v>412</v>
      </c>
      <c r="Y29" s="72" t="s">
        <v>146</v>
      </c>
      <c r="Z29" s="316">
        <v>20.82</v>
      </c>
      <c r="AA29" s="98">
        <v>22.3</v>
      </c>
      <c r="AB29">
        <f>VLOOKUP($X29,$U$3:$V$99,2,FALSE)</f>
        <v>8.3000000000000004E-2</v>
      </c>
    </row>
    <row r="30" spans="1:28" ht="14.4" thickBot="1" x14ac:dyDescent="0.3">
      <c r="A30" s="17" t="s">
        <v>33</v>
      </c>
      <c r="B30" s="39"/>
      <c r="C30" s="404">
        <v>5.8500000000000003E-2</v>
      </c>
      <c r="D30" s="39"/>
      <c r="E30" s="39"/>
      <c r="F30" s="39"/>
      <c r="G30" s="39"/>
      <c r="H30" s="39"/>
      <c r="I30" s="39"/>
      <c r="J30" s="39"/>
      <c r="K30" s="39"/>
      <c r="L30" s="17"/>
      <c r="M30" s="17"/>
      <c r="N30" s="17"/>
      <c r="O30" s="17"/>
      <c r="P30" s="25"/>
      <c r="Q30" s="17"/>
      <c r="R30" s="17"/>
      <c r="T30" s="92" t="s">
        <v>239</v>
      </c>
      <c r="U30">
        <v>401</v>
      </c>
      <c r="V30" s="93">
        <v>0.11700000000000001</v>
      </c>
      <c r="X30">
        <v>413</v>
      </c>
      <c r="Y30" s="73" t="s">
        <v>147</v>
      </c>
      <c r="Z30" s="315">
        <v>21.56</v>
      </c>
      <c r="AA30" s="99">
        <v>22.85</v>
      </c>
      <c r="AB30">
        <f>VLOOKUP($X30,$U$3:$V$99,2,FALSE)</f>
        <v>0.11700000000000001</v>
      </c>
    </row>
    <row r="31" spans="1:28" ht="14.4" thickBot="1" x14ac:dyDescent="0.3">
      <c r="A31" s="17"/>
      <c r="B31" s="17"/>
      <c r="C31" s="39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96"/>
      <c r="Q31" s="17"/>
      <c r="R31" s="17"/>
      <c r="T31" s="92" t="s">
        <v>240</v>
      </c>
      <c r="U31">
        <v>412</v>
      </c>
      <c r="V31" s="93">
        <v>8.3000000000000004E-2</v>
      </c>
      <c r="X31">
        <v>444</v>
      </c>
      <c r="Y31" s="73" t="s">
        <v>148</v>
      </c>
      <c r="Z31" s="369">
        <v>21.69</v>
      </c>
      <c r="AA31" s="99">
        <v>24.06</v>
      </c>
      <c r="AB31">
        <v>0.18099999999999999</v>
      </c>
    </row>
    <row r="32" spans="1:28" ht="14.4" thickBot="1" x14ac:dyDescent="0.3">
      <c r="A32" s="17" t="s">
        <v>13</v>
      </c>
      <c r="B32" s="17"/>
      <c r="C32" s="39"/>
      <c r="D32" s="17"/>
      <c r="E32" s="17"/>
      <c r="F32" s="40"/>
      <c r="G32" s="17"/>
      <c r="H32" s="17"/>
      <c r="I32" s="292"/>
      <c r="J32" s="292"/>
      <c r="K32" s="41"/>
      <c r="L32" s="41"/>
      <c r="M32" s="41"/>
      <c r="N32" s="17"/>
      <c r="O32" s="83"/>
      <c r="P32" s="25"/>
      <c r="Q32" s="17"/>
      <c r="R32" s="17"/>
      <c r="T32" s="135" t="s">
        <v>241</v>
      </c>
      <c r="U32">
        <v>413</v>
      </c>
      <c r="V32" s="93">
        <v>0.11700000000000001</v>
      </c>
      <c r="X32">
        <v>415</v>
      </c>
      <c r="Y32" s="73" t="s">
        <v>149</v>
      </c>
      <c r="Z32" s="315">
        <v>21.21</v>
      </c>
      <c r="AA32" s="99">
        <v>24.47</v>
      </c>
      <c r="AB32">
        <f>VLOOKUP($X32,$U$3:$V$99,2,FALSE)</f>
        <v>8.3000000000000004E-2</v>
      </c>
    </row>
    <row r="33" spans="1:28" ht="14.4" thickBot="1" x14ac:dyDescent="0.3">
      <c r="A33" s="82" t="s">
        <v>54</v>
      </c>
      <c r="B33" s="17"/>
      <c r="C33" s="17"/>
      <c r="D33" s="17"/>
      <c r="E33" s="17"/>
      <c r="F33" s="17"/>
      <c r="G33" s="40">
        <v>18.64</v>
      </c>
      <c r="H33" s="40">
        <v>20.93</v>
      </c>
      <c r="I33" s="292"/>
      <c r="J33" s="292"/>
      <c r="K33" s="41"/>
      <c r="L33" s="41"/>
      <c r="M33" s="41"/>
      <c r="N33" s="17"/>
      <c r="O33" s="83"/>
      <c r="P33" s="25"/>
      <c r="Q33" s="17"/>
      <c r="R33" s="17"/>
      <c r="T33" s="92" t="s">
        <v>242</v>
      </c>
      <c r="U33">
        <v>415</v>
      </c>
      <c r="V33" s="93">
        <v>8.3000000000000004E-2</v>
      </c>
      <c r="X33">
        <v>416</v>
      </c>
      <c r="Y33" s="73" t="s">
        <v>150</v>
      </c>
      <c r="Z33" s="315">
        <v>23.63</v>
      </c>
      <c r="AA33" s="99">
        <v>24.42</v>
      </c>
      <c r="AB33">
        <f>VLOOKUP($X33,$U$3:$V$99,2,FALSE)</f>
        <v>0.11700000000000001</v>
      </c>
    </row>
    <row r="34" spans="1:28" ht="14.4" thickBot="1" x14ac:dyDescent="0.3">
      <c r="A34" s="82" t="s">
        <v>55</v>
      </c>
      <c r="B34" s="17"/>
      <c r="C34" s="17"/>
      <c r="D34" s="17"/>
      <c r="E34" s="17"/>
      <c r="F34" s="17"/>
      <c r="G34" s="40">
        <v>15.96</v>
      </c>
      <c r="H34" s="40">
        <v>18.190000000000001</v>
      </c>
      <c r="I34" s="292"/>
      <c r="J34" s="292"/>
      <c r="K34" s="41"/>
      <c r="L34" s="41"/>
      <c r="M34" s="41"/>
      <c r="N34" s="17"/>
      <c r="O34" s="83"/>
      <c r="P34" s="25"/>
      <c r="Q34" s="17"/>
      <c r="R34" s="17"/>
      <c r="T34" s="92" t="s">
        <v>243</v>
      </c>
      <c r="U34">
        <v>416</v>
      </c>
      <c r="V34" s="93">
        <v>0.11700000000000001</v>
      </c>
      <c r="X34">
        <v>445</v>
      </c>
      <c r="Y34" s="73" t="s">
        <v>151</v>
      </c>
      <c r="Z34" s="315">
        <v>23.63</v>
      </c>
      <c r="AA34" s="99">
        <v>25.64</v>
      </c>
      <c r="AB34">
        <v>0.18099999999999999</v>
      </c>
    </row>
    <row r="35" spans="1:28" ht="14.4" thickBot="1" x14ac:dyDescent="0.3">
      <c r="A35" s="17" t="s">
        <v>32</v>
      </c>
      <c r="B35" s="17"/>
      <c r="C35" s="25"/>
      <c r="D35" s="17">
        <v>7.68</v>
      </c>
      <c r="E35" s="17"/>
      <c r="F35" s="17"/>
      <c r="G35" s="17"/>
      <c r="H35" s="17"/>
      <c r="I35" s="37">
        <v>6.86</v>
      </c>
      <c r="J35" s="37">
        <v>7.56</v>
      </c>
      <c r="K35" s="41">
        <v>6.98</v>
      </c>
      <c r="L35" s="41">
        <v>6.41</v>
      </c>
      <c r="M35" s="41">
        <v>6.3</v>
      </c>
      <c r="N35" s="17"/>
      <c r="O35" s="96"/>
      <c r="P35" s="25"/>
      <c r="Q35" s="17"/>
      <c r="R35" s="17"/>
      <c r="T35" s="135" t="s">
        <v>244</v>
      </c>
      <c r="U35">
        <v>417</v>
      </c>
      <c r="V35" s="93">
        <v>0.11700000000000001</v>
      </c>
      <c r="X35">
        <v>427</v>
      </c>
      <c r="Y35" s="73" t="s">
        <v>152</v>
      </c>
      <c r="Z35" s="315">
        <v>36.24</v>
      </c>
      <c r="AA35" s="99">
        <v>36.76</v>
      </c>
      <c r="AB35">
        <f t="shared" ref="AB35:AB43" si="2">VLOOKUP($X35,$U$3:$V$99,2,FALSE)</f>
        <v>8.3000000000000004E-2</v>
      </c>
    </row>
    <row r="36" spans="1:28" ht="14.4" thickBot="1" x14ac:dyDescent="0.3">
      <c r="A36" s="17" t="s">
        <v>31</v>
      </c>
      <c r="B36" s="17"/>
      <c r="C36" s="17"/>
      <c r="D36" s="17"/>
      <c r="E36" s="17"/>
      <c r="F36" s="17"/>
      <c r="G36" s="17"/>
      <c r="H36" s="17"/>
      <c r="I36" s="37">
        <v>5.03</v>
      </c>
      <c r="J36" s="37">
        <v>5.54</v>
      </c>
      <c r="K36" s="41">
        <v>5.12</v>
      </c>
      <c r="L36" s="41">
        <v>4.5599999999999996</v>
      </c>
      <c r="M36" s="41">
        <v>4.4800000000000004</v>
      </c>
      <c r="N36" s="17"/>
      <c r="O36" s="83"/>
      <c r="P36" s="25"/>
      <c r="Q36" s="17"/>
      <c r="R36" s="17"/>
      <c r="T36" s="92" t="s">
        <v>245</v>
      </c>
      <c r="U36">
        <v>419</v>
      </c>
      <c r="V36" s="93">
        <v>0.11700000000000001</v>
      </c>
      <c r="X36">
        <v>429</v>
      </c>
      <c r="Y36" s="73" t="s">
        <v>153</v>
      </c>
      <c r="Z36" s="315">
        <v>37.15</v>
      </c>
      <c r="AA36" s="99">
        <v>37.15</v>
      </c>
      <c r="AB36">
        <f t="shared" si="2"/>
        <v>0.11700000000000001</v>
      </c>
    </row>
    <row r="37" spans="1:28" ht="14.4" thickBot="1" x14ac:dyDescent="0.3">
      <c r="A37" s="170" t="s">
        <v>81</v>
      </c>
      <c r="B37" s="17"/>
      <c r="C37" s="25"/>
      <c r="D37" s="17">
        <v>3.51</v>
      </c>
      <c r="E37" s="17"/>
      <c r="F37" s="17"/>
      <c r="G37" s="17"/>
      <c r="H37" s="17"/>
      <c r="I37" s="37">
        <v>3.18</v>
      </c>
      <c r="J37" s="37">
        <v>4.84</v>
      </c>
      <c r="K37" s="41">
        <v>1.52</v>
      </c>
      <c r="L37" s="41">
        <v>1.35</v>
      </c>
      <c r="M37" s="41">
        <v>2.83</v>
      </c>
      <c r="N37" s="17"/>
      <c r="O37" s="96"/>
      <c r="P37" s="25"/>
      <c r="Q37" s="17"/>
      <c r="R37" s="17"/>
      <c r="T37" s="92" t="s">
        <v>246</v>
      </c>
      <c r="U37">
        <v>420</v>
      </c>
      <c r="V37" s="93">
        <v>0.18099999999999999</v>
      </c>
      <c r="X37">
        <v>431</v>
      </c>
      <c r="Y37" s="73" t="s">
        <v>154</v>
      </c>
      <c r="Z37" s="315">
        <v>33.97</v>
      </c>
      <c r="AA37" s="99">
        <v>36.4</v>
      </c>
      <c r="AB37">
        <f t="shared" si="2"/>
        <v>8.3000000000000004E-2</v>
      </c>
    </row>
    <row r="38" spans="1:28" ht="14.4" thickBo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83"/>
      <c r="P38" s="25"/>
      <c r="Q38" s="17"/>
      <c r="R38" s="17"/>
      <c r="T38" s="135" t="s">
        <v>247</v>
      </c>
      <c r="U38">
        <v>421</v>
      </c>
      <c r="V38" s="93">
        <v>0.29399999999999998</v>
      </c>
      <c r="X38">
        <v>433</v>
      </c>
      <c r="Y38" s="73" t="s">
        <v>155</v>
      </c>
      <c r="Z38" s="315">
        <v>36.07</v>
      </c>
      <c r="AA38" s="99">
        <v>36.72</v>
      </c>
      <c r="AB38">
        <f t="shared" si="2"/>
        <v>0.11700000000000001</v>
      </c>
    </row>
    <row r="39" spans="1:28" ht="14.4" thickBo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83"/>
      <c r="P39" s="25"/>
      <c r="Q39" s="17"/>
      <c r="R39" s="17"/>
      <c r="T39" s="92" t="s">
        <v>248</v>
      </c>
      <c r="U39">
        <v>422</v>
      </c>
      <c r="V39" s="93">
        <v>0.47099999999999997</v>
      </c>
      <c r="X39">
        <v>400</v>
      </c>
      <c r="Y39" s="73" t="s">
        <v>156</v>
      </c>
      <c r="Z39" s="315">
        <v>25.33</v>
      </c>
      <c r="AA39" s="99">
        <v>25.33</v>
      </c>
      <c r="AB39">
        <f t="shared" si="2"/>
        <v>0.06</v>
      </c>
    </row>
    <row r="40" spans="1:28" ht="14.4" thickBo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Q40" s="17"/>
      <c r="R40" s="17"/>
      <c r="T40" s="92" t="s">
        <v>249</v>
      </c>
      <c r="U40">
        <v>423</v>
      </c>
      <c r="V40" s="93">
        <v>0.18099999999999999</v>
      </c>
      <c r="X40">
        <v>401</v>
      </c>
      <c r="Y40" s="73" t="s">
        <v>157</v>
      </c>
      <c r="Z40" s="315">
        <v>25.98</v>
      </c>
      <c r="AA40" s="99">
        <v>25.98</v>
      </c>
      <c r="AB40">
        <f t="shared" si="2"/>
        <v>0.11700000000000001</v>
      </c>
    </row>
    <row r="41" spans="1:28" ht="14.4" thickBot="1" x14ac:dyDescent="0.3">
      <c r="I41" s="28"/>
      <c r="O41" s="17"/>
      <c r="Q41" s="17"/>
      <c r="R41" s="17"/>
      <c r="T41" s="135" t="s">
        <v>250</v>
      </c>
      <c r="U41">
        <v>424</v>
      </c>
      <c r="V41" s="93">
        <v>0.29399999999999998</v>
      </c>
      <c r="X41">
        <v>423</v>
      </c>
      <c r="Y41" s="73" t="s">
        <v>158</v>
      </c>
      <c r="Z41" s="315">
        <v>27.32</v>
      </c>
      <c r="AA41" s="99">
        <v>35.520000000000003</v>
      </c>
      <c r="AB41">
        <f t="shared" si="2"/>
        <v>0.18099999999999999</v>
      </c>
    </row>
    <row r="42" spans="1:28" ht="14.4" thickBot="1" x14ac:dyDescent="0.3">
      <c r="N42" s="2" t="s">
        <v>85</v>
      </c>
      <c r="O42" s="49"/>
      <c r="Q42" s="17"/>
      <c r="R42" s="17"/>
      <c r="T42" s="92" t="s">
        <v>251</v>
      </c>
      <c r="U42">
        <v>425</v>
      </c>
      <c r="V42" s="93">
        <v>0.47099999999999997</v>
      </c>
      <c r="X42">
        <v>424</v>
      </c>
      <c r="Y42" s="73" t="s">
        <v>159</v>
      </c>
      <c r="Z42" s="315">
        <v>29.55</v>
      </c>
      <c r="AA42" s="99">
        <v>38.42</v>
      </c>
      <c r="AB42">
        <f t="shared" si="2"/>
        <v>0.29399999999999998</v>
      </c>
    </row>
    <row r="43" spans="1:28" ht="14.4" thickBot="1" x14ac:dyDescent="0.3">
      <c r="A43" s="112" t="s">
        <v>420</v>
      </c>
      <c r="J43" s="2" t="s">
        <v>356</v>
      </c>
      <c r="K43" s="2"/>
      <c r="L43" s="2"/>
      <c r="M43" s="2"/>
      <c r="N43" s="3" t="s">
        <v>48</v>
      </c>
      <c r="Q43" s="17"/>
      <c r="R43" s="17"/>
      <c r="T43" s="92" t="s">
        <v>252</v>
      </c>
      <c r="U43">
        <v>426</v>
      </c>
      <c r="V43" s="93">
        <v>8.3000000000000004E-2</v>
      </c>
      <c r="X43">
        <v>425</v>
      </c>
      <c r="Y43" s="73" t="s">
        <v>160</v>
      </c>
      <c r="Z43" s="315">
        <v>35.270000000000003</v>
      </c>
      <c r="AA43" s="99">
        <v>45.85</v>
      </c>
      <c r="AB43">
        <f t="shared" si="2"/>
        <v>0.47099999999999997</v>
      </c>
    </row>
    <row r="44" spans="1:28" ht="14.4" thickBot="1" x14ac:dyDescent="0.3">
      <c r="B44" s="81" t="s">
        <v>121</v>
      </c>
      <c r="C44" s="81" t="s">
        <v>388</v>
      </c>
      <c r="D44" s="81" t="s">
        <v>119</v>
      </c>
      <c r="E44" s="81" t="s">
        <v>120</v>
      </c>
      <c r="F44" s="81" t="s">
        <v>58</v>
      </c>
      <c r="G44" s="81" t="s">
        <v>389</v>
      </c>
      <c r="H44" s="81" t="s">
        <v>122</v>
      </c>
      <c r="I44" s="81" t="s">
        <v>124</v>
      </c>
      <c r="J44" s="81" t="s">
        <v>123</v>
      </c>
      <c r="K44" s="81" t="s">
        <v>122</v>
      </c>
      <c r="L44" s="81" t="s">
        <v>124</v>
      </c>
      <c r="M44" s="81"/>
      <c r="N44" s="35" t="s">
        <v>49</v>
      </c>
      <c r="O44" s="16"/>
      <c r="Q44" s="17"/>
      <c r="R44" s="17"/>
      <c r="T44" s="135" t="s">
        <v>253</v>
      </c>
      <c r="U44">
        <v>427</v>
      </c>
      <c r="V44" s="93">
        <v>8.3000000000000004E-2</v>
      </c>
      <c r="X44">
        <v>439</v>
      </c>
      <c r="Y44" s="73" t="s">
        <v>161</v>
      </c>
      <c r="Z44" s="315">
        <v>17.420000000000002</v>
      </c>
      <c r="AA44" s="99">
        <v>17.420000000000002</v>
      </c>
      <c r="AB44">
        <v>0.18099999999999999</v>
      </c>
    </row>
    <row r="45" spans="1:28" ht="14.4" thickBot="1" x14ac:dyDescent="0.3">
      <c r="B45" s="3"/>
      <c r="C45" s="3"/>
      <c r="D45" s="3"/>
      <c r="E45" s="3"/>
      <c r="F45" s="3" t="s">
        <v>0</v>
      </c>
      <c r="G45" s="3"/>
      <c r="H45" s="3"/>
      <c r="I45" s="3"/>
      <c r="Q45" s="17"/>
      <c r="R45" s="17"/>
      <c r="T45" s="92" t="s">
        <v>254</v>
      </c>
      <c r="U45">
        <v>428</v>
      </c>
      <c r="V45" s="93">
        <v>0.11</v>
      </c>
      <c r="X45">
        <v>420</v>
      </c>
      <c r="Y45" s="73" t="s">
        <v>162</v>
      </c>
      <c r="Z45" s="315">
        <v>30.86</v>
      </c>
      <c r="AA45" s="99">
        <v>37.57</v>
      </c>
      <c r="AB45">
        <f>VLOOKUP($X45,$U$3:$V$99,2,FALSE)</f>
        <v>0.18099999999999999</v>
      </c>
    </row>
    <row r="46" spans="1:28" ht="14.4" thickBot="1" x14ac:dyDescent="0.3">
      <c r="B46" s="42"/>
      <c r="D46" s="113"/>
      <c r="N46" t="s">
        <v>37</v>
      </c>
      <c r="O46">
        <v>407</v>
      </c>
      <c r="Q46" s="17"/>
      <c r="R46" s="17"/>
      <c r="T46" s="92" t="s">
        <v>255</v>
      </c>
      <c r="U46">
        <v>429</v>
      </c>
      <c r="V46" s="93">
        <v>0.11700000000000001</v>
      </c>
      <c r="X46">
        <v>440</v>
      </c>
      <c r="Y46" s="73" t="s">
        <v>163</v>
      </c>
      <c r="Z46" s="315">
        <v>19.37</v>
      </c>
      <c r="AA46" s="99">
        <v>19.37</v>
      </c>
      <c r="AB46">
        <f>VLOOKUP($X46,$U$3:$V$99,2,FALSE)</f>
        <v>0.29399999999999998</v>
      </c>
    </row>
    <row r="47" spans="1:28" ht="14.4" thickBot="1" x14ac:dyDescent="0.3">
      <c r="B47" s="290"/>
      <c r="C47" s="113"/>
      <c r="D47" s="113"/>
      <c r="E47" s="113"/>
      <c r="F47" s="291"/>
      <c r="N47" t="s">
        <v>38</v>
      </c>
      <c r="O47">
        <v>344</v>
      </c>
      <c r="Q47" s="17"/>
      <c r="R47" s="17"/>
      <c r="T47" s="92" t="s">
        <v>256</v>
      </c>
      <c r="U47">
        <v>430</v>
      </c>
      <c r="V47" s="93">
        <v>8.3000000000000004E-2</v>
      </c>
      <c r="X47">
        <v>421</v>
      </c>
      <c r="Y47" s="73" t="s">
        <v>164</v>
      </c>
      <c r="Z47" s="315">
        <v>33.96</v>
      </c>
      <c r="AA47" s="99">
        <v>40.07</v>
      </c>
      <c r="AB47">
        <f>VLOOKUP($X47,$U$3:$V$99,2,FALSE)</f>
        <v>0.29399999999999998</v>
      </c>
    </row>
    <row r="48" spans="1:28" ht="14.4" thickBot="1" x14ac:dyDescent="0.3">
      <c r="A48" s="47" t="s">
        <v>353</v>
      </c>
      <c r="B48" s="113">
        <v>441462416</v>
      </c>
      <c r="C48" s="113">
        <f>-15239054-376364</f>
        <v>-15615418</v>
      </c>
      <c r="D48" s="127">
        <v>13769784</v>
      </c>
      <c r="E48" s="113">
        <v>35275380</v>
      </c>
      <c r="F48" s="125">
        <v>4179523067</v>
      </c>
      <c r="G48" s="126">
        <f>+C48/$F48</f>
        <v>-3.7361722257962119E-3</v>
      </c>
      <c r="H48" s="126">
        <f>+D48/$F48</f>
        <v>3.2945826064991065E-3</v>
      </c>
      <c r="I48" s="126">
        <f>+E48/$F48</f>
        <v>8.4400491239111988E-3</v>
      </c>
      <c r="J48" s="8"/>
      <c r="N48" t="s">
        <v>39</v>
      </c>
      <c r="O48">
        <v>347</v>
      </c>
      <c r="Q48" s="17"/>
      <c r="R48" s="17"/>
      <c r="T48" s="135" t="s">
        <v>257</v>
      </c>
      <c r="U48">
        <v>431</v>
      </c>
      <c r="V48" s="93">
        <v>8.3000000000000004E-2</v>
      </c>
      <c r="X48">
        <v>441</v>
      </c>
      <c r="Y48" s="73" t="s">
        <v>165</v>
      </c>
      <c r="Z48" s="315">
        <v>23.55</v>
      </c>
      <c r="AA48" s="99">
        <v>23.55</v>
      </c>
      <c r="AB48">
        <f>VLOOKUP($X48,$U$3:$V$99,2,FALSE)</f>
        <v>0.47099999999999997</v>
      </c>
    </row>
    <row r="49" spans="1:33" ht="14.4" thickBot="1" x14ac:dyDescent="0.3">
      <c r="A49" s="30" t="s">
        <v>354</v>
      </c>
      <c r="B49" s="113">
        <v>55652</v>
      </c>
      <c r="C49" s="113">
        <f>-2074-52</f>
        <v>-2126</v>
      </c>
      <c r="D49" s="127">
        <v>1674</v>
      </c>
      <c r="E49" s="113">
        <v>4288</v>
      </c>
      <c r="F49" s="125">
        <v>565764</v>
      </c>
      <c r="G49" s="126">
        <f t="shared" ref="G49" si="3">+C49/$F49</f>
        <v>-3.7577505815145538E-3</v>
      </c>
      <c r="H49" s="126">
        <f t="shared" ref="H49" si="4">+D49/$F49</f>
        <v>2.9588308906187033E-3</v>
      </c>
      <c r="I49" s="126">
        <f t="shared" ref="I49" si="5">+E49/$F49</f>
        <v>7.5791319348703697E-3</v>
      </c>
      <c r="J49" s="8"/>
      <c r="N49" t="s">
        <v>40</v>
      </c>
      <c r="O49">
        <v>301</v>
      </c>
      <c r="T49" s="92" t="s">
        <v>258</v>
      </c>
      <c r="U49">
        <v>432</v>
      </c>
      <c r="V49" s="93">
        <v>0.11700000000000001</v>
      </c>
      <c r="X49">
        <v>422</v>
      </c>
      <c r="Y49" s="73" t="s">
        <v>166</v>
      </c>
      <c r="Z49" s="315">
        <v>39.630000000000003</v>
      </c>
      <c r="AA49" s="99">
        <v>43.12</v>
      </c>
      <c r="AB49">
        <f>VLOOKUP($X49,$U$3:$V$99,2,FALSE)</f>
        <v>0.47099999999999997</v>
      </c>
    </row>
    <row r="50" spans="1:33" ht="14.4" thickBot="1" x14ac:dyDescent="0.3">
      <c r="A50" s="59" t="s">
        <v>77</v>
      </c>
      <c r="B50" s="323">
        <v>55536602</v>
      </c>
      <c r="C50" s="113">
        <f>-1535208-37633</f>
        <v>-1572841</v>
      </c>
      <c r="D50" s="127">
        <v>1160929</v>
      </c>
      <c r="E50" s="113">
        <v>7280319</v>
      </c>
      <c r="F50" s="128">
        <v>415089458</v>
      </c>
      <c r="G50" s="126">
        <f t="shared" ref="G50:G56" si="6">+C50/$F50</f>
        <v>-3.7891615161182919E-3</v>
      </c>
      <c r="H50" s="126">
        <f t="shared" ref="H50:H56" si="7">+D50/$F50</f>
        <v>2.7968163913235301E-3</v>
      </c>
      <c r="I50" s="126">
        <f t="shared" ref="I50:I56" si="8">+E50/$F50</f>
        <v>1.7539156583446645E-2</v>
      </c>
      <c r="J50" s="8"/>
      <c r="N50" t="s">
        <v>41</v>
      </c>
      <c r="O50">
        <v>281</v>
      </c>
      <c r="T50" s="92" t="s">
        <v>259</v>
      </c>
      <c r="U50">
        <v>433</v>
      </c>
      <c r="V50" s="93">
        <v>0.11700000000000001</v>
      </c>
      <c r="X50" t="s">
        <v>145</v>
      </c>
      <c r="Y50" s="136"/>
      <c r="Z50" s="317"/>
      <c r="AA50" s="106"/>
    </row>
    <row r="51" spans="1:33" ht="15" thickBot="1" x14ac:dyDescent="0.3">
      <c r="A51" s="59" t="s">
        <v>78</v>
      </c>
      <c r="B51" s="323">
        <v>114924918</v>
      </c>
      <c r="C51" s="113">
        <f>-3463544-81931</f>
        <v>-3545475</v>
      </c>
      <c r="D51" s="127">
        <v>2627071</v>
      </c>
      <c r="E51" s="113">
        <v>16881367</v>
      </c>
      <c r="F51" s="128">
        <v>943289764</v>
      </c>
      <c r="G51" s="126">
        <f t="shared" si="6"/>
        <v>-3.758627661733007E-3</v>
      </c>
      <c r="H51" s="126">
        <f t="shared" si="7"/>
        <v>2.7850095487731807E-3</v>
      </c>
      <c r="I51" s="126">
        <f t="shared" si="8"/>
        <v>1.7896268616776807E-2</v>
      </c>
      <c r="J51" s="126">
        <f>(C51+C50)/($F$51+$F$50)</f>
        <v>-3.7679581055900455E-3</v>
      </c>
      <c r="K51" s="126">
        <f>(D51+D50)/($F$51+$F$50)</f>
        <v>2.78861744839027E-3</v>
      </c>
      <c r="L51" s="126">
        <f>(E51+E50)/($F$51+$F$50)</f>
        <v>1.7787143390213016E-2</v>
      </c>
      <c r="M51" s="126"/>
      <c r="N51" t="s">
        <v>42</v>
      </c>
      <c r="O51">
        <v>257</v>
      </c>
      <c r="T51" s="92" t="s">
        <v>260</v>
      </c>
      <c r="U51">
        <v>440</v>
      </c>
      <c r="V51" s="93">
        <v>0.29399999999999998</v>
      </c>
      <c r="Y51" s="71" t="s">
        <v>89</v>
      </c>
      <c r="Z51" s="318"/>
      <c r="AA51" s="97"/>
    </row>
    <row r="52" spans="1:33" ht="14.4" thickBot="1" x14ac:dyDescent="0.3">
      <c r="A52" s="111" t="s">
        <v>114</v>
      </c>
      <c r="B52" s="113">
        <v>164895598</v>
      </c>
      <c r="C52" s="113">
        <f>-6930881-164831</f>
        <v>-7095712</v>
      </c>
      <c r="D52" s="127">
        <v>907454</v>
      </c>
      <c r="E52" s="113">
        <v>7160930</v>
      </c>
      <c r="F52" s="128">
        <v>1874492273</v>
      </c>
      <c r="G52" s="126">
        <f t="shared" si="6"/>
        <v>-3.7854047745119728E-3</v>
      </c>
      <c r="H52" s="126">
        <f t="shared" si="7"/>
        <v>4.8410655678386998E-4</v>
      </c>
      <c r="I52" s="126">
        <f t="shared" si="8"/>
        <v>3.8201971291881662E-3</v>
      </c>
      <c r="J52" s="8"/>
      <c r="L52" s="293">
        <f>(E51+E50)/(B51+B50)</f>
        <v>0.14174275813098464</v>
      </c>
      <c r="M52" s="293"/>
      <c r="N52" t="s">
        <v>43</v>
      </c>
      <c r="O52">
        <v>273</v>
      </c>
      <c r="T52" s="135" t="s">
        <v>261</v>
      </c>
      <c r="U52">
        <v>441</v>
      </c>
      <c r="V52" s="93">
        <v>0.47099999999999997</v>
      </c>
      <c r="X52">
        <v>479</v>
      </c>
      <c r="Y52" s="72" t="s">
        <v>167</v>
      </c>
      <c r="Z52" s="316">
        <v>15.08</v>
      </c>
      <c r="AA52" s="98">
        <v>17.18</v>
      </c>
      <c r="AB52">
        <v>0.15</v>
      </c>
    </row>
    <row r="53" spans="1:33" ht="14.4" thickBot="1" x14ac:dyDescent="0.3">
      <c r="A53" s="111" t="s">
        <v>115</v>
      </c>
      <c r="B53" s="113">
        <v>12536325</v>
      </c>
      <c r="C53" s="113">
        <f>-612937-14604</f>
        <v>-627541</v>
      </c>
      <c r="D53" s="127">
        <v>77465</v>
      </c>
      <c r="E53" s="113">
        <v>574599</v>
      </c>
      <c r="F53" s="128">
        <v>165297553</v>
      </c>
      <c r="G53" s="126">
        <f t="shared" si="6"/>
        <v>-3.7964324856037041E-3</v>
      </c>
      <c r="H53" s="126">
        <f t="shared" si="7"/>
        <v>4.6863972632432135E-4</v>
      </c>
      <c r="I53" s="126">
        <f t="shared" si="8"/>
        <v>3.4761494624182369E-3</v>
      </c>
      <c r="J53" s="8"/>
      <c r="N53" t="s">
        <v>44</v>
      </c>
      <c r="O53">
        <v>299</v>
      </c>
      <c r="T53" s="92" t="s">
        <v>262</v>
      </c>
      <c r="U53">
        <v>452</v>
      </c>
      <c r="V53" s="93">
        <v>0.18099999999999999</v>
      </c>
      <c r="X53">
        <v>480</v>
      </c>
      <c r="Y53" s="73" t="s">
        <v>168</v>
      </c>
      <c r="Z53" s="315">
        <v>24.85</v>
      </c>
      <c r="AA53" s="99">
        <v>32.31</v>
      </c>
      <c r="AB53">
        <f>VLOOKUP($X53,$U$3:$V$99,2,FALSE)</f>
        <v>0.15</v>
      </c>
    </row>
    <row r="54" spans="1:33" ht="14.4" thickBot="1" x14ac:dyDescent="0.3">
      <c r="A54" t="s">
        <v>116</v>
      </c>
      <c r="B54" s="113">
        <v>84439205</v>
      </c>
      <c r="C54" s="113">
        <f>-3996175-95641</f>
        <v>-4091816</v>
      </c>
      <c r="D54" s="127">
        <v>439027</v>
      </c>
      <c r="E54" s="113">
        <v>4320114</v>
      </c>
      <c r="F54" s="128">
        <v>1075406940</v>
      </c>
      <c r="G54" s="126">
        <f t="shared" si="6"/>
        <v>-3.8049001245984149E-3</v>
      </c>
      <c r="H54" s="126">
        <f t="shared" si="7"/>
        <v>4.0824266951448163E-4</v>
      </c>
      <c r="I54" s="126">
        <f t="shared" si="8"/>
        <v>4.0171899950729346E-3</v>
      </c>
      <c r="J54" s="8"/>
      <c r="N54" t="s">
        <v>45</v>
      </c>
      <c r="O54">
        <v>322</v>
      </c>
      <c r="T54" s="92" t="s">
        <v>263</v>
      </c>
      <c r="U54">
        <v>453</v>
      </c>
      <c r="V54" s="93">
        <v>0.29399999999999998</v>
      </c>
      <c r="X54">
        <v>481</v>
      </c>
      <c r="Y54" s="73" t="s">
        <v>169</v>
      </c>
      <c r="Z54" s="315">
        <v>21.67</v>
      </c>
      <c r="AA54" s="99">
        <v>21.67</v>
      </c>
      <c r="AB54">
        <f t="shared" ref="AB54:AB57" si="9">VLOOKUP($X54,$U$3:$V$99,2,FALSE)</f>
        <v>0.35</v>
      </c>
    </row>
    <row r="55" spans="1:33" ht="14.4" thickBot="1" x14ac:dyDescent="0.3">
      <c r="A55" s="47" t="s">
        <v>386</v>
      </c>
      <c r="B55" s="113">
        <v>126370424</v>
      </c>
      <c r="C55" s="113">
        <f>-6855082-163331</f>
        <v>-7018413</v>
      </c>
      <c r="D55" s="127">
        <v>259281</v>
      </c>
      <c r="E55" s="113">
        <v>8034362</v>
      </c>
      <c r="F55" s="128">
        <v>1848687110</v>
      </c>
      <c r="G55" s="126">
        <f t="shared" si="6"/>
        <v>-3.7964309709499731E-3</v>
      </c>
      <c r="H55" s="126">
        <f t="shared" si="7"/>
        <v>1.4025142415797988E-4</v>
      </c>
      <c r="I55" s="126">
        <f t="shared" si="8"/>
        <v>4.3459825930197565E-3</v>
      </c>
      <c r="J55" s="8"/>
      <c r="N55" t="s">
        <v>46</v>
      </c>
      <c r="O55">
        <v>368</v>
      </c>
      <c r="T55" s="92" t="s">
        <v>264</v>
      </c>
      <c r="U55">
        <v>454</v>
      </c>
      <c r="V55" s="93">
        <v>0.47099999999999997</v>
      </c>
      <c r="X55">
        <v>482</v>
      </c>
      <c r="Y55" s="73" t="s">
        <v>170</v>
      </c>
      <c r="Z55" s="315">
        <v>31.43</v>
      </c>
      <c r="AA55" s="99">
        <v>40.61</v>
      </c>
      <c r="AB55">
        <f t="shared" si="9"/>
        <v>0.35</v>
      </c>
    </row>
    <row r="56" spans="1:33" ht="14.4" customHeight="1" thickBot="1" x14ac:dyDescent="0.3">
      <c r="A56" t="s">
        <v>117</v>
      </c>
      <c r="B56" s="113">
        <v>68895503</v>
      </c>
      <c r="C56" s="113">
        <f>-4273319-98827</f>
        <v>-4372146</v>
      </c>
      <c r="D56" s="127">
        <v>0</v>
      </c>
      <c r="E56" s="113">
        <v>4904122</v>
      </c>
      <c r="F56" s="128">
        <v>1147609709</v>
      </c>
      <c r="G56" s="126">
        <f t="shared" si="6"/>
        <v>-3.8097847776225112E-3</v>
      </c>
      <c r="H56" s="126">
        <f t="shared" si="7"/>
        <v>0</v>
      </c>
      <c r="I56" s="126">
        <f t="shared" si="8"/>
        <v>4.2733361015857355E-3</v>
      </c>
      <c r="J56" s="8"/>
      <c r="N56" s="30" t="s">
        <v>396</v>
      </c>
      <c r="O56">
        <v>386</v>
      </c>
      <c r="T56" s="92" t="s">
        <v>394</v>
      </c>
      <c r="U56">
        <v>455</v>
      </c>
      <c r="V56" s="93">
        <v>0.18099999999999999</v>
      </c>
      <c r="X56">
        <v>483</v>
      </c>
      <c r="Y56" s="67" t="s">
        <v>171</v>
      </c>
      <c r="Z56" s="319">
        <v>45.01</v>
      </c>
      <c r="AA56" s="102">
        <v>45.01</v>
      </c>
      <c r="AB56">
        <f t="shared" si="9"/>
        <v>1.08</v>
      </c>
      <c r="AC56" s="17"/>
      <c r="AD56" s="17"/>
      <c r="AE56" s="17"/>
      <c r="AF56" s="17"/>
      <c r="AG56" s="17"/>
    </row>
    <row r="57" spans="1:33" ht="14.4" customHeight="1" thickBot="1" x14ac:dyDescent="0.3">
      <c r="A57" s="30" t="s">
        <v>118</v>
      </c>
      <c r="B57" s="113">
        <v>0</v>
      </c>
      <c r="C57" s="113">
        <v>0</v>
      </c>
      <c r="D57" s="127">
        <v>0</v>
      </c>
      <c r="E57" s="113">
        <v>0</v>
      </c>
      <c r="F57" s="128">
        <v>0</v>
      </c>
      <c r="G57" s="126">
        <v>0</v>
      </c>
      <c r="H57" s="126">
        <v>0</v>
      </c>
      <c r="I57" s="126">
        <v>0</v>
      </c>
      <c r="J57" s="8"/>
      <c r="N57" s="30" t="s">
        <v>47</v>
      </c>
      <c r="O57">
        <v>415</v>
      </c>
      <c r="T57" s="92" t="s">
        <v>265</v>
      </c>
      <c r="U57">
        <v>456</v>
      </c>
      <c r="V57" s="93">
        <v>0.47099999999999997</v>
      </c>
      <c r="X57">
        <v>484</v>
      </c>
      <c r="Y57" s="76" t="s">
        <v>172</v>
      </c>
      <c r="Z57" s="320">
        <v>54.76</v>
      </c>
      <c r="AA57" s="103">
        <v>58.35</v>
      </c>
      <c r="AB57">
        <f t="shared" si="9"/>
        <v>1.08</v>
      </c>
      <c r="AC57" s="17"/>
      <c r="AD57" s="17"/>
      <c r="AE57" s="17"/>
      <c r="AF57" s="17"/>
      <c r="AG57" s="17"/>
    </row>
    <row r="58" spans="1:33" ht="14.4" thickBot="1" x14ac:dyDescent="0.3">
      <c r="A58" s="82" t="s">
        <v>133</v>
      </c>
      <c r="B58" s="127">
        <v>23389325</v>
      </c>
      <c r="C58" s="127">
        <f>-206061-180995-5167-4569</f>
        <v>-396792</v>
      </c>
      <c r="D58" s="127">
        <v>0</v>
      </c>
      <c r="E58" s="127">
        <v>4280816</v>
      </c>
      <c r="F58" s="128">
        <v>101770582</v>
      </c>
      <c r="G58" s="129">
        <f>+C58/F58</f>
        <v>-3.8988870084284278E-3</v>
      </c>
      <c r="H58" s="129">
        <f>+D58/$F58</f>
        <v>0</v>
      </c>
      <c r="I58" s="129">
        <f>+E58/$F58</f>
        <v>4.2063393132604862E-2</v>
      </c>
      <c r="J58" s="130" t="s">
        <v>134</v>
      </c>
      <c r="T58" s="92" t="s">
        <v>395</v>
      </c>
      <c r="U58">
        <v>457</v>
      </c>
      <c r="V58" s="93">
        <v>0.11700000000000001</v>
      </c>
      <c r="Y58" s="137"/>
      <c r="Z58" s="386"/>
      <c r="AA58" s="138"/>
      <c r="AC58" s="84"/>
      <c r="AD58" s="84"/>
      <c r="AE58" s="84"/>
      <c r="AF58" s="17"/>
      <c r="AG58" s="17"/>
    </row>
    <row r="59" spans="1:33" ht="15" thickBot="1" x14ac:dyDescent="0.3">
      <c r="A59" s="82" t="s">
        <v>355</v>
      </c>
      <c r="B59" s="127">
        <v>244537</v>
      </c>
      <c r="C59" s="127">
        <f>-12636-321</f>
        <v>-12957</v>
      </c>
      <c r="D59" s="127">
        <v>0</v>
      </c>
      <c r="E59" s="127">
        <v>27467</v>
      </c>
      <c r="F59" s="128">
        <v>3317374</v>
      </c>
      <c r="G59" s="129">
        <f t="shared" ref="G59:G60" si="10">+C59/F59</f>
        <v>-3.905800190150402E-3</v>
      </c>
      <c r="H59" s="129">
        <f t="shared" ref="H59:H60" si="11">+D59/$F59</f>
        <v>0</v>
      </c>
      <c r="I59" s="129">
        <f t="shared" ref="I59:I60" si="12">+E59/$F59</f>
        <v>8.2797417475388661E-3</v>
      </c>
      <c r="J59" s="130"/>
      <c r="T59" s="92"/>
      <c r="V59" s="93"/>
      <c r="Y59" s="377" t="s">
        <v>397</v>
      </c>
      <c r="Z59" s="375"/>
      <c r="AA59" s="376"/>
      <c r="AC59" s="84"/>
      <c r="AD59" s="84"/>
      <c r="AE59" s="84"/>
      <c r="AF59" s="17"/>
      <c r="AG59" s="17"/>
    </row>
    <row r="60" spans="1:33" ht="14.4" thickBot="1" x14ac:dyDescent="0.3">
      <c r="A60" s="82" t="s">
        <v>348</v>
      </c>
      <c r="B60" s="127">
        <v>304220</v>
      </c>
      <c r="C60" s="127">
        <f>-11637-283</f>
        <v>-11920</v>
      </c>
      <c r="D60" s="127">
        <v>0</v>
      </c>
      <c r="E60" s="127">
        <v>28013</v>
      </c>
      <c r="F60" s="128">
        <v>3108713</v>
      </c>
      <c r="G60" s="129">
        <f t="shared" si="10"/>
        <v>-3.8343841969329432E-3</v>
      </c>
      <c r="H60" s="129">
        <f t="shared" si="11"/>
        <v>0</v>
      </c>
      <c r="I60" s="129">
        <f t="shared" si="12"/>
        <v>9.011124539319005E-3</v>
      </c>
      <c r="J60" s="130"/>
      <c r="T60" s="92" t="s">
        <v>266</v>
      </c>
      <c r="U60">
        <v>458</v>
      </c>
      <c r="V60" s="93">
        <v>0.21</v>
      </c>
      <c r="X60">
        <v>496</v>
      </c>
      <c r="Y60" s="374" t="s">
        <v>416</v>
      </c>
      <c r="Z60" s="375">
        <v>53.9</v>
      </c>
      <c r="AA60" s="376">
        <v>53.9</v>
      </c>
      <c r="AB60">
        <f t="shared" ref="AB60:AB63" si="13">VLOOKUP($X60,$U$3:$V$99,2,FALSE)</f>
        <v>0.08</v>
      </c>
      <c r="AC60" s="84"/>
      <c r="AD60" s="84"/>
      <c r="AE60" s="84"/>
      <c r="AF60" s="17"/>
      <c r="AG60" s="17"/>
    </row>
    <row r="61" spans="1:33" ht="14.4" thickBot="1" x14ac:dyDescent="0.3">
      <c r="A61" s="82" t="s">
        <v>290</v>
      </c>
      <c r="B61" s="294">
        <v>10274768</v>
      </c>
      <c r="C61" s="294">
        <f>-407615-217213-10376-5341</f>
        <v>-640545</v>
      </c>
      <c r="D61" s="294">
        <v>0</v>
      </c>
      <c r="E61" s="294">
        <f>430555+224247</f>
        <v>654802</v>
      </c>
      <c r="F61" s="428">
        <v>167921400</v>
      </c>
      <c r="G61" s="429">
        <f>+C61/$F61</f>
        <v>-3.8145525227874471E-3</v>
      </c>
      <c r="H61" s="429">
        <f>+D61/$F61</f>
        <v>0</v>
      </c>
      <c r="I61" s="429">
        <f>+E61/$F61</f>
        <v>3.8994553404152182E-3</v>
      </c>
      <c r="J61" s="8"/>
      <c r="T61" s="92" t="s">
        <v>267</v>
      </c>
      <c r="U61">
        <v>470</v>
      </c>
      <c r="V61" s="93">
        <v>0.15</v>
      </c>
      <c r="X61">
        <v>497</v>
      </c>
      <c r="Y61" s="374" t="s">
        <v>417</v>
      </c>
      <c r="Z61" s="375">
        <v>57.01</v>
      </c>
      <c r="AA61" s="376">
        <v>57.01</v>
      </c>
      <c r="AB61">
        <f t="shared" si="13"/>
        <v>0.13400000000000001</v>
      </c>
      <c r="AC61" s="84"/>
      <c r="AD61" s="84"/>
      <c r="AE61" s="84"/>
      <c r="AF61" s="17"/>
      <c r="AG61" s="17"/>
    </row>
    <row r="62" spans="1:33" ht="14.4" thickBot="1" x14ac:dyDescent="0.3">
      <c r="A62" s="89"/>
      <c r="B62" s="127"/>
      <c r="C62" s="127"/>
      <c r="D62" s="127"/>
      <c r="E62" s="127"/>
      <c r="F62" s="128"/>
      <c r="G62" s="129"/>
      <c r="H62" s="129"/>
      <c r="I62" s="129"/>
      <c r="J62" s="113"/>
      <c r="T62" s="92" t="s">
        <v>268</v>
      </c>
      <c r="U62">
        <v>471</v>
      </c>
      <c r="V62" s="93">
        <v>0.15</v>
      </c>
      <c r="X62">
        <v>498</v>
      </c>
      <c r="Y62" s="374" t="s">
        <v>418</v>
      </c>
      <c r="Z62" s="375">
        <v>66.459999999999994</v>
      </c>
      <c r="AA62" s="376">
        <v>66.459999999999994</v>
      </c>
      <c r="AB62">
        <f t="shared" si="13"/>
        <v>0.22800000000000001</v>
      </c>
      <c r="AC62" s="84"/>
      <c r="AD62" s="84"/>
      <c r="AE62" s="84"/>
      <c r="AF62" s="17"/>
      <c r="AG62" s="17"/>
    </row>
    <row r="63" spans="1:33" ht="14.4" thickBot="1" x14ac:dyDescent="0.3">
      <c r="A63" s="89" t="s">
        <v>125</v>
      </c>
      <c r="B63" s="127">
        <f>SUM(B48:B62)</f>
        <v>1103329493</v>
      </c>
      <c r="C63" s="127">
        <f>SUM(C48:C62)</f>
        <v>-45003702</v>
      </c>
      <c r="D63" s="127">
        <f>SUM(D48:D62)</f>
        <v>19242685</v>
      </c>
      <c r="E63" s="127">
        <f>SUM(E48:E62)</f>
        <v>89426579</v>
      </c>
      <c r="F63" s="128">
        <f>SUM(F48:F62)</f>
        <v>11926079707</v>
      </c>
      <c r="G63" s="129">
        <f>+C63/$F63</f>
        <v>-3.7735536828237969E-3</v>
      </c>
      <c r="H63" s="129">
        <f>+D63/$F63</f>
        <v>1.6134962596892192E-3</v>
      </c>
      <c r="I63" s="129">
        <f>+E63/$F63</f>
        <v>7.4984052762544565E-3</v>
      </c>
      <c r="J63" s="113"/>
      <c r="T63" s="92" t="s">
        <v>269</v>
      </c>
      <c r="U63">
        <v>473</v>
      </c>
      <c r="V63" s="93">
        <v>0.35</v>
      </c>
      <c r="X63">
        <v>499</v>
      </c>
      <c r="Y63" s="374" t="s">
        <v>419</v>
      </c>
      <c r="Z63" s="375">
        <v>46.45</v>
      </c>
      <c r="AA63" s="376">
        <v>46.45</v>
      </c>
      <c r="AB63">
        <f t="shared" si="13"/>
        <v>6.8000000000000005E-2</v>
      </c>
      <c r="AC63" s="84"/>
      <c r="AD63" s="84"/>
      <c r="AE63" s="84"/>
      <c r="AF63" s="17"/>
      <c r="AG63" s="17"/>
    </row>
    <row r="64" spans="1:33" ht="14.4" thickBot="1" x14ac:dyDescent="0.3">
      <c r="A64" s="30" t="s">
        <v>126</v>
      </c>
      <c r="B64" s="156">
        <v>-4334522</v>
      </c>
      <c r="D64" s="17"/>
      <c r="F64" s="17"/>
      <c r="G64" s="113"/>
      <c r="H64" s="113"/>
      <c r="I64" s="113"/>
      <c r="J64" s="113"/>
      <c r="T64" s="92" t="s">
        <v>270</v>
      </c>
      <c r="U64">
        <v>476</v>
      </c>
      <c r="V64" s="93">
        <v>1.08</v>
      </c>
      <c r="Y64" s="137"/>
      <c r="Z64" s="386"/>
      <c r="AA64" s="138"/>
      <c r="AC64" s="84"/>
      <c r="AD64" s="84"/>
      <c r="AE64" s="84"/>
      <c r="AF64" s="17"/>
      <c r="AG64" s="17"/>
    </row>
    <row r="65" spans="1:33" ht="14.4" thickBot="1" x14ac:dyDescent="0.3">
      <c r="A65" s="30" t="s">
        <v>125</v>
      </c>
      <c r="B65" s="324">
        <f>+B63+B64</f>
        <v>1098994971</v>
      </c>
      <c r="D65" s="17"/>
      <c r="F65" s="34" t="s">
        <v>127</v>
      </c>
      <c r="G65" s="126">
        <f>MIN(G48:G61)</f>
        <v>-3.905800190150402E-3</v>
      </c>
      <c r="H65" s="126">
        <f>MIN(H48:H55)</f>
        <v>1.4025142415797988E-4</v>
      </c>
      <c r="I65" s="126">
        <f>MIN(I48:I61)</f>
        <v>0</v>
      </c>
      <c r="J65" s="113"/>
      <c r="T65" s="92" t="s">
        <v>271</v>
      </c>
      <c r="U65">
        <v>477</v>
      </c>
      <c r="V65" s="93">
        <v>1.08</v>
      </c>
      <c r="Y65" s="139" t="s">
        <v>95</v>
      </c>
      <c r="Z65" s="140"/>
      <c r="AA65" s="141"/>
      <c r="AC65" s="84"/>
      <c r="AD65" s="84"/>
      <c r="AE65" s="84"/>
      <c r="AF65" s="17"/>
      <c r="AG65" s="17"/>
    </row>
    <row r="66" spans="1:33" ht="14.4" thickBot="1" x14ac:dyDescent="0.3">
      <c r="D66" s="17"/>
      <c r="F66" s="34" t="s">
        <v>128</v>
      </c>
      <c r="G66" s="296">
        <f>MAX(G48:G62)</f>
        <v>0</v>
      </c>
      <c r="H66" s="296">
        <f>MAX(H48:H62)</f>
        <v>3.2945826064991065E-3</v>
      </c>
      <c r="I66" s="296">
        <f>MAX(I48:I62)</f>
        <v>4.2063393132604862E-2</v>
      </c>
      <c r="J66" s="113"/>
      <c r="T66" s="92" t="s">
        <v>272</v>
      </c>
      <c r="U66">
        <v>480</v>
      </c>
      <c r="V66" s="93">
        <v>0.15</v>
      </c>
      <c r="Y66" s="60"/>
      <c r="Z66" s="74" t="s">
        <v>86</v>
      </c>
      <c r="AA66" s="105" t="s">
        <v>86</v>
      </c>
    </row>
    <row r="67" spans="1:33" ht="14.4" thickBot="1" x14ac:dyDescent="0.3">
      <c r="D67" s="17"/>
      <c r="F67" s="34" t="s">
        <v>129</v>
      </c>
      <c r="G67" s="126">
        <f>+G66-G65</f>
        <v>3.905800190150402E-3</v>
      </c>
      <c r="H67" s="126">
        <f t="shared" ref="H67:I67" si="14">+H66-H65</f>
        <v>3.1543311823411264E-3</v>
      </c>
      <c r="I67" s="126">
        <f t="shared" si="14"/>
        <v>4.2063393132604862E-2</v>
      </c>
      <c r="J67" s="113"/>
      <c r="T67" s="92" t="s">
        <v>273</v>
      </c>
      <c r="U67">
        <v>481</v>
      </c>
      <c r="V67" s="93">
        <v>0.35</v>
      </c>
      <c r="Y67" s="61"/>
      <c r="Z67" s="69" t="s">
        <v>1</v>
      </c>
      <c r="AA67" s="97" t="s">
        <v>9</v>
      </c>
    </row>
    <row r="68" spans="1:33" ht="15" thickBot="1" x14ac:dyDescent="0.3">
      <c r="D68" s="17"/>
      <c r="G68" s="8">
        <f t="shared" ref="G68:H68" si="15">(G66-G65)/G65</f>
        <v>-1</v>
      </c>
      <c r="H68" s="8">
        <f t="shared" si="15"/>
        <v>22.490546540105523</v>
      </c>
      <c r="I68" s="8" t="e">
        <f>(I66-I65)/I65</f>
        <v>#DIV/0!</v>
      </c>
      <c r="T68" s="92"/>
      <c r="V68" s="93"/>
      <c r="X68" s="17"/>
      <c r="Y68" s="378" t="s">
        <v>93</v>
      </c>
      <c r="Z68" s="314"/>
      <c r="AA68" s="99"/>
      <c r="AB68" s="17"/>
    </row>
    <row r="69" spans="1:33" ht="14.4" thickBot="1" x14ac:dyDescent="0.3">
      <c r="A69" s="30" t="s">
        <v>297</v>
      </c>
      <c r="C69" s="17"/>
      <c r="D69" s="17"/>
      <c r="E69" s="426">
        <f>+D93</f>
        <v>73058524</v>
      </c>
      <c r="F69" s="291"/>
      <c r="T69" s="92" t="s">
        <v>274</v>
      </c>
      <c r="U69">
        <v>482</v>
      </c>
      <c r="V69" s="93">
        <v>0.35</v>
      </c>
      <c r="X69" s="17"/>
      <c r="Y69" s="379"/>
      <c r="Z69" s="356"/>
      <c r="AA69" s="99"/>
      <c r="AB69" s="17"/>
    </row>
    <row r="70" spans="1:33" ht="14.4" thickBot="1" x14ac:dyDescent="0.3">
      <c r="A70" s="45" t="s">
        <v>277</v>
      </c>
      <c r="C70" s="294">
        <v>-3033261.1354097999</v>
      </c>
      <c r="D70" s="294">
        <v>20379925.505623799</v>
      </c>
      <c r="E70" s="294">
        <v>122493045.598048</v>
      </c>
      <c r="T70" s="92" t="s">
        <v>275</v>
      </c>
      <c r="U70">
        <v>483</v>
      </c>
      <c r="V70" s="93">
        <v>1.08</v>
      </c>
      <c r="X70" s="89">
        <v>252</v>
      </c>
      <c r="Y70" s="381" t="s">
        <v>173</v>
      </c>
      <c r="Z70" s="315">
        <v>10.25</v>
      </c>
      <c r="AA70" s="99">
        <v>10.56</v>
      </c>
      <c r="AB70" s="84">
        <f>VLOOKUP($X70,$U$3:$V$99,2,FALSE)</f>
        <v>0.21</v>
      </c>
    </row>
    <row r="71" spans="1:33" ht="14.4" thickBot="1" x14ac:dyDescent="0.3">
      <c r="A71" s="30" t="s">
        <v>7</v>
      </c>
      <c r="C71" s="127">
        <f>+C63-C70</f>
        <v>-41970440.864590198</v>
      </c>
      <c r="D71" s="127">
        <f>+D63-D70</f>
        <v>-1137240.5056237988</v>
      </c>
      <c r="E71" s="127">
        <f>+E63+E69-E70</f>
        <v>39992057.401951998</v>
      </c>
      <c r="T71" s="92" t="s">
        <v>276</v>
      </c>
      <c r="U71">
        <v>484</v>
      </c>
      <c r="V71" s="93">
        <v>1.08</v>
      </c>
      <c r="X71" s="89">
        <v>203</v>
      </c>
      <c r="Y71" s="382" t="s">
        <v>174</v>
      </c>
      <c r="Z71" s="315">
        <v>11.69</v>
      </c>
      <c r="AA71" s="99">
        <v>12.04</v>
      </c>
      <c r="AB71" s="84">
        <f t="shared" ref="AB71:AB76" si="16">VLOOKUP($X71,$U$3:$V$99,2,FALSE)</f>
        <v>0.29799999999999999</v>
      </c>
    </row>
    <row r="72" spans="1:33" ht="14.4" thickBot="1" x14ac:dyDescent="0.3">
      <c r="D72" s="17"/>
      <c r="T72" s="92"/>
      <c r="V72" s="93"/>
      <c r="X72" s="89">
        <v>204</v>
      </c>
      <c r="Y72" s="382" t="s">
        <v>175</v>
      </c>
      <c r="Z72" s="315">
        <v>14.41</v>
      </c>
      <c r="AA72" s="99">
        <v>14.84</v>
      </c>
      <c r="AB72" s="84">
        <f t="shared" si="16"/>
        <v>0.46200000000000002</v>
      </c>
    </row>
    <row r="73" spans="1:33" ht="14.4" thickBot="1" x14ac:dyDescent="0.3">
      <c r="D73" s="294"/>
      <c r="T73" s="92" t="s">
        <v>402</v>
      </c>
      <c r="U73">
        <v>490</v>
      </c>
      <c r="V73" s="93">
        <v>0.08</v>
      </c>
      <c r="X73" s="89">
        <v>209</v>
      </c>
      <c r="Y73" s="383" t="s">
        <v>364</v>
      </c>
      <c r="Z73" s="315">
        <v>29.46</v>
      </c>
      <c r="AA73" s="99">
        <v>30.34</v>
      </c>
      <c r="AB73" s="84">
        <f t="shared" si="16"/>
        <v>1.18</v>
      </c>
    </row>
    <row r="74" spans="1:33" ht="14.4" thickBot="1" x14ac:dyDescent="0.3">
      <c r="D74" s="17"/>
      <c r="T74" s="92" t="s">
        <v>403</v>
      </c>
      <c r="U74">
        <v>491</v>
      </c>
      <c r="V74" s="93">
        <v>0.13400000000000001</v>
      </c>
      <c r="X74" s="89">
        <v>207</v>
      </c>
      <c r="Y74" s="383" t="s">
        <v>365</v>
      </c>
      <c r="Z74" s="315">
        <v>16.440000000000001</v>
      </c>
      <c r="AA74" s="99">
        <v>16.93</v>
      </c>
      <c r="AB74" s="84">
        <f t="shared" si="16"/>
        <v>0.46200000000000002</v>
      </c>
    </row>
    <row r="75" spans="1:33" ht="14.4" thickBot="1" x14ac:dyDescent="0.3">
      <c r="A75" s="112" t="s">
        <v>278</v>
      </c>
      <c r="T75" s="92" t="s">
        <v>404</v>
      </c>
      <c r="U75">
        <v>492</v>
      </c>
      <c r="V75" s="93">
        <v>0.22800000000000001</v>
      </c>
      <c r="X75" s="89">
        <v>210</v>
      </c>
      <c r="Y75" s="382" t="s">
        <v>176</v>
      </c>
      <c r="Z75" s="315">
        <v>30.66</v>
      </c>
      <c r="AA75" s="99">
        <v>31.58</v>
      </c>
      <c r="AB75" s="84">
        <f t="shared" si="16"/>
        <v>1.18</v>
      </c>
    </row>
    <row r="76" spans="1:33" ht="15.75" customHeight="1" thickBot="1" x14ac:dyDescent="0.3">
      <c r="B76" s="432" t="s">
        <v>294</v>
      </c>
      <c r="C76" s="433"/>
      <c r="D76" s="434"/>
      <c r="E76" s="432" t="s">
        <v>295</v>
      </c>
      <c r="F76" s="433"/>
      <c r="G76" s="434"/>
      <c r="T76" s="92" t="s">
        <v>405</v>
      </c>
      <c r="U76">
        <v>493</v>
      </c>
      <c r="V76" s="93">
        <v>0.05</v>
      </c>
      <c r="X76" s="89">
        <v>201</v>
      </c>
      <c r="Y76" s="384" t="s">
        <v>177</v>
      </c>
      <c r="Z76" s="315">
        <v>8.77</v>
      </c>
      <c r="AA76" s="99">
        <v>8.3800000000000008</v>
      </c>
      <c r="AB76" s="84">
        <f t="shared" si="16"/>
        <v>0.1</v>
      </c>
    </row>
    <row r="77" spans="1:33" ht="14.4" thickBot="1" x14ac:dyDescent="0.3">
      <c r="B77" s="162" t="s">
        <v>296</v>
      </c>
      <c r="C77" s="163" t="s">
        <v>285</v>
      </c>
      <c r="D77" s="163" t="s">
        <v>5</v>
      </c>
      <c r="E77" s="162" t="s">
        <v>72</v>
      </c>
      <c r="F77" s="163" t="s">
        <v>286</v>
      </c>
      <c r="G77" s="163" t="s">
        <v>5</v>
      </c>
      <c r="H77" s="164" t="s">
        <v>125</v>
      </c>
      <c r="T77" s="92"/>
      <c r="V77" s="93"/>
      <c r="X77" s="84" t="s">
        <v>145</v>
      </c>
      <c r="Y77" s="380"/>
      <c r="Z77" s="315"/>
      <c r="AA77" s="99"/>
      <c r="AB77" s="84"/>
    </row>
    <row r="78" spans="1:33" ht="18.75" customHeight="1" thickBot="1" x14ac:dyDescent="0.3">
      <c r="A78" s="30" t="s">
        <v>279</v>
      </c>
      <c r="B78" s="113">
        <f>28880504+3909</f>
        <v>28884413</v>
      </c>
      <c r="C78" s="113">
        <v>0</v>
      </c>
      <c r="D78" s="113">
        <f>+B78+C78</f>
        <v>28884413</v>
      </c>
      <c r="E78" s="113">
        <v>35279668</v>
      </c>
      <c r="F78" s="113">
        <v>0</v>
      </c>
      <c r="G78" s="113">
        <f>+E78+F78</f>
        <v>35279668</v>
      </c>
      <c r="H78" s="113">
        <f>+D78+G78</f>
        <v>64164081</v>
      </c>
      <c r="T78" s="92" t="s">
        <v>412</v>
      </c>
      <c r="U78">
        <v>496</v>
      </c>
      <c r="V78" s="93">
        <v>0.08</v>
      </c>
      <c r="Y78" s="77" t="s">
        <v>92</v>
      </c>
      <c r="Z78" s="315"/>
      <c r="AA78" s="99"/>
    </row>
    <row r="79" spans="1:33" ht="15" thickBot="1" x14ac:dyDescent="0.3">
      <c r="A79" s="47" t="s">
        <v>287</v>
      </c>
      <c r="B79" s="113">
        <v>3607127</v>
      </c>
      <c r="C79" s="113">
        <v>0</v>
      </c>
      <c r="D79" s="113">
        <f t="shared" ref="D79:D91" si="17">+B79+C79</f>
        <v>3607127</v>
      </c>
      <c r="E79" s="113">
        <v>0</v>
      </c>
      <c r="F79" s="113">
        <v>7280319</v>
      </c>
      <c r="G79" s="113">
        <f t="shared" ref="G79:G91" si="18">+E79+F79</f>
        <v>7280319</v>
      </c>
      <c r="H79" s="113">
        <f t="shared" ref="H79:H91" si="19">+D79+G79</f>
        <v>10887446</v>
      </c>
      <c r="T79" s="92" t="s">
        <v>413</v>
      </c>
      <c r="U79">
        <v>497</v>
      </c>
      <c r="V79" s="93">
        <v>0.13400000000000001</v>
      </c>
      <c r="Y79" s="79"/>
      <c r="Z79" s="154"/>
      <c r="AA79" s="155"/>
    </row>
    <row r="80" spans="1:33" ht="18.75" customHeight="1" thickBot="1" x14ac:dyDescent="0.3">
      <c r="A80" s="30" t="s">
        <v>280</v>
      </c>
      <c r="B80" s="113">
        <v>8197188</v>
      </c>
      <c r="C80" s="113">
        <v>0</v>
      </c>
      <c r="D80" s="113">
        <f t="shared" si="17"/>
        <v>8197188</v>
      </c>
      <c r="E80" s="113">
        <v>0</v>
      </c>
      <c r="F80" s="113">
        <v>16881367</v>
      </c>
      <c r="G80" s="113">
        <f t="shared" si="18"/>
        <v>16881367</v>
      </c>
      <c r="H80" s="113">
        <f t="shared" si="19"/>
        <v>25078555</v>
      </c>
      <c r="T80" s="92" t="s">
        <v>414</v>
      </c>
      <c r="U80">
        <v>498</v>
      </c>
      <c r="V80" s="93">
        <v>0.22800000000000001</v>
      </c>
      <c r="X80">
        <v>471</v>
      </c>
      <c r="Y80" s="63" t="s">
        <v>178</v>
      </c>
      <c r="Z80" s="144">
        <v>16.09</v>
      </c>
      <c r="AA80" s="361">
        <v>16.559999999999999</v>
      </c>
      <c r="AB80">
        <f>VLOOKUP($X80,$U$3:$V$99,2,FALSE)</f>
        <v>0.15</v>
      </c>
    </row>
    <row r="81" spans="1:28" ht="14.4" thickBot="1" x14ac:dyDescent="0.3">
      <c r="A81" s="30" t="s">
        <v>281</v>
      </c>
      <c r="B81" s="113">
        <v>0</v>
      </c>
      <c r="C81" s="113">
        <v>12351713</v>
      </c>
      <c r="D81" s="113">
        <f t="shared" si="17"/>
        <v>12351713</v>
      </c>
      <c r="E81" s="113">
        <v>0</v>
      </c>
      <c r="F81" s="113">
        <v>7160930</v>
      </c>
      <c r="G81" s="113">
        <f t="shared" si="18"/>
        <v>7160930</v>
      </c>
      <c r="H81" s="113">
        <f t="shared" si="19"/>
        <v>19512643</v>
      </c>
      <c r="T81" s="92" t="s">
        <v>415</v>
      </c>
      <c r="U81">
        <v>499</v>
      </c>
      <c r="V81" s="93">
        <v>6.8000000000000005E-2</v>
      </c>
      <c r="X81">
        <v>474</v>
      </c>
      <c r="Y81" s="64" t="s">
        <v>179</v>
      </c>
      <c r="Z81" s="146">
        <v>22.18</v>
      </c>
      <c r="AA81" s="362">
        <v>22.18</v>
      </c>
      <c r="AB81">
        <v>0.35</v>
      </c>
    </row>
    <row r="82" spans="1:28" ht="15" customHeight="1" thickBot="1" x14ac:dyDescent="0.3">
      <c r="A82" s="30" t="s">
        <v>282</v>
      </c>
      <c r="B82" s="113">
        <v>0</v>
      </c>
      <c r="C82" s="113">
        <v>993949</v>
      </c>
      <c r="D82" s="113">
        <f t="shared" si="17"/>
        <v>993949</v>
      </c>
      <c r="E82" s="113">
        <v>0</v>
      </c>
      <c r="F82" s="113">
        <v>574599</v>
      </c>
      <c r="G82" s="113">
        <f t="shared" si="18"/>
        <v>574599</v>
      </c>
      <c r="H82" s="113">
        <f t="shared" si="19"/>
        <v>1568548</v>
      </c>
      <c r="X82">
        <v>475</v>
      </c>
      <c r="Y82" s="64" t="s">
        <v>180</v>
      </c>
      <c r="Z82" s="146">
        <v>29.64</v>
      </c>
      <c r="AA82" s="362">
        <v>29.64</v>
      </c>
      <c r="AB82">
        <v>0.35</v>
      </c>
    </row>
    <row r="83" spans="1:28" ht="13.8" x14ac:dyDescent="0.25">
      <c r="A83" s="30" t="s">
        <v>283</v>
      </c>
      <c r="B83" s="113">
        <v>0</v>
      </c>
      <c r="C83" s="113">
        <v>6142643</v>
      </c>
      <c r="D83" s="113">
        <f t="shared" si="17"/>
        <v>6142643</v>
      </c>
      <c r="E83" s="113">
        <v>0</v>
      </c>
      <c r="F83" s="113">
        <v>4320114</v>
      </c>
      <c r="G83" s="113">
        <f t="shared" si="18"/>
        <v>4320114</v>
      </c>
      <c r="H83" s="113">
        <f t="shared" si="19"/>
        <v>10462757</v>
      </c>
      <c r="X83">
        <v>477</v>
      </c>
      <c r="Y83" s="430" t="s">
        <v>181</v>
      </c>
      <c r="Z83" s="148"/>
      <c r="AA83" s="363"/>
      <c r="AB83">
        <f>VLOOKUP($X83,$U$3:$V$99,2,FALSE)</f>
        <v>1.08</v>
      </c>
    </row>
    <row r="84" spans="1:28" ht="14.4" thickBot="1" x14ac:dyDescent="0.3">
      <c r="A84" s="30" t="s">
        <v>387</v>
      </c>
      <c r="B84" s="113">
        <v>0</v>
      </c>
      <c r="C84" s="113">
        <v>8176599</v>
      </c>
      <c r="D84" s="113">
        <f t="shared" si="17"/>
        <v>8176599</v>
      </c>
      <c r="E84" s="113">
        <v>0</v>
      </c>
      <c r="F84" s="113">
        <v>8034362</v>
      </c>
      <c r="G84" s="113">
        <f t="shared" si="18"/>
        <v>8034362</v>
      </c>
      <c r="H84" s="113">
        <f t="shared" si="19"/>
        <v>16210961</v>
      </c>
      <c r="X84">
        <v>477</v>
      </c>
      <c r="Y84" s="431"/>
      <c r="Z84" s="144">
        <v>45.23</v>
      </c>
      <c r="AA84" s="361">
        <v>45.23</v>
      </c>
      <c r="AB84" s="17">
        <f>VLOOKUP($X84,$U$3:$V$99,2,FALSE)</f>
        <v>1.08</v>
      </c>
    </row>
    <row r="85" spans="1:28" ht="14.4" thickBot="1" x14ac:dyDescent="0.3">
      <c r="A85" s="30" t="s">
        <v>117</v>
      </c>
      <c r="B85" s="113">
        <v>0</v>
      </c>
      <c r="C85" s="113">
        <v>4078891</v>
      </c>
      <c r="D85" s="113">
        <f t="shared" si="17"/>
        <v>4078891</v>
      </c>
      <c r="E85" s="113">
        <v>0</v>
      </c>
      <c r="F85" s="113">
        <v>4904122</v>
      </c>
      <c r="G85" s="113">
        <f t="shared" si="18"/>
        <v>4904122</v>
      </c>
      <c r="H85" s="113">
        <f t="shared" si="19"/>
        <v>8983013</v>
      </c>
      <c r="X85" t="s">
        <v>145</v>
      </c>
      <c r="Y85" s="60"/>
      <c r="Z85" s="147"/>
      <c r="AA85" s="364"/>
    </row>
    <row r="86" spans="1:28" ht="15" customHeight="1" thickBot="1" x14ac:dyDescent="0.3">
      <c r="A86" s="30" t="s">
        <v>284</v>
      </c>
      <c r="B86" s="113">
        <v>0</v>
      </c>
      <c r="C86" s="113">
        <v>0</v>
      </c>
      <c r="D86" s="113">
        <f t="shared" si="17"/>
        <v>0</v>
      </c>
      <c r="E86" s="113">
        <v>0</v>
      </c>
      <c r="F86" s="113">
        <v>0</v>
      </c>
      <c r="G86" s="113">
        <f t="shared" si="18"/>
        <v>0</v>
      </c>
      <c r="H86" s="113">
        <f t="shared" si="19"/>
        <v>0</v>
      </c>
      <c r="Y86" s="62" t="s">
        <v>90</v>
      </c>
      <c r="Z86" s="142"/>
      <c r="AA86" s="365"/>
    </row>
    <row r="87" spans="1:28" ht="15" customHeight="1" thickBot="1" x14ac:dyDescent="0.3">
      <c r="A87" s="427" t="s">
        <v>289</v>
      </c>
      <c r="B87" s="127">
        <v>0</v>
      </c>
      <c r="C87" s="127">
        <v>400475</v>
      </c>
      <c r="D87" s="127">
        <f t="shared" si="17"/>
        <v>400475</v>
      </c>
      <c r="E87" s="127">
        <v>0</v>
      </c>
      <c r="F87" s="127">
        <v>430555</v>
      </c>
      <c r="G87" s="127">
        <f t="shared" si="18"/>
        <v>430555</v>
      </c>
      <c r="H87" s="127">
        <f t="shared" si="19"/>
        <v>831030</v>
      </c>
      <c r="Y87" s="77" t="s">
        <v>91</v>
      </c>
      <c r="Z87" s="142"/>
      <c r="AA87" s="365"/>
    </row>
    <row r="88" spans="1:28" ht="15" customHeight="1" x14ac:dyDescent="0.25">
      <c r="A88" s="89" t="s">
        <v>288</v>
      </c>
      <c r="B88" s="127">
        <v>0</v>
      </c>
      <c r="C88" s="127">
        <v>225526</v>
      </c>
      <c r="D88" s="127">
        <f t="shared" si="17"/>
        <v>225526</v>
      </c>
      <c r="E88" s="127">
        <v>0</v>
      </c>
      <c r="F88" s="127">
        <v>224247</v>
      </c>
      <c r="G88" s="127">
        <f t="shared" si="18"/>
        <v>224247</v>
      </c>
      <c r="H88" s="127">
        <f t="shared" si="19"/>
        <v>449773</v>
      </c>
      <c r="X88">
        <v>275</v>
      </c>
      <c r="Y88" s="63" t="s">
        <v>182</v>
      </c>
      <c r="Z88" s="150"/>
      <c r="AA88" s="366"/>
      <c r="AB88">
        <f>VLOOKUP($X88,$U$3:$V$99,2,FALSE)</f>
        <v>0.18099999999999999</v>
      </c>
    </row>
    <row r="89" spans="1:28" ht="14.4" thickBot="1" x14ac:dyDescent="0.3">
      <c r="A89" s="30" t="s">
        <v>347</v>
      </c>
      <c r="B89" s="113">
        <v>0</v>
      </c>
      <c r="C89" s="113">
        <v>0</v>
      </c>
      <c r="D89" s="113">
        <f t="shared" ref="D89:D90" si="20">+B89+C89</f>
        <v>0</v>
      </c>
      <c r="E89" s="113">
        <v>0</v>
      </c>
      <c r="F89" s="113">
        <v>27467</v>
      </c>
      <c r="G89" s="113">
        <f t="shared" ref="G89:G90" si="21">+E89+F89</f>
        <v>27467</v>
      </c>
      <c r="H89" s="113">
        <f t="shared" ref="H89:H90" si="22">+D89+G89</f>
        <v>27467</v>
      </c>
      <c r="X89">
        <v>275</v>
      </c>
      <c r="Y89" s="63" t="s">
        <v>183</v>
      </c>
      <c r="Z89" s="144">
        <v>25.86</v>
      </c>
      <c r="AA89" s="361">
        <v>33.619999999999997</v>
      </c>
      <c r="AB89">
        <v>0.18099999999999999</v>
      </c>
    </row>
    <row r="90" spans="1:28" ht="13.8" x14ac:dyDescent="0.25">
      <c r="A90" s="30" t="s">
        <v>348</v>
      </c>
      <c r="B90" s="113">
        <v>0</v>
      </c>
      <c r="C90" s="113">
        <v>0</v>
      </c>
      <c r="D90" s="113">
        <f t="shared" si="20"/>
        <v>0</v>
      </c>
      <c r="E90" s="113">
        <v>0</v>
      </c>
      <c r="F90" s="113">
        <v>28013</v>
      </c>
      <c r="G90" s="113">
        <f t="shared" si="21"/>
        <v>28013</v>
      </c>
      <c r="H90" s="113">
        <f t="shared" si="22"/>
        <v>28013</v>
      </c>
      <c r="X90">
        <v>266</v>
      </c>
      <c r="Y90" s="64" t="s">
        <v>184</v>
      </c>
      <c r="Z90" s="148"/>
      <c r="AA90" s="363"/>
      <c r="AB90">
        <f>VLOOKUP($X90,$U$3:$V$99,2,FALSE)</f>
        <v>0.29399999999999998</v>
      </c>
    </row>
    <row r="91" spans="1:28" ht="15" customHeight="1" thickBot="1" x14ac:dyDescent="0.3">
      <c r="A91" s="82" t="s">
        <v>133</v>
      </c>
      <c r="B91" s="113">
        <v>0</v>
      </c>
      <c r="C91" s="113">
        <v>0</v>
      </c>
      <c r="D91" s="113">
        <f t="shared" si="17"/>
        <v>0</v>
      </c>
      <c r="E91" s="113">
        <v>4280816</v>
      </c>
      <c r="F91" s="113">
        <v>0</v>
      </c>
      <c r="G91" s="113">
        <f t="shared" si="18"/>
        <v>4280816</v>
      </c>
      <c r="H91" s="113">
        <f t="shared" si="19"/>
        <v>4280816</v>
      </c>
      <c r="X91">
        <v>266</v>
      </c>
      <c r="Y91" s="63" t="s">
        <v>183</v>
      </c>
      <c r="Z91" s="144">
        <v>28.44</v>
      </c>
      <c r="AA91" s="361">
        <v>36.97</v>
      </c>
      <c r="AB91">
        <v>0.29399999999999998</v>
      </c>
    </row>
    <row r="92" spans="1:28" ht="13.8" x14ac:dyDescent="0.25">
      <c r="A92" s="30"/>
      <c r="B92" s="113"/>
      <c r="C92" s="113"/>
      <c r="E92" s="113"/>
      <c r="F92" s="113"/>
      <c r="X92">
        <v>267</v>
      </c>
      <c r="Y92" s="64" t="s">
        <v>185</v>
      </c>
      <c r="Z92" s="148"/>
      <c r="AA92" s="149"/>
      <c r="AB92">
        <f>VLOOKUP($X92,$U$3:$V$99,2,FALSE)</f>
        <v>0.47099999999999997</v>
      </c>
    </row>
    <row r="93" spans="1:28" ht="14.4" thickBot="1" x14ac:dyDescent="0.3">
      <c r="A93" s="30"/>
      <c r="B93" s="113">
        <f>SUM(B78:B91)</f>
        <v>40688728</v>
      </c>
      <c r="C93" s="113">
        <f>SUM(C78:C91)</f>
        <v>32369796</v>
      </c>
      <c r="D93" s="165">
        <f>SUM(D78:D91)</f>
        <v>73058524</v>
      </c>
      <c r="E93" s="324">
        <f>SUM(E78:E91)</f>
        <v>39560484</v>
      </c>
      <c r="F93" s="324">
        <f>SUM(F78:F91)</f>
        <v>49866095</v>
      </c>
      <c r="G93" s="324">
        <f t="shared" ref="G93:H93" si="23">SUM(G78:G91)</f>
        <v>89426579</v>
      </c>
      <c r="H93" s="113">
        <f t="shared" si="23"/>
        <v>162485103</v>
      </c>
      <c r="X93">
        <v>267</v>
      </c>
      <c r="Y93" s="63" t="s">
        <v>183</v>
      </c>
      <c r="Z93" s="144">
        <v>32.64</v>
      </c>
      <c r="AA93" s="361">
        <v>42.43</v>
      </c>
      <c r="AB93">
        <v>0.47099999999999997</v>
      </c>
    </row>
    <row r="94" spans="1:28" ht="13.8" x14ac:dyDescent="0.25">
      <c r="A94" s="30"/>
      <c r="B94" s="113"/>
      <c r="C94" s="113"/>
      <c r="D94" s="113"/>
      <c r="E94" s="113"/>
      <c r="F94" s="125"/>
      <c r="X94">
        <v>276</v>
      </c>
      <c r="Y94" s="64" t="s">
        <v>186</v>
      </c>
      <c r="Z94" s="148"/>
      <c r="AA94" s="363"/>
      <c r="AB94">
        <f>VLOOKUP($X94,$U$3:$V$99,2,FALSE)</f>
        <v>8.3000000000000004E-2</v>
      </c>
    </row>
    <row r="95" spans="1:28" ht="14.4" thickBot="1" x14ac:dyDescent="0.3">
      <c r="B95" s="113"/>
      <c r="C95" s="113"/>
      <c r="D95" s="113"/>
      <c r="E95" s="113"/>
      <c r="F95" s="113"/>
      <c r="X95">
        <v>276</v>
      </c>
      <c r="Y95" s="63" t="s">
        <v>183</v>
      </c>
      <c r="Z95" s="144">
        <v>15.2</v>
      </c>
      <c r="AA95" s="361">
        <v>19.760000000000002</v>
      </c>
      <c r="AB95">
        <v>8.3000000000000004E-2</v>
      </c>
    </row>
    <row r="96" spans="1:28" ht="13.8" x14ac:dyDescent="0.25">
      <c r="B96" s="113"/>
      <c r="C96" s="113"/>
      <c r="D96" s="113"/>
      <c r="E96" s="113"/>
      <c r="F96" s="113"/>
      <c r="X96">
        <v>274</v>
      </c>
      <c r="Y96" s="64" t="s">
        <v>187</v>
      </c>
      <c r="Z96" s="148"/>
      <c r="AA96" s="363"/>
      <c r="AB96">
        <f>VLOOKUP($X96,$U$3:$V$99,2,FALSE)</f>
        <v>0.11700000000000001</v>
      </c>
    </row>
    <row r="97" spans="2:28" ht="14.4" thickBot="1" x14ac:dyDescent="0.3">
      <c r="B97" s="113"/>
      <c r="C97" s="113"/>
      <c r="D97" s="113"/>
      <c r="E97" s="113"/>
      <c r="F97" s="113"/>
      <c r="X97">
        <v>274</v>
      </c>
      <c r="Y97" s="63" t="s">
        <v>183</v>
      </c>
      <c r="Z97" s="144">
        <v>18.260000000000002</v>
      </c>
      <c r="AA97" s="361">
        <v>22.85</v>
      </c>
      <c r="AB97">
        <v>0.11700000000000001</v>
      </c>
    </row>
    <row r="98" spans="2:28" ht="13.8" x14ac:dyDescent="0.25">
      <c r="B98" s="113"/>
      <c r="C98" s="113"/>
      <c r="D98" s="113"/>
      <c r="E98" s="113"/>
      <c r="F98" s="113"/>
      <c r="X98">
        <v>277</v>
      </c>
      <c r="Y98" s="64" t="s">
        <v>188</v>
      </c>
      <c r="Z98" s="148"/>
      <c r="AA98" s="363"/>
      <c r="AB98">
        <f>VLOOKUP($X98,$U$3:$V$99,2,FALSE)</f>
        <v>0.18099999999999999</v>
      </c>
    </row>
    <row r="99" spans="2:28" ht="13.8" x14ac:dyDescent="0.25">
      <c r="B99" s="113"/>
      <c r="C99" s="113"/>
      <c r="D99" s="113"/>
      <c r="E99" s="113"/>
      <c r="F99" s="113"/>
      <c r="X99">
        <v>277</v>
      </c>
      <c r="Y99" s="63" t="s">
        <v>183</v>
      </c>
      <c r="Z99" s="144">
        <v>23.11</v>
      </c>
      <c r="AA99" s="361">
        <v>24.06</v>
      </c>
      <c r="AB99">
        <v>0.18099999999999999</v>
      </c>
    </row>
    <row r="100" spans="2:28" ht="13.8" x14ac:dyDescent="0.25">
      <c r="B100" s="113"/>
      <c r="C100" s="113"/>
      <c r="D100" s="113"/>
      <c r="E100" s="113"/>
      <c r="F100" s="113"/>
      <c r="Y100" s="63"/>
      <c r="Z100" s="144"/>
      <c r="AA100" s="145"/>
    </row>
    <row r="101" spans="2:28" ht="14.4" thickBot="1" x14ac:dyDescent="0.3">
      <c r="B101" s="113"/>
      <c r="C101" s="113"/>
      <c r="D101" s="113"/>
      <c r="E101" s="113"/>
      <c r="F101" s="113"/>
      <c r="Y101" s="63"/>
      <c r="Z101" s="144"/>
      <c r="AA101" s="145"/>
    </row>
    <row r="102" spans="2:28" ht="14.4" thickBot="1" x14ac:dyDescent="0.3">
      <c r="B102" s="113"/>
      <c r="C102" s="113"/>
      <c r="D102" s="113"/>
      <c r="E102" s="113"/>
      <c r="F102" s="113"/>
      <c r="X102">
        <v>279</v>
      </c>
      <c r="Y102" s="64" t="s">
        <v>189</v>
      </c>
      <c r="Z102" s="146">
        <v>45.11</v>
      </c>
      <c r="AA102" s="362">
        <v>45.11</v>
      </c>
      <c r="AB102">
        <f>VLOOKUP($X102,$U$3:$V$99,2,FALSE)</f>
        <v>1</v>
      </c>
    </row>
    <row r="103" spans="2:28" ht="13.8" x14ac:dyDescent="0.25">
      <c r="B103" s="113"/>
      <c r="C103" s="113"/>
      <c r="D103" s="113"/>
      <c r="E103" s="113"/>
      <c r="F103" s="113"/>
      <c r="X103">
        <v>278</v>
      </c>
      <c r="Y103" s="64" t="s">
        <v>190</v>
      </c>
      <c r="Z103" s="148"/>
      <c r="AA103" s="363"/>
      <c r="AB103">
        <f>VLOOKUP($X103,$U$3:$V$99,2,FALSE)</f>
        <v>1</v>
      </c>
    </row>
    <row r="104" spans="2:28" ht="14.4" thickBot="1" x14ac:dyDescent="0.3">
      <c r="B104" s="113"/>
      <c r="C104" s="113"/>
      <c r="D104" s="113"/>
      <c r="E104" s="113"/>
      <c r="F104" s="113"/>
      <c r="X104">
        <v>278</v>
      </c>
      <c r="Y104" s="63" t="s">
        <v>183</v>
      </c>
      <c r="Z104" s="144">
        <v>76.239999999999995</v>
      </c>
      <c r="AA104" s="361">
        <v>76.239999999999995</v>
      </c>
      <c r="AB104">
        <v>1</v>
      </c>
    </row>
    <row r="105" spans="2:28" ht="14.4" thickBot="1" x14ac:dyDescent="0.3">
      <c r="B105" s="113"/>
      <c r="C105" s="113"/>
      <c r="D105" s="113"/>
      <c r="E105" s="113"/>
      <c r="F105" s="113"/>
      <c r="X105">
        <v>417</v>
      </c>
      <c r="Y105" s="64" t="s">
        <v>191</v>
      </c>
      <c r="Z105" s="146">
        <v>24.75</v>
      </c>
      <c r="AA105" s="362">
        <v>25.33</v>
      </c>
      <c r="AB105">
        <f t="shared" ref="AB105:AB114" si="24">VLOOKUP($X105,$U$3:$V$99,2,FALSE)</f>
        <v>0.11700000000000001</v>
      </c>
    </row>
    <row r="106" spans="2:28" ht="14.4" thickBot="1" x14ac:dyDescent="0.3">
      <c r="B106" s="113"/>
      <c r="C106" s="113"/>
      <c r="D106" s="113"/>
      <c r="E106" s="113"/>
      <c r="F106" s="113"/>
      <c r="X106">
        <v>419</v>
      </c>
      <c r="Y106" s="64" t="s">
        <v>192</v>
      </c>
      <c r="Z106" s="146">
        <v>26.3</v>
      </c>
      <c r="AA106" s="362">
        <v>26.48</v>
      </c>
      <c r="AB106">
        <f t="shared" si="24"/>
        <v>0.11700000000000001</v>
      </c>
    </row>
    <row r="107" spans="2:28" ht="14.4" thickBot="1" x14ac:dyDescent="0.3">
      <c r="B107" s="113"/>
      <c r="C107" s="113"/>
      <c r="D107" s="113"/>
      <c r="E107" s="113"/>
      <c r="F107" s="113"/>
      <c r="X107">
        <v>280</v>
      </c>
      <c r="Y107" s="64" t="s">
        <v>193</v>
      </c>
      <c r="Z107" s="146">
        <v>20.41</v>
      </c>
      <c r="AA107" s="362">
        <v>26.53</v>
      </c>
      <c r="AB107">
        <f t="shared" si="24"/>
        <v>8.3000000000000004E-2</v>
      </c>
    </row>
    <row r="108" spans="2:28" ht="14.4" thickBot="1" x14ac:dyDescent="0.3">
      <c r="B108" s="113"/>
      <c r="C108" s="113"/>
      <c r="D108" s="113"/>
      <c r="E108" s="113"/>
      <c r="F108" s="113"/>
      <c r="X108">
        <v>281</v>
      </c>
      <c r="Y108" s="64" t="s">
        <v>194</v>
      </c>
      <c r="Z108" s="146">
        <v>21.42</v>
      </c>
      <c r="AA108" s="362">
        <v>27.85</v>
      </c>
      <c r="AB108">
        <f t="shared" si="24"/>
        <v>0.11700000000000001</v>
      </c>
    </row>
    <row r="109" spans="2:28" ht="14.4" thickBot="1" x14ac:dyDescent="0.3">
      <c r="B109" s="113"/>
      <c r="C109" s="113"/>
      <c r="D109" s="113"/>
      <c r="E109" s="113"/>
      <c r="F109" s="113"/>
      <c r="X109">
        <v>282</v>
      </c>
      <c r="Y109" s="64" t="s">
        <v>195</v>
      </c>
      <c r="Z109" s="146">
        <v>20.56</v>
      </c>
      <c r="AA109" s="362">
        <v>26.73</v>
      </c>
      <c r="AB109">
        <f t="shared" si="24"/>
        <v>8.3000000000000004E-2</v>
      </c>
    </row>
    <row r="110" spans="2:28" ht="14.4" thickBot="1" x14ac:dyDescent="0.3">
      <c r="B110" s="113"/>
      <c r="C110" s="113"/>
      <c r="D110" s="113"/>
      <c r="E110" s="113"/>
      <c r="F110" s="113"/>
      <c r="X110">
        <v>283</v>
      </c>
      <c r="Y110" s="64" t="s">
        <v>196</v>
      </c>
      <c r="Z110" s="146">
        <v>21.98</v>
      </c>
      <c r="AA110" s="362">
        <v>28.46</v>
      </c>
      <c r="AB110">
        <f t="shared" si="24"/>
        <v>0.11700000000000001</v>
      </c>
    </row>
    <row r="111" spans="2:28" ht="14.4" thickBot="1" x14ac:dyDescent="0.3">
      <c r="B111" s="113"/>
      <c r="C111" s="113"/>
      <c r="D111" s="113"/>
      <c r="E111" s="113"/>
      <c r="F111" s="113"/>
      <c r="X111">
        <v>426</v>
      </c>
      <c r="Y111" s="64" t="s">
        <v>197</v>
      </c>
      <c r="Z111" s="146">
        <v>34.26</v>
      </c>
      <c r="AA111" s="362">
        <v>36.369999999999997</v>
      </c>
      <c r="AB111">
        <f t="shared" si="24"/>
        <v>8.3000000000000004E-2</v>
      </c>
    </row>
    <row r="112" spans="2:28" ht="14.4" thickBot="1" x14ac:dyDescent="0.3">
      <c r="B112" s="113"/>
      <c r="C112" s="113"/>
      <c r="D112" s="113"/>
      <c r="E112" s="113"/>
      <c r="F112" s="113"/>
      <c r="X112">
        <v>428</v>
      </c>
      <c r="Y112" s="64" t="s">
        <v>198</v>
      </c>
      <c r="Z112" s="146">
        <v>35.17</v>
      </c>
      <c r="AA112" s="362">
        <v>35.83</v>
      </c>
      <c r="AB112">
        <f t="shared" si="24"/>
        <v>0.11</v>
      </c>
    </row>
    <row r="113" spans="2:28" ht="14.4" thickBot="1" x14ac:dyDescent="0.3">
      <c r="B113" s="113"/>
      <c r="C113" s="113"/>
      <c r="D113" s="113"/>
      <c r="E113" s="113"/>
      <c r="F113" s="113"/>
      <c r="X113">
        <v>430</v>
      </c>
      <c r="Y113" s="64" t="s">
        <v>199</v>
      </c>
      <c r="Z113" s="146">
        <v>33.299999999999997</v>
      </c>
      <c r="AA113" s="362">
        <v>36.01</v>
      </c>
      <c r="AB113">
        <f t="shared" si="24"/>
        <v>8.3000000000000004E-2</v>
      </c>
    </row>
    <row r="114" spans="2:28" ht="14.4" thickBot="1" x14ac:dyDescent="0.3">
      <c r="B114" s="113"/>
      <c r="C114" s="113"/>
      <c r="D114" s="113"/>
      <c r="E114" s="113"/>
      <c r="F114" s="113"/>
      <c r="X114">
        <v>432</v>
      </c>
      <c r="Y114" s="64" t="s">
        <v>200</v>
      </c>
      <c r="Z114" s="146">
        <v>35.409999999999997</v>
      </c>
      <c r="AA114" s="362">
        <v>36.32</v>
      </c>
      <c r="AB114">
        <f t="shared" si="24"/>
        <v>0.11700000000000001</v>
      </c>
    </row>
    <row r="115" spans="2:28" ht="14.4" thickBot="1" x14ac:dyDescent="0.3">
      <c r="B115" s="113"/>
      <c r="C115" s="113"/>
      <c r="D115" s="113"/>
      <c r="E115" s="113"/>
      <c r="F115" s="113"/>
      <c r="X115" t="s">
        <v>145</v>
      </c>
      <c r="Y115" s="65"/>
      <c r="Z115" s="151"/>
      <c r="AA115" s="364"/>
    </row>
    <row r="116" spans="2:28" ht="15" thickBot="1" x14ac:dyDescent="0.3">
      <c r="B116" s="113"/>
      <c r="C116" s="113"/>
      <c r="D116" s="113"/>
      <c r="E116" s="113"/>
      <c r="F116" s="113"/>
      <c r="Y116" s="61" t="s">
        <v>93</v>
      </c>
      <c r="Z116" s="142"/>
      <c r="AA116" s="143"/>
    </row>
    <row r="117" spans="2:28" ht="14.4" thickBot="1" x14ac:dyDescent="0.3">
      <c r="B117" s="113"/>
      <c r="C117" s="113"/>
      <c r="D117" s="113"/>
      <c r="E117" s="113"/>
      <c r="F117" s="113"/>
      <c r="X117">
        <v>318</v>
      </c>
      <c r="Y117" s="63" t="s">
        <v>201</v>
      </c>
      <c r="Z117" s="144">
        <v>18.09</v>
      </c>
      <c r="AA117" s="361">
        <v>19.559999999999999</v>
      </c>
      <c r="AB117">
        <f>VLOOKUP($X117,$U$3:$V$99,2,FALSE)</f>
        <v>0.21</v>
      </c>
    </row>
    <row r="118" spans="2:28" ht="14.4" thickBot="1" x14ac:dyDescent="0.3">
      <c r="B118" s="113"/>
      <c r="C118" s="113"/>
      <c r="D118" s="113"/>
      <c r="E118" s="113"/>
      <c r="F118" s="113"/>
      <c r="X118">
        <v>314</v>
      </c>
      <c r="Y118" s="64" t="s">
        <v>202</v>
      </c>
      <c r="Z118" s="146">
        <v>19.93</v>
      </c>
      <c r="AA118" s="362">
        <v>21.54</v>
      </c>
      <c r="AB118">
        <f t="shared" ref="AB118:AB121" si="25">VLOOKUP($X118,$U$3:$V$99,2,FALSE)</f>
        <v>0.29799999999999999</v>
      </c>
    </row>
    <row r="119" spans="2:28" ht="14.4" thickBot="1" x14ac:dyDescent="0.3">
      <c r="B119" s="113"/>
      <c r="C119" s="113"/>
      <c r="D119" s="113"/>
      <c r="E119" s="113"/>
      <c r="F119" s="113"/>
      <c r="X119">
        <v>315</v>
      </c>
      <c r="Y119" s="64" t="s">
        <v>203</v>
      </c>
      <c r="Z119" s="146">
        <v>23.85</v>
      </c>
      <c r="AA119" s="362">
        <v>25.78</v>
      </c>
      <c r="AB119">
        <f t="shared" si="25"/>
        <v>0.46200000000000002</v>
      </c>
    </row>
    <row r="120" spans="2:28" ht="14.4" thickBot="1" x14ac:dyDescent="0.3">
      <c r="B120" s="113"/>
      <c r="C120" s="113"/>
      <c r="D120" s="113"/>
      <c r="E120" s="113"/>
      <c r="F120" s="113"/>
      <c r="X120">
        <v>206</v>
      </c>
      <c r="Y120" s="64" t="s">
        <v>204</v>
      </c>
      <c r="Z120" s="146">
        <v>13.08</v>
      </c>
      <c r="AA120" s="362">
        <v>14.14</v>
      </c>
      <c r="AB120">
        <f t="shared" si="25"/>
        <v>0.1</v>
      </c>
    </row>
    <row r="121" spans="2:28" ht="14.4" thickBot="1" x14ac:dyDescent="0.3">
      <c r="B121" s="113"/>
      <c r="C121" s="113"/>
      <c r="D121" s="113"/>
      <c r="E121" s="113"/>
      <c r="F121" s="113"/>
      <c r="X121">
        <v>208</v>
      </c>
      <c r="Y121" s="64" t="s">
        <v>205</v>
      </c>
      <c r="Z121" s="146">
        <v>14.91</v>
      </c>
      <c r="AA121" s="362">
        <v>16.12</v>
      </c>
      <c r="AB121">
        <f t="shared" si="25"/>
        <v>0.21</v>
      </c>
    </row>
    <row r="122" spans="2:28" ht="14.4" thickBot="1" x14ac:dyDescent="0.3">
      <c r="B122" s="113"/>
      <c r="C122" s="113"/>
      <c r="D122" s="113"/>
      <c r="E122" s="113"/>
      <c r="F122" s="113"/>
      <c r="X122" t="s">
        <v>145</v>
      </c>
      <c r="Y122" s="65"/>
      <c r="Z122" s="151"/>
      <c r="AA122" s="364"/>
    </row>
    <row r="123" spans="2:28" ht="15" thickBot="1" x14ac:dyDescent="0.3">
      <c r="B123" s="113"/>
      <c r="C123" s="113"/>
      <c r="D123" s="113"/>
      <c r="E123" s="113"/>
      <c r="F123" s="113"/>
      <c r="Y123" s="62" t="s">
        <v>94</v>
      </c>
      <c r="Z123" s="142"/>
      <c r="AA123" s="365"/>
    </row>
    <row r="124" spans="2:28" ht="14.4" thickBot="1" x14ac:dyDescent="0.3">
      <c r="B124" s="113"/>
      <c r="C124" s="113"/>
      <c r="D124" s="113"/>
      <c r="E124" s="113"/>
      <c r="F124" s="113"/>
      <c r="X124">
        <v>349</v>
      </c>
      <c r="Y124" s="61" t="s">
        <v>206</v>
      </c>
      <c r="Z124" s="152">
        <v>9.57</v>
      </c>
      <c r="AA124" s="367">
        <v>9.57</v>
      </c>
      <c r="AB124">
        <f>VLOOKUP($X124,$U$3:$V$99,2,FALSE)</f>
        <v>0.10199999999999999</v>
      </c>
    </row>
    <row r="125" spans="2:28" ht="14.4" thickBot="1" x14ac:dyDescent="0.3">
      <c r="B125" s="113"/>
      <c r="C125" s="113"/>
      <c r="D125" s="113"/>
      <c r="E125" s="113"/>
      <c r="F125" s="113"/>
      <c r="X125">
        <v>348</v>
      </c>
      <c r="Y125" s="75" t="s">
        <v>207</v>
      </c>
      <c r="Z125" s="153">
        <v>13.93</v>
      </c>
      <c r="AA125" s="368">
        <v>13.93</v>
      </c>
      <c r="AB125">
        <f>VLOOKUP($X125,$U$3:$V$99,2,FALSE)</f>
        <v>0.44700000000000001</v>
      </c>
    </row>
    <row r="126" spans="2:28" x14ac:dyDescent="0.25">
      <c r="B126" s="113"/>
      <c r="C126" s="113"/>
      <c r="D126" s="113"/>
      <c r="E126" s="113"/>
      <c r="F126" s="113"/>
      <c r="AA126" s="32"/>
    </row>
    <row r="127" spans="2:28" x14ac:dyDescent="0.25">
      <c r="B127" s="113"/>
      <c r="C127" s="113"/>
      <c r="D127" s="113"/>
      <c r="E127" s="113"/>
      <c r="F127" s="113"/>
      <c r="AA127" s="32"/>
    </row>
    <row r="128" spans="2:28" x14ac:dyDescent="0.25">
      <c r="B128" s="113"/>
      <c r="C128" s="113"/>
      <c r="D128" s="113"/>
      <c r="E128" s="113"/>
      <c r="F128" s="113"/>
      <c r="AA128" s="32"/>
    </row>
    <row r="129" spans="2:27" x14ac:dyDescent="0.25">
      <c r="B129" s="113"/>
      <c r="C129" s="113"/>
      <c r="D129" s="113"/>
      <c r="E129" s="113"/>
      <c r="F129" s="113"/>
      <c r="AA129" s="32"/>
    </row>
    <row r="130" spans="2:27" x14ac:dyDescent="0.25">
      <c r="B130" s="113"/>
      <c r="C130" s="113"/>
      <c r="D130" s="113"/>
      <c r="E130" s="113"/>
      <c r="F130" s="113"/>
      <c r="AA130" s="32"/>
    </row>
    <row r="131" spans="2:27" x14ac:dyDescent="0.25">
      <c r="B131" s="113"/>
      <c r="C131" s="113"/>
      <c r="D131" s="113"/>
      <c r="E131" s="113"/>
      <c r="F131" s="113"/>
      <c r="AA131" s="32"/>
    </row>
    <row r="132" spans="2:27" x14ac:dyDescent="0.25">
      <c r="B132" s="113"/>
      <c r="C132" s="113"/>
      <c r="D132" s="113"/>
      <c r="E132" s="113"/>
      <c r="F132" s="113"/>
      <c r="AA132" s="32"/>
    </row>
    <row r="133" spans="2:27" x14ac:dyDescent="0.25">
      <c r="B133" s="113"/>
      <c r="C133" s="113"/>
      <c r="D133" s="113"/>
      <c r="E133" s="113"/>
      <c r="F133" s="113"/>
      <c r="AA133" s="32"/>
    </row>
    <row r="134" spans="2:27" x14ac:dyDescent="0.25">
      <c r="AA134" s="32"/>
    </row>
  </sheetData>
  <mergeCells count="3">
    <mergeCell ref="Y83:Y84"/>
    <mergeCell ref="B76:D76"/>
    <mergeCell ref="E76:G76"/>
  </mergeCells>
  <phoneticPr fontId="5" type="noConversion"/>
  <pageMargins left="0.75" right="0.75" top="1" bottom="1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44"/>
  <sheetViews>
    <sheetView view="pageBreakPreview" zoomScale="80" zoomScaleNormal="100" zoomScaleSheetLayoutView="80" workbookViewId="0">
      <selection activeCell="A3" sqref="A3:P3"/>
    </sheetView>
  </sheetViews>
  <sheetFormatPr defaultRowHeight="13.2" x14ac:dyDescent="0.25"/>
  <cols>
    <col min="1" max="1" width="8.109375" customWidth="1"/>
    <col min="2" max="2" width="2.109375" customWidth="1"/>
    <col min="3" max="3" width="7.33203125" bestFit="1" customWidth="1"/>
    <col min="4" max="4" width="2.5546875" customWidth="1"/>
    <col min="5" max="5" width="9.88671875" bestFit="1" customWidth="1"/>
    <col min="6" max="6" width="3" customWidth="1"/>
    <col min="7" max="8" width="12.33203125" bestFit="1" customWidth="1"/>
    <col min="9" max="9" width="11" customWidth="1"/>
    <col min="10" max="10" width="9.33203125" bestFit="1" customWidth="1"/>
    <col min="11" max="11" width="12" bestFit="1" customWidth="1"/>
    <col min="12" max="12" width="11.33203125" bestFit="1" customWidth="1"/>
    <col min="13" max="13" width="11.5546875" customWidth="1"/>
    <col min="14" max="15" width="12.33203125" bestFit="1" customWidth="1"/>
    <col min="16" max="16" width="10.88671875" customWidth="1"/>
    <col min="17" max="17" width="5.5546875" customWidth="1"/>
    <col min="18" max="18" width="5" customWidth="1"/>
    <col min="19" max="19" width="10.88671875" customWidth="1"/>
    <col min="20" max="20" width="11.5546875" bestFit="1" customWidth="1"/>
    <col min="21" max="21" width="11.44140625" customWidth="1"/>
    <col min="22" max="22" width="2" customWidth="1"/>
    <col min="23" max="23" width="11.88671875" bestFit="1" customWidth="1"/>
    <col min="24" max="24" width="4.6640625" customWidth="1"/>
    <col min="25" max="25" width="13" customWidth="1"/>
    <col min="26" max="26" width="5" customWidth="1"/>
    <col min="27" max="27" width="3.109375" customWidth="1"/>
    <col min="28" max="28" width="16.33203125" bestFit="1" customWidth="1"/>
    <col min="29" max="30" width="12" bestFit="1" customWidth="1"/>
    <col min="31" max="31" width="4.5546875" customWidth="1"/>
    <col min="32" max="32" width="12" bestFit="1" customWidth="1"/>
    <col min="33" max="33" width="3.33203125" customWidth="1"/>
    <col min="34" max="34" width="12.109375" bestFit="1" customWidth="1"/>
    <col min="35" max="36" width="12.5546875" bestFit="1" customWidth="1"/>
  </cols>
  <sheetData>
    <row r="1" spans="1:42" x14ac:dyDescent="0.25">
      <c r="A1" s="441" t="str">
        <f>+'Rate Case Constants'!C9</f>
        <v>LOUISVILLE GAS AND ELECTRIC COMPANY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</row>
    <row r="2" spans="1:42" x14ac:dyDescent="0.25">
      <c r="A2" s="441" t="str">
        <f>+'Rate Case Constants'!C10</f>
        <v>CASE NO. 2016-00371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</row>
    <row r="3" spans="1:42" x14ac:dyDescent="0.25">
      <c r="A3" s="442" t="str">
        <f>+'Rate Case Constants'!C24</f>
        <v>Typical Electric Bill Comparison under Present &amp; Proposed Rates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</row>
    <row r="4" spans="1:42" x14ac:dyDescent="0.25">
      <c r="A4" s="441" t="str">
        <f>+'Rate Case Constants'!C21</f>
        <v>FORECAST PERIOD FOR THE 12 MONTHS ENDED JUNE 30, 2018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42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</row>
    <row r="6" spans="1:42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</row>
    <row r="7" spans="1:42" x14ac:dyDescent="0.25">
      <c r="A7" s="340" t="str">
        <f>+'Rate Case Constants'!C33</f>
        <v>DATA: ____BASE PERIOD__X___FORECASTED PERIOD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1" t="str">
        <f>+'Rate Case Constants'!C25</f>
        <v>SCHEDULE N (Electric)</v>
      </c>
    </row>
    <row r="8" spans="1:42" x14ac:dyDescent="0.25">
      <c r="A8" s="340" t="str">
        <f>+'Rate Case Constants'!C29</f>
        <v>TYPE OF FILING: __X__ ORIGINAL  _____ UPDATED  _____ REVISED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2"/>
      <c r="M8" s="340"/>
      <c r="N8" s="340"/>
      <c r="O8" s="340"/>
      <c r="P8" s="342" t="str">
        <f>+'Rate Case Constants'!L14</f>
        <v>PAGE 7 of 21</v>
      </c>
    </row>
    <row r="9" spans="1:42" x14ac:dyDescent="0.25">
      <c r="A9" s="340" t="str">
        <f>+'Rate Case Constants'!C34</f>
        <v>WORKPAPER REFERENCE NO(S):________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2" t="str">
        <f>+'Rate Case Constants'!C36</f>
        <v>WITNESS:   C. M. GARRETT</v>
      </c>
    </row>
    <row r="10" spans="1:42" x14ac:dyDescent="0.25">
      <c r="A10" s="340"/>
      <c r="B10" s="340"/>
      <c r="C10" s="340"/>
      <c r="D10" s="340"/>
      <c r="E10" s="344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S10" s="84" t="s">
        <v>71</v>
      </c>
      <c r="T10">
        <f>+INPUT!G53</f>
        <v>-3.7964324856037041E-3</v>
      </c>
    </row>
    <row r="11" spans="1:42" x14ac:dyDescent="0.25">
      <c r="A11" s="351" t="s">
        <v>299</v>
      </c>
      <c r="B11" s="2"/>
      <c r="C11" s="2"/>
      <c r="S11" s="84" t="s">
        <v>73</v>
      </c>
      <c r="T11">
        <f>+INPUT!H53</f>
        <v>4.6863972632432135E-4</v>
      </c>
    </row>
    <row r="12" spans="1:42" x14ac:dyDescent="0.25">
      <c r="B12" s="2"/>
      <c r="C12" s="2"/>
      <c r="S12" s="84" t="s">
        <v>72</v>
      </c>
      <c r="T12">
        <f>+INPUT!I53</f>
        <v>3.4761494624182369E-3</v>
      </c>
    </row>
    <row r="13" spans="1:42" x14ac:dyDescent="0.25">
      <c r="A13" s="45"/>
      <c r="G13" s="202" t="s">
        <v>326</v>
      </c>
      <c r="H13" s="203" t="s">
        <v>327</v>
      </c>
      <c r="I13" s="203" t="s">
        <v>328</v>
      </c>
      <c r="J13" s="202" t="s">
        <v>329</v>
      </c>
      <c r="K13" s="202" t="s">
        <v>330</v>
      </c>
      <c r="L13" s="202" t="s">
        <v>331</v>
      </c>
      <c r="M13" s="203" t="s">
        <v>332</v>
      </c>
      <c r="N13" s="202" t="s">
        <v>333</v>
      </c>
      <c r="O13" s="202" t="s">
        <v>334</v>
      </c>
      <c r="P13" s="202" t="s">
        <v>335</v>
      </c>
      <c r="Y13" s="3" t="s">
        <v>72</v>
      </c>
      <c r="Z13" s="3"/>
      <c r="AG13" s="30"/>
      <c r="AH13" s="3" t="s">
        <v>72</v>
      </c>
      <c r="AI13" s="30"/>
      <c r="AJ13" s="30"/>
      <c r="AK13" s="30"/>
      <c r="AL13" s="30"/>
      <c r="AM13" s="30"/>
      <c r="AN13" s="30"/>
      <c r="AO13" s="30"/>
      <c r="AP13" s="30"/>
    </row>
    <row r="14" spans="1:42" x14ac:dyDescent="0.25">
      <c r="G14" s="313" t="s">
        <v>366</v>
      </c>
      <c r="H14" s="313" t="s">
        <v>366</v>
      </c>
      <c r="I14" s="206"/>
      <c r="J14" s="206"/>
      <c r="K14" s="206"/>
      <c r="L14" s="206"/>
      <c r="M14" s="206"/>
      <c r="N14" s="202" t="s">
        <v>5</v>
      </c>
      <c r="O14" s="202" t="s">
        <v>5</v>
      </c>
      <c r="P14" s="206"/>
      <c r="S14" s="3" t="s">
        <v>1</v>
      </c>
      <c r="T14" s="3" t="s">
        <v>1</v>
      </c>
      <c r="U14" s="3" t="s">
        <v>1</v>
      </c>
      <c r="W14" s="3" t="s">
        <v>1</v>
      </c>
      <c r="Y14" s="3" t="s">
        <v>1</v>
      </c>
      <c r="Z14" s="3"/>
      <c r="AB14" s="3" t="s">
        <v>9</v>
      </c>
      <c r="AC14" s="3" t="s">
        <v>9</v>
      </c>
      <c r="AD14" s="21" t="s">
        <v>9</v>
      </c>
      <c r="AE14" s="20"/>
      <c r="AF14" s="21" t="s">
        <v>9</v>
      </c>
      <c r="AG14" s="20"/>
      <c r="AH14" s="3" t="s">
        <v>1</v>
      </c>
      <c r="AI14" s="20"/>
      <c r="AK14" s="30"/>
      <c r="AM14" s="30"/>
      <c r="AN14" s="30"/>
    </row>
    <row r="15" spans="1:42" x14ac:dyDescent="0.25">
      <c r="C15" s="3" t="s">
        <v>27</v>
      </c>
      <c r="E15" s="3"/>
      <c r="F15" s="3"/>
      <c r="G15" s="202" t="s">
        <v>1</v>
      </c>
      <c r="H15" s="202" t="s">
        <v>74</v>
      </c>
      <c r="I15" s="202"/>
      <c r="J15" s="202"/>
      <c r="K15" s="436" t="s">
        <v>130</v>
      </c>
      <c r="L15" s="436"/>
      <c r="M15" s="437"/>
      <c r="N15" s="202" t="s">
        <v>1</v>
      </c>
      <c r="O15" s="202" t="s">
        <v>74</v>
      </c>
      <c r="P15" s="202"/>
      <c r="Q15" s="3"/>
      <c r="R15" s="3"/>
      <c r="S15" s="3" t="s">
        <v>2</v>
      </c>
      <c r="T15" s="3" t="s">
        <v>58</v>
      </c>
      <c r="U15" s="3" t="s">
        <v>28</v>
      </c>
      <c r="V15" s="3"/>
      <c r="W15" s="3" t="s">
        <v>5</v>
      </c>
      <c r="Y15" s="3" t="s">
        <v>76</v>
      </c>
      <c r="Z15" s="3"/>
      <c r="AB15" s="26" t="s">
        <v>57</v>
      </c>
      <c r="AC15" s="3" t="s">
        <v>58</v>
      </c>
      <c r="AD15" s="22" t="s">
        <v>18</v>
      </c>
      <c r="AE15" s="21"/>
      <c r="AF15" s="21" t="s">
        <v>5</v>
      </c>
      <c r="AG15" s="23"/>
      <c r="AH15" s="3" t="s">
        <v>76</v>
      </c>
      <c r="AI15" s="21" t="s">
        <v>6</v>
      </c>
      <c r="AJ15" s="3" t="s">
        <v>8</v>
      </c>
      <c r="AK15" s="48"/>
      <c r="AL15" s="48"/>
      <c r="AM15" s="47"/>
      <c r="AN15" s="47"/>
      <c r="AO15" s="47"/>
      <c r="AP15" s="47"/>
    </row>
    <row r="16" spans="1:42" x14ac:dyDescent="0.25">
      <c r="A16" s="3" t="s">
        <v>52</v>
      </c>
      <c r="C16" s="3" t="s">
        <v>24</v>
      </c>
      <c r="E16" s="3" t="s">
        <v>51</v>
      </c>
      <c r="F16" s="3"/>
      <c r="G16" s="202" t="s">
        <v>4</v>
      </c>
      <c r="H16" s="202" t="s">
        <v>4</v>
      </c>
      <c r="I16" s="202" t="s">
        <v>75</v>
      </c>
      <c r="J16" s="202" t="s">
        <v>75</v>
      </c>
      <c r="K16" s="202" t="s">
        <v>421</v>
      </c>
      <c r="L16" s="202" t="s">
        <v>73</v>
      </c>
      <c r="M16" s="202" t="s">
        <v>72</v>
      </c>
      <c r="N16" s="202" t="s">
        <v>4</v>
      </c>
      <c r="O16" s="202" t="s">
        <v>4</v>
      </c>
      <c r="P16" s="202" t="s">
        <v>75</v>
      </c>
      <c r="Q16" s="3"/>
      <c r="R16" s="3"/>
      <c r="S16" s="26" t="s">
        <v>3</v>
      </c>
      <c r="T16" s="3" t="s">
        <v>3</v>
      </c>
      <c r="U16" s="3" t="s">
        <v>59</v>
      </c>
      <c r="V16" s="3"/>
      <c r="W16" s="3" t="s">
        <v>4</v>
      </c>
      <c r="Y16" s="3" t="s">
        <v>3</v>
      </c>
      <c r="Z16" s="3"/>
      <c r="AB16" s="26" t="s">
        <v>3</v>
      </c>
      <c r="AC16" s="3" t="s">
        <v>3</v>
      </c>
      <c r="AD16" s="22" t="s">
        <v>56</v>
      </c>
      <c r="AE16" s="21"/>
      <c r="AF16" s="21" t="s">
        <v>4</v>
      </c>
      <c r="AG16" s="23"/>
      <c r="AH16" s="3" t="s">
        <v>3</v>
      </c>
      <c r="AI16" s="21" t="s">
        <v>7</v>
      </c>
      <c r="AJ16" s="3" t="s">
        <v>7</v>
      </c>
      <c r="AL16" s="30"/>
      <c r="AM16" s="30"/>
      <c r="AN16" s="30"/>
      <c r="AO16" s="30"/>
      <c r="AP16" s="30"/>
    </row>
    <row r="17" spans="1:41" x14ac:dyDescent="0.25">
      <c r="A17" s="3"/>
      <c r="C17" s="3"/>
      <c r="E17" s="3"/>
      <c r="F17" s="3"/>
      <c r="G17" s="202"/>
      <c r="H17" s="202"/>
      <c r="I17" s="202" t="s">
        <v>69</v>
      </c>
      <c r="J17" s="203" t="s">
        <v>70</v>
      </c>
      <c r="K17" s="204"/>
      <c r="L17" s="204"/>
      <c r="M17" s="205"/>
      <c r="N17" s="202" t="s">
        <v>69</v>
      </c>
      <c r="O17" s="202" t="s">
        <v>69</v>
      </c>
      <c r="P17" s="203" t="s">
        <v>70</v>
      </c>
      <c r="Q17" s="3"/>
      <c r="R17" s="3"/>
      <c r="S17" s="26"/>
      <c r="T17" s="43">
        <f>+INPUT!$G$6</f>
        <v>3.925E-2</v>
      </c>
      <c r="U17" s="46">
        <f>+INPUT!$G$12</f>
        <v>15.92</v>
      </c>
      <c r="V17" s="45" t="s">
        <v>67</v>
      </c>
      <c r="W17" s="3"/>
      <c r="Y17" s="43"/>
      <c r="Z17" s="43"/>
      <c r="AB17" s="26"/>
      <c r="AC17" s="43">
        <f>+INPUT!$G$27</f>
        <v>3.925E-2</v>
      </c>
      <c r="AD17" s="46">
        <f>INPUT!$G$33</f>
        <v>18.64</v>
      </c>
      <c r="AE17" s="45" t="s">
        <v>67</v>
      </c>
      <c r="AF17" s="21"/>
      <c r="AG17" s="23"/>
      <c r="AH17" s="43"/>
      <c r="AI17" s="21"/>
      <c r="AJ17" s="3"/>
      <c r="AM17" s="30"/>
      <c r="AN17" s="47"/>
      <c r="AO17" s="30"/>
    </row>
    <row r="18" spans="1:41" x14ac:dyDescent="0.25">
      <c r="A18" s="81"/>
      <c r="B18" s="16"/>
      <c r="C18" s="81"/>
      <c r="D18" s="16"/>
      <c r="E18" s="81"/>
      <c r="F18" s="81"/>
      <c r="G18" s="325"/>
      <c r="H18" s="325"/>
      <c r="I18" s="325" t="str">
        <f>("[ "&amp;H13&amp;" - "&amp;G13&amp;" ]")</f>
        <v>[ B - A ]</v>
      </c>
      <c r="J18" s="325" t="str">
        <f>("[ "&amp;I13&amp;" / "&amp;G13&amp;" ]")</f>
        <v>[ C / A ]</v>
      </c>
      <c r="K18" s="353"/>
      <c r="L18" s="353"/>
      <c r="M18" s="353"/>
      <c r="N18" s="325" t="str">
        <f>("["&amp;G13&amp;"+"&amp;$K$13&amp;"+"&amp;$L$13&amp;"+"&amp;$M$13&amp;"]")</f>
        <v>[A+E+F+G]</v>
      </c>
      <c r="O18" s="325" t="str">
        <f>("["&amp;H13&amp;"+"&amp;$K$13&amp;"+"&amp;$L$13&amp;"+"&amp;$M$13&amp;"]")</f>
        <v>[B+E+F+G]</v>
      </c>
      <c r="P18" s="325" t="str">
        <f>("[("&amp;O13&amp;" - "&amp;N13&amp;")/"&amp;N13&amp;"]")</f>
        <v>[(I - H)/H]</v>
      </c>
      <c r="Q18" s="3"/>
      <c r="R18" s="3"/>
      <c r="S18" s="26"/>
      <c r="T18" s="3" t="s">
        <v>14</v>
      </c>
      <c r="U18" s="46">
        <f>+INPUT!$G$13</f>
        <v>13.63</v>
      </c>
      <c r="V18" s="45" t="s">
        <v>68</v>
      </c>
      <c r="W18" s="3"/>
      <c r="Y18" s="3" t="s">
        <v>14</v>
      </c>
      <c r="Z18" s="3"/>
      <c r="AB18" s="26"/>
      <c r="AC18" s="3" t="s">
        <v>14</v>
      </c>
      <c r="AD18" s="46">
        <f>INPUT!$G$34</f>
        <v>15.96</v>
      </c>
      <c r="AE18" s="45" t="s">
        <v>68</v>
      </c>
      <c r="AF18" s="21"/>
      <c r="AG18" s="23"/>
      <c r="AH18" s="3"/>
      <c r="AI18" s="21"/>
      <c r="AJ18" s="3"/>
    </row>
    <row r="19" spans="1:41" x14ac:dyDescent="0.25">
      <c r="A19" s="3"/>
      <c r="E19" s="3"/>
      <c r="F19" s="3"/>
      <c r="G19" s="3"/>
      <c r="H19" s="3"/>
      <c r="I19" s="202"/>
      <c r="J19" s="202"/>
      <c r="K19" s="3"/>
      <c r="L19" s="3"/>
      <c r="M19" s="3"/>
      <c r="N19" s="202"/>
      <c r="O19" s="3"/>
      <c r="P19" s="202"/>
      <c r="Q19" s="3"/>
      <c r="R19" s="3"/>
      <c r="T19" s="3"/>
      <c r="U19" s="3"/>
      <c r="V19" s="3"/>
      <c r="W19" s="3"/>
      <c r="Y19" s="3"/>
      <c r="Z19" s="3"/>
      <c r="AC19" s="21"/>
      <c r="AD19" s="21"/>
      <c r="AE19" s="21"/>
      <c r="AF19" s="21"/>
      <c r="AG19" s="20"/>
      <c r="AH19" s="21"/>
      <c r="AI19" s="20"/>
    </row>
    <row r="20" spans="1:41" x14ac:dyDescent="0.25">
      <c r="A20" s="1">
        <v>50</v>
      </c>
      <c r="C20" s="13">
        <v>0.3</v>
      </c>
      <c r="E20" s="1">
        <f>C20*($A$20*730)</f>
        <v>10950</v>
      </c>
      <c r="G20" s="29">
        <f>+W20</f>
        <v>1358.9974999999999</v>
      </c>
      <c r="H20" s="29">
        <f>+AF20</f>
        <v>1523.6175000000001</v>
      </c>
      <c r="I20" s="29">
        <f>+H20-G20</f>
        <v>164.62000000000012</v>
      </c>
      <c r="J20" s="55">
        <f>ROUND(+I20/G20,4)</f>
        <v>0.1211</v>
      </c>
      <c r="K20" s="29">
        <f>ROUND($T$10*$E20,2)</f>
        <v>-41.57</v>
      </c>
      <c r="L20" s="29">
        <f>ROUND($T$11*$E20,2)</f>
        <v>5.13</v>
      </c>
      <c r="M20" s="29">
        <f>ROUND($T$12*$E20,2)</f>
        <v>38.06</v>
      </c>
      <c r="N20" s="29">
        <f>+G20+K20+L20+M20</f>
        <v>1360.6175000000001</v>
      </c>
      <c r="O20" s="29">
        <f>+H20+K20+L20+M20</f>
        <v>1525.2375000000002</v>
      </c>
      <c r="P20" s="55">
        <f>(O20-N20)/N20</f>
        <v>0.12098918322011888</v>
      </c>
      <c r="S20" s="7">
        <f>+INPUT!$G$4</f>
        <v>200</v>
      </c>
      <c r="T20" s="20">
        <f>$T$17*E20</f>
        <v>429.78750000000002</v>
      </c>
      <c r="U20" s="20">
        <f>ROUND((($A$20*$U$17*5)+($A$20*$U$18*7))/12,2)</f>
        <v>729.21</v>
      </c>
      <c r="V20" s="20"/>
      <c r="W20" s="20">
        <f>S20+T20+U20</f>
        <v>1358.9974999999999</v>
      </c>
      <c r="X20" s="20"/>
      <c r="Y20" s="20"/>
      <c r="Z20" s="20"/>
      <c r="AA20" s="20"/>
      <c r="AB20" s="7">
        <f>INPUT!$G$25</f>
        <v>240</v>
      </c>
      <c r="AC20" s="20">
        <f>$AC$17*E20</f>
        <v>429.78750000000002</v>
      </c>
      <c r="AD20" s="20">
        <f>ROUND((($A$20*$AD$17*5)+($A$20*$AD$18*7))/12,2)</f>
        <v>853.83</v>
      </c>
      <c r="AE20" s="20"/>
      <c r="AF20" s="20">
        <f>AB20+AC20+AD20</f>
        <v>1523.6175000000001</v>
      </c>
      <c r="AG20" s="20"/>
      <c r="AH20" s="20"/>
      <c r="AI20" s="19">
        <f>AF20-W20</f>
        <v>164.62000000000012</v>
      </c>
      <c r="AJ20" s="18">
        <f>AF20/W20-1</f>
        <v>0.12113340900185632</v>
      </c>
    </row>
    <row r="21" spans="1:41" x14ac:dyDescent="0.25">
      <c r="A21" s="1"/>
      <c r="C21" s="13">
        <v>0.5</v>
      </c>
      <c r="E21" s="1">
        <f>C21*($A$20*730)</f>
        <v>18250</v>
      </c>
      <c r="G21" s="29">
        <f>+W21</f>
        <v>1645.5225</v>
      </c>
      <c r="H21" s="29">
        <f>+AF21</f>
        <v>1810.1424999999999</v>
      </c>
      <c r="I21" s="29">
        <f>+H21-G21</f>
        <v>164.61999999999989</v>
      </c>
      <c r="J21" s="55">
        <f>ROUND(+I21/G21,4)</f>
        <v>0.1</v>
      </c>
      <c r="K21" s="29">
        <f>ROUND($T$10*$E21,2)</f>
        <v>-69.28</v>
      </c>
      <c r="L21" s="29">
        <f>ROUND($T$11*$E21,2)</f>
        <v>8.5500000000000007</v>
      </c>
      <c r="M21" s="29">
        <f>ROUND($T$12*$E21,2)</f>
        <v>63.44</v>
      </c>
      <c r="N21" s="29">
        <f>+G21+K21+L21+M21</f>
        <v>1648.2325000000001</v>
      </c>
      <c r="O21" s="29">
        <f>+H21+K21+L21+M21</f>
        <v>1812.8525</v>
      </c>
      <c r="P21" s="55">
        <f>(O21-N21)/N21</f>
        <v>9.9876686086459207E-2</v>
      </c>
      <c r="S21" s="7">
        <f>$S$20</f>
        <v>200</v>
      </c>
      <c r="T21" s="20">
        <f>$T$17*E21</f>
        <v>716.3125</v>
      </c>
      <c r="U21" s="20">
        <f>ROUND((($A$20*$U$17*5)+($A$20*$U$18*7))/12,2)</f>
        <v>729.21</v>
      </c>
      <c r="V21" s="20"/>
      <c r="W21" s="20">
        <f>S21+T21+U21</f>
        <v>1645.5225</v>
      </c>
      <c r="X21" s="20"/>
      <c r="Y21" s="20"/>
      <c r="Z21" s="20"/>
      <c r="AA21" s="20"/>
      <c r="AB21" s="7">
        <f>+$AB$20</f>
        <v>240</v>
      </c>
      <c r="AC21" s="20">
        <f>$AC$17*E21</f>
        <v>716.3125</v>
      </c>
      <c r="AD21" s="20">
        <f>ROUND((($A$20*$AD$17*5)+($A$20*$AD$18*7))/12,2)</f>
        <v>853.83</v>
      </c>
      <c r="AE21" s="20"/>
      <c r="AF21" s="20">
        <f>AB21+AC21+AD21</f>
        <v>1810.1424999999999</v>
      </c>
      <c r="AG21" s="20"/>
      <c r="AH21" s="20"/>
      <c r="AI21" s="19">
        <f>AF21-W21</f>
        <v>164.61999999999989</v>
      </c>
      <c r="AJ21" s="18">
        <f>AF21/W21-1</f>
        <v>0.10004117233280008</v>
      </c>
    </row>
    <row r="22" spans="1:41" x14ac:dyDescent="0.25">
      <c r="A22" s="1"/>
      <c r="C22" s="13">
        <v>0.7</v>
      </c>
      <c r="E22" s="1">
        <f>C22*($A$20*730)</f>
        <v>25550</v>
      </c>
      <c r="G22" s="29">
        <f>+W22</f>
        <v>1932.0475000000001</v>
      </c>
      <c r="H22" s="29">
        <f>+AF22</f>
        <v>2096.6675</v>
      </c>
      <c r="I22" s="29">
        <f>+H22-G22</f>
        <v>164.61999999999989</v>
      </c>
      <c r="J22" s="55">
        <f>ROUND(+I22/G22,4)</f>
        <v>8.5199999999999998E-2</v>
      </c>
      <c r="K22" s="29">
        <f>ROUND($T$10*$E22,2)</f>
        <v>-97</v>
      </c>
      <c r="L22" s="29">
        <f>ROUND($T$11*$E22,2)</f>
        <v>11.97</v>
      </c>
      <c r="M22" s="29">
        <f>ROUND($T$12*$E22,2)</f>
        <v>88.82</v>
      </c>
      <c r="N22" s="29">
        <f>+G22+K22+L22+M22</f>
        <v>1935.8375000000001</v>
      </c>
      <c r="O22" s="29">
        <f>+H22+K22+L22+M22</f>
        <v>2100.4575</v>
      </c>
      <c r="P22" s="55">
        <f>(O22-N22)/N22</f>
        <v>8.5038129491757389E-2</v>
      </c>
      <c r="S22" s="7">
        <f>$S$20</f>
        <v>200</v>
      </c>
      <c r="T22" s="20">
        <f>$T$17*E22</f>
        <v>1002.8375</v>
      </c>
      <c r="U22" s="20">
        <f>ROUND((($A$20*$U$17*5)+($A$20*$U$18*7))/12,2)</f>
        <v>729.21</v>
      </c>
      <c r="V22" s="20"/>
      <c r="W22" s="20">
        <f>S22+T22+U22</f>
        <v>1932.0475000000001</v>
      </c>
      <c r="X22" s="20"/>
      <c r="Y22" s="20"/>
      <c r="Z22" s="20"/>
      <c r="AA22" s="20"/>
      <c r="AB22" s="7">
        <f>+$AB$20</f>
        <v>240</v>
      </c>
      <c r="AC22" s="20">
        <f>$AC$17*E22</f>
        <v>1002.8375</v>
      </c>
      <c r="AD22" s="20">
        <f>ROUND((($A$20*$AD$17*5)+($A$20*$AD$18*7))/12,2)</f>
        <v>853.83</v>
      </c>
      <c r="AE22" s="20"/>
      <c r="AF22" s="20">
        <f>AB22+AC22+AD22</f>
        <v>2096.6675</v>
      </c>
      <c r="AG22" s="20"/>
      <c r="AH22" s="20"/>
      <c r="AI22" s="19">
        <f>AF22-W22</f>
        <v>164.61999999999989</v>
      </c>
      <c r="AJ22" s="18">
        <f>AF22/W22-1</f>
        <v>8.520494449541216E-2</v>
      </c>
    </row>
    <row r="23" spans="1:41" x14ac:dyDescent="0.25">
      <c r="A23" s="1"/>
      <c r="C23" s="13"/>
      <c r="E23" s="1"/>
      <c r="J23" s="5"/>
      <c r="P23" s="55"/>
      <c r="S23" s="7"/>
      <c r="T23" s="20"/>
      <c r="U23" s="20"/>
      <c r="V23" s="20"/>
      <c r="W23" s="20"/>
      <c r="X23" s="20"/>
      <c r="Y23" s="20"/>
      <c r="Z23" s="20"/>
      <c r="AA23" s="20"/>
      <c r="AB23" s="7"/>
      <c r="AC23" s="20"/>
      <c r="AD23" s="20"/>
      <c r="AE23" s="20"/>
      <c r="AF23" s="20"/>
      <c r="AG23" s="20"/>
      <c r="AH23" s="20"/>
      <c r="AI23" s="19"/>
      <c r="AJ23" s="18"/>
    </row>
    <row r="24" spans="1:41" x14ac:dyDescent="0.25">
      <c r="A24" s="1">
        <v>100</v>
      </c>
      <c r="C24" s="13">
        <v>0.3</v>
      </c>
      <c r="E24" s="1">
        <f>C24*($A$24*730)</f>
        <v>21900</v>
      </c>
      <c r="G24" s="29">
        <f>+W24</f>
        <v>2517.9949999999999</v>
      </c>
      <c r="H24" s="29">
        <f>+AF24</f>
        <v>2807.2449999999999</v>
      </c>
      <c r="I24" s="29">
        <f>+H24-G24</f>
        <v>289.25</v>
      </c>
      <c r="J24" s="55">
        <f>ROUND(+I24/G24,4)</f>
        <v>0.1149</v>
      </c>
      <c r="K24" s="29">
        <f>ROUND($T$10*$E24,2)</f>
        <v>-83.14</v>
      </c>
      <c r="L24" s="29">
        <f>ROUND($T$11*$E24,2)</f>
        <v>10.26</v>
      </c>
      <c r="M24" s="29">
        <f>ROUND($T$12*$E24,2)</f>
        <v>76.13</v>
      </c>
      <c r="N24" s="29">
        <f>+G24+K24+L24+M24</f>
        <v>2521.2450000000003</v>
      </c>
      <c r="O24" s="29">
        <f>+H24+K24+L24+M24</f>
        <v>2810.4950000000003</v>
      </c>
      <c r="P24" s="55">
        <f>(O24-N24)/N24</f>
        <v>0.114725066385853</v>
      </c>
      <c r="S24" s="7">
        <f>$S$20</f>
        <v>200</v>
      </c>
      <c r="T24" s="20">
        <f>$T$17*E24</f>
        <v>859.57500000000005</v>
      </c>
      <c r="U24" s="20">
        <f>ROUND((($A$24*$U$17*5)+($A$24*$U$18*7))/12,2)</f>
        <v>1458.42</v>
      </c>
      <c r="V24" s="20"/>
      <c r="W24" s="20">
        <f>S24+T24+U24</f>
        <v>2517.9949999999999</v>
      </c>
      <c r="X24" s="20"/>
      <c r="Y24" s="20"/>
      <c r="Z24" s="20"/>
      <c r="AA24" s="20"/>
      <c r="AB24" s="7">
        <f>+$AB$20</f>
        <v>240</v>
      </c>
      <c r="AC24" s="20">
        <f>$AC$17*E24</f>
        <v>859.57500000000005</v>
      </c>
      <c r="AD24" s="20">
        <f>ROUND((($A$24*$AD$17*5)+($A$24*$AD$18*7))/12,2)</f>
        <v>1707.67</v>
      </c>
      <c r="AE24" s="20"/>
      <c r="AF24" s="20">
        <f>AB24+AC24+AD24</f>
        <v>2807.2449999999999</v>
      </c>
      <c r="AG24" s="24"/>
      <c r="AH24" s="20"/>
      <c r="AI24" s="19">
        <f>AF24-W24</f>
        <v>289.25</v>
      </c>
      <c r="AJ24" s="18">
        <f>AF24/W24-1</f>
        <v>0.11487314311585206</v>
      </c>
    </row>
    <row r="25" spans="1:41" x14ac:dyDescent="0.25">
      <c r="A25" s="1"/>
      <c r="C25" s="13">
        <v>0.5</v>
      </c>
      <c r="E25" s="1">
        <f>C25*($A$24*730)</f>
        <v>36500</v>
      </c>
      <c r="G25" s="29">
        <f>+W25</f>
        <v>3091.0450000000001</v>
      </c>
      <c r="H25" s="29">
        <f>+AF25</f>
        <v>3380.2950000000001</v>
      </c>
      <c r="I25" s="29">
        <f>+H25-G25</f>
        <v>289.25</v>
      </c>
      <c r="J25" s="55">
        <f>ROUND(+I25/G25,4)</f>
        <v>9.3600000000000003E-2</v>
      </c>
      <c r="K25" s="29">
        <f>ROUND($T$10*$E25,2)</f>
        <v>-138.57</v>
      </c>
      <c r="L25" s="29">
        <f>ROUND($T$11*$E25,2)</f>
        <v>17.11</v>
      </c>
      <c r="M25" s="29">
        <f>ROUND($T$12*$E25,2)</f>
        <v>126.88</v>
      </c>
      <c r="N25" s="29">
        <f>+G25+K25+L25+M25</f>
        <v>3096.4650000000001</v>
      </c>
      <c r="O25" s="29">
        <f>+H25+K25+L25+M25</f>
        <v>3385.7150000000001</v>
      </c>
      <c r="P25" s="55">
        <f>(O25-N25)/N25</f>
        <v>9.3412972534809846E-2</v>
      </c>
      <c r="S25" s="7">
        <f>$S$20</f>
        <v>200</v>
      </c>
      <c r="T25" s="20">
        <f>$T$17*E25</f>
        <v>1432.625</v>
      </c>
      <c r="U25" s="20">
        <f>ROUND((($A$24*$U$17*5)+($A$24*$U$18*7))/12,2)</f>
        <v>1458.42</v>
      </c>
      <c r="V25" s="20"/>
      <c r="W25" s="20">
        <f>S25+T25+U25</f>
        <v>3091.0450000000001</v>
      </c>
      <c r="X25" s="20"/>
      <c r="Y25" s="20"/>
      <c r="Z25" s="20"/>
      <c r="AA25" s="20"/>
      <c r="AB25" s="7">
        <f>+$AB$20</f>
        <v>240</v>
      </c>
      <c r="AC25" s="20">
        <f>$AC$17*E25</f>
        <v>1432.625</v>
      </c>
      <c r="AD25" s="20">
        <f>ROUND((($A$24*$AD$17*5)+($A$24*$AD$18*7))/12,2)</f>
        <v>1707.67</v>
      </c>
      <c r="AE25" s="20"/>
      <c r="AF25" s="20">
        <f>AB25+AC25+AD25</f>
        <v>3380.2950000000001</v>
      </c>
      <c r="AG25" s="24"/>
      <c r="AH25" s="20"/>
      <c r="AI25" s="19">
        <f>AF25-W25</f>
        <v>289.25</v>
      </c>
      <c r="AJ25" s="18">
        <f>AF25/W25-1</f>
        <v>9.3576767727419075E-2</v>
      </c>
    </row>
    <row r="26" spans="1:41" x14ac:dyDescent="0.25">
      <c r="A26" s="1"/>
      <c r="C26" s="13">
        <v>0.7</v>
      </c>
      <c r="E26" s="1">
        <f>C26*($A$24*730)</f>
        <v>51100</v>
      </c>
      <c r="G26" s="29">
        <f>+W26</f>
        <v>3664.0950000000003</v>
      </c>
      <c r="H26" s="29">
        <f>+AF26</f>
        <v>3953.3450000000003</v>
      </c>
      <c r="I26" s="29">
        <f>+H26-G26</f>
        <v>289.25</v>
      </c>
      <c r="J26" s="55">
        <f>ROUND(+I26/G26,4)</f>
        <v>7.8899999999999998E-2</v>
      </c>
      <c r="K26" s="29">
        <f>ROUND($T$10*$E26,2)</f>
        <v>-194</v>
      </c>
      <c r="L26" s="29">
        <f>ROUND($T$11*$E26,2)</f>
        <v>23.95</v>
      </c>
      <c r="M26" s="29">
        <f>ROUND($T$12*$E26,2)</f>
        <v>177.63</v>
      </c>
      <c r="N26" s="29">
        <f>+G26+K26+L26+M26</f>
        <v>3671.6750000000002</v>
      </c>
      <c r="O26" s="29">
        <f>+H26+K26+L26+M26</f>
        <v>3960.9250000000002</v>
      </c>
      <c r="P26" s="55">
        <f>(O26-N26)/N26</f>
        <v>7.8778759013256885E-2</v>
      </c>
      <c r="S26" s="7">
        <f>$S$20</f>
        <v>200</v>
      </c>
      <c r="T26" s="20">
        <f>$T$17*E26</f>
        <v>2005.675</v>
      </c>
      <c r="U26" s="20">
        <f>ROUND((($A$24*$U$17*5)+($A$24*$U$18*7))/12,2)</f>
        <v>1458.42</v>
      </c>
      <c r="V26" s="20"/>
      <c r="W26" s="20">
        <f>S26+T26+U26</f>
        <v>3664.0950000000003</v>
      </c>
      <c r="X26" s="20"/>
      <c r="Y26" s="20"/>
      <c r="Z26" s="20"/>
      <c r="AA26" s="20"/>
      <c r="AB26" s="7">
        <f>+$AB$20</f>
        <v>240</v>
      </c>
      <c r="AC26" s="20">
        <f>$AC$17*E26</f>
        <v>2005.675</v>
      </c>
      <c r="AD26" s="20">
        <f>ROUND((($A$24*$AD$17*5)+($A$24*$AD$18*7))/12,2)</f>
        <v>1707.67</v>
      </c>
      <c r="AE26" s="20"/>
      <c r="AF26" s="20">
        <f>AB26+AC26+AD26</f>
        <v>3953.3450000000003</v>
      </c>
      <c r="AG26" s="20"/>
      <c r="AH26" s="20"/>
      <c r="AI26" s="19">
        <f>AF26-W26</f>
        <v>289.25</v>
      </c>
      <c r="AJ26" s="18">
        <f>AF26/W26-1</f>
        <v>7.8941730495524887E-2</v>
      </c>
    </row>
    <row r="27" spans="1:41" x14ac:dyDescent="0.25">
      <c r="A27" s="1"/>
      <c r="C27" s="13"/>
      <c r="E27" s="1"/>
      <c r="J27" s="5"/>
      <c r="P27" s="55"/>
      <c r="S27" s="7"/>
      <c r="T27" s="20"/>
      <c r="U27" s="20"/>
      <c r="V27" s="20"/>
      <c r="W27" s="20"/>
      <c r="X27" s="20"/>
      <c r="Y27" s="20"/>
      <c r="Z27" s="20"/>
      <c r="AA27" s="20"/>
      <c r="AB27" s="7"/>
      <c r="AC27" s="20"/>
      <c r="AD27" s="20"/>
      <c r="AE27" s="20"/>
      <c r="AF27" s="20"/>
      <c r="AG27" s="20"/>
      <c r="AH27" s="20"/>
      <c r="AI27" s="19"/>
      <c r="AJ27" s="18"/>
    </row>
    <row r="28" spans="1:41" x14ac:dyDescent="0.25">
      <c r="A28" s="1">
        <v>250</v>
      </c>
      <c r="C28" s="13">
        <v>0.3</v>
      </c>
      <c r="E28" s="1">
        <f>C28*($A$28*730)</f>
        <v>54750</v>
      </c>
      <c r="G28" s="29">
        <f>+W28</f>
        <v>5994.9775</v>
      </c>
      <c r="H28" s="29">
        <f>+AF28</f>
        <v>6658.1075000000001</v>
      </c>
      <c r="I28" s="29">
        <f>+H28-G28</f>
        <v>663.13000000000011</v>
      </c>
      <c r="J28" s="55">
        <f>ROUND(+I28/G28,4)</f>
        <v>0.1106</v>
      </c>
      <c r="K28" s="29">
        <f>ROUND($T$10*$E28,2)</f>
        <v>-207.85</v>
      </c>
      <c r="L28" s="29">
        <f>ROUND($T$11*$E28,2)</f>
        <v>25.66</v>
      </c>
      <c r="M28" s="29">
        <f>ROUND($T$12*$E28,2)</f>
        <v>190.32</v>
      </c>
      <c r="N28" s="29">
        <f>+G28+K28+L28+M28</f>
        <v>6003.1074999999992</v>
      </c>
      <c r="O28" s="29">
        <f>+H28+K28+L28+M28</f>
        <v>6666.2374999999993</v>
      </c>
      <c r="P28" s="55">
        <f>(O28-N28)/N28</f>
        <v>0.11046445528420076</v>
      </c>
      <c r="S28" s="7">
        <f>$S$20</f>
        <v>200</v>
      </c>
      <c r="T28" s="20">
        <f>$T$17*E28</f>
        <v>2148.9375</v>
      </c>
      <c r="U28" s="20">
        <f>ROUND((($A$28*$U$17*5)+($A$28*$U$18*7))/12,2)</f>
        <v>3646.04</v>
      </c>
      <c r="V28" s="20"/>
      <c r="W28" s="20">
        <f>S28+T28+U28</f>
        <v>5994.9775</v>
      </c>
      <c r="X28" s="20"/>
      <c r="Y28" s="20"/>
      <c r="Z28" s="20"/>
      <c r="AA28" s="20"/>
      <c r="AB28" s="7">
        <f>+$AB$20</f>
        <v>240</v>
      </c>
      <c r="AC28" s="20">
        <f>$AC$17*E28</f>
        <v>2148.9375</v>
      </c>
      <c r="AD28" s="20">
        <f>ROUND((($A$28*$AD$17*5)+($A$28*$AD$18*7))/12,2)</f>
        <v>4269.17</v>
      </c>
      <c r="AE28" s="20"/>
      <c r="AF28" s="20">
        <f>AB28+AC28+AD28</f>
        <v>6658.1075000000001</v>
      </c>
      <c r="AG28" s="20"/>
      <c r="AH28" s="20"/>
      <c r="AI28" s="19">
        <f>AF28-W28</f>
        <v>663.13000000000011</v>
      </c>
      <c r="AJ28" s="18">
        <f>AF28/W28-1</f>
        <v>0.11061426002015851</v>
      </c>
    </row>
    <row r="29" spans="1:41" x14ac:dyDescent="0.25">
      <c r="A29" s="1"/>
      <c r="C29" s="13">
        <v>0.5</v>
      </c>
      <c r="E29" s="1">
        <f>C29*($A$28*730)</f>
        <v>91250</v>
      </c>
      <c r="G29" s="29">
        <f>+W29</f>
        <v>7427.6025</v>
      </c>
      <c r="H29" s="29">
        <f>+AF29</f>
        <v>8090.7325000000001</v>
      </c>
      <c r="I29" s="29">
        <f>+H29-G29</f>
        <v>663.13000000000011</v>
      </c>
      <c r="J29" s="55">
        <f>ROUND(+I29/G29,4)</f>
        <v>8.9300000000000004E-2</v>
      </c>
      <c r="K29" s="29">
        <f>ROUND($T$10*$E29,2)</f>
        <v>-346.42</v>
      </c>
      <c r="L29" s="29">
        <f>ROUND($T$11*$E29,2)</f>
        <v>42.76</v>
      </c>
      <c r="M29" s="29">
        <f>ROUND($T$12*$E29,2)</f>
        <v>317.2</v>
      </c>
      <c r="N29" s="29">
        <f>+G29+K29+L29+M29</f>
        <v>7441.1424999999999</v>
      </c>
      <c r="O29" s="29">
        <f>+H29+K29+L29+M29</f>
        <v>8104.2725</v>
      </c>
      <c r="P29" s="55">
        <f>(O29-N29)/N29</f>
        <v>8.9116691422049782E-2</v>
      </c>
      <c r="S29" s="7">
        <f>$S$20</f>
        <v>200</v>
      </c>
      <c r="T29" s="20">
        <f>$T$17*E29</f>
        <v>3581.5625</v>
      </c>
      <c r="U29" s="20">
        <f>ROUND((($A$28*$U$17*5)+($A$28*$U$18*7))/12,2)</f>
        <v>3646.04</v>
      </c>
      <c r="V29" s="20"/>
      <c r="W29" s="20">
        <f>S29+T29+U29</f>
        <v>7427.6025</v>
      </c>
      <c r="X29" s="20"/>
      <c r="Y29" s="20"/>
      <c r="Z29" s="20"/>
      <c r="AA29" s="20"/>
      <c r="AB29" s="7">
        <f>+$AB$20</f>
        <v>240</v>
      </c>
      <c r="AC29" s="20">
        <f>$AC$17*E29</f>
        <v>3581.5625</v>
      </c>
      <c r="AD29" s="20">
        <f>ROUND((($A$28*$AD$17*5)+($A$28*$AD$18*7))/12,2)</f>
        <v>4269.17</v>
      </c>
      <c r="AE29" s="20"/>
      <c r="AF29" s="20">
        <f>AB29+AC29+AD29</f>
        <v>8090.7325000000001</v>
      </c>
      <c r="AG29" s="20"/>
      <c r="AH29" s="20"/>
      <c r="AI29" s="19">
        <f>AF29-W29</f>
        <v>663.13000000000011</v>
      </c>
      <c r="AJ29" s="18">
        <f>AF29/W29-1</f>
        <v>8.9279144919238718E-2</v>
      </c>
    </row>
    <row r="30" spans="1:41" x14ac:dyDescent="0.25">
      <c r="A30" s="1"/>
      <c r="C30" s="13">
        <v>0.7</v>
      </c>
      <c r="E30" s="1">
        <f>C30*($A$28*730)</f>
        <v>127749.99999999999</v>
      </c>
      <c r="G30" s="29">
        <f>+W30</f>
        <v>8860.2274999999991</v>
      </c>
      <c r="H30" s="29">
        <f>+AF30</f>
        <v>9523.3574999999983</v>
      </c>
      <c r="I30" s="29">
        <f>+H30-G30</f>
        <v>663.1299999999992</v>
      </c>
      <c r="J30" s="55">
        <f>ROUND(+I30/G30,4)</f>
        <v>7.4800000000000005E-2</v>
      </c>
      <c r="K30" s="29">
        <f>ROUND($T$10*$E30,2)</f>
        <v>-484.99</v>
      </c>
      <c r="L30" s="29">
        <f>ROUND($T$11*$E30,2)</f>
        <v>59.87</v>
      </c>
      <c r="M30" s="29">
        <f>ROUND($T$12*$E30,2)</f>
        <v>444.08</v>
      </c>
      <c r="N30" s="29">
        <f>+G30+K30+L30+M30</f>
        <v>8879.1875</v>
      </c>
      <c r="O30" s="29">
        <f>+H30+K30+L30+M30</f>
        <v>9542.3174999999992</v>
      </c>
      <c r="P30" s="55">
        <f>(O30-N30)/N30</f>
        <v>7.4683635186214861E-2</v>
      </c>
      <c r="S30" s="7">
        <f>$S$20</f>
        <v>200</v>
      </c>
      <c r="T30" s="20">
        <f>$T$17*E30</f>
        <v>5014.1874999999991</v>
      </c>
      <c r="U30" s="20">
        <f>ROUND((($A$28*$U$17*5)+($A$28*$U$18*7))/12,2)</f>
        <v>3646.04</v>
      </c>
      <c r="V30" s="20"/>
      <c r="W30" s="20">
        <f>S30+T30+U30</f>
        <v>8860.2274999999991</v>
      </c>
      <c r="X30" s="20"/>
      <c r="Y30" s="20"/>
      <c r="Z30" s="20"/>
      <c r="AA30" s="20"/>
      <c r="AB30" s="7">
        <f>+$AB$20</f>
        <v>240</v>
      </c>
      <c r="AC30" s="20">
        <f>$AC$17*E30</f>
        <v>5014.1874999999991</v>
      </c>
      <c r="AD30" s="20">
        <f>ROUND((($A$28*$AD$17*5)+($A$28*$AD$18*7))/12,2)</f>
        <v>4269.17</v>
      </c>
      <c r="AE30" s="20"/>
      <c r="AF30" s="20">
        <f>AB30+AC30+AD30</f>
        <v>9523.3574999999983</v>
      </c>
      <c r="AG30" s="20"/>
      <c r="AH30" s="20"/>
      <c r="AI30" s="19">
        <f>AF30-W30</f>
        <v>663.1299999999992</v>
      </c>
      <c r="AJ30" s="18">
        <f>AF30/W30-1</f>
        <v>7.4843450690176949E-2</v>
      </c>
    </row>
    <row r="31" spans="1:41" x14ac:dyDescent="0.25">
      <c r="A31" s="1"/>
      <c r="C31" s="13"/>
      <c r="E31" s="1"/>
      <c r="J31" s="5"/>
      <c r="P31" s="55"/>
      <c r="S31" s="7"/>
      <c r="T31" s="20"/>
      <c r="U31" s="20"/>
      <c r="V31" s="20"/>
      <c r="W31" s="20"/>
      <c r="X31" s="20"/>
      <c r="Y31" s="20"/>
      <c r="Z31" s="20"/>
      <c r="AA31" s="20"/>
      <c r="AB31" s="7"/>
      <c r="AC31" s="20"/>
      <c r="AD31" s="20"/>
      <c r="AE31" s="20"/>
      <c r="AF31" s="20"/>
      <c r="AG31" s="20"/>
      <c r="AH31" s="20"/>
      <c r="AI31" s="19"/>
      <c r="AJ31" s="18"/>
    </row>
    <row r="32" spans="1:41" x14ac:dyDescent="0.25">
      <c r="A32" s="1">
        <v>500</v>
      </c>
      <c r="C32" s="13">
        <v>0.3</v>
      </c>
      <c r="E32" s="1">
        <f>C32*($A$32*730)</f>
        <v>109500</v>
      </c>
      <c r="G32" s="29">
        <f>+W32</f>
        <v>11789.955</v>
      </c>
      <c r="H32" s="29">
        <f>+AF32</f>
        <v>13076.205</v>
      </c>
      <c r="I32" s="29">
        <f>+H32-G32</f>
        <v>1286.25</v>
      </c>
      <c r="J32" s="55">
        <f>ROUND(+I32/G32,4)</f>
        <v>0.1091</v>
      </c>
      <c r="K32" s="29">
        <f>ROUND($T$10*$E32,2)</f>
        <v>-415.71</v>
      </c>
      <c r="L32" s="29">
        <f>ROUND($T$11*$E32,2)</f>
        <v>51.32</v>
      </c>
      <c r="M32" s="29">
        <f>ROUND($T$12*$E32,2)</f>
        <v>380.64</v>
      </c>
      <c r="N32" s="29">
        <f>+G32+K32+L32+M32</f>
        <v>11806.205</v>
      </c>
      <c r="O32" s="29">
        <f>+H32+K32+L32+M32</f>
        <v>13092.455</v>
      </c>
      <c r="P32" s="55">
        <f>(O32-N32)/N32</f>
        <v>0.10894694781261209</v>
      </c>
      <c r="S32" s="7">
        <f>$S$20</f>
        <v>200</v>
      </c>
      <c r="T32" s="20">
        <f>$T$17*E32</f>
        <v>4297.875</v>
      </c>
      <c r="U32" s="20">
        <f>ROUND((($A$32*$U$17*5)+($A$32*$U$18*7))/12,2)</f>
        <v>7292.08</v>
      </c>
      <c r="V32" s="20"/>
      <c r="W32" s="20">
        <f>S32+T32+U32</f>
        <v>11789.955</v>
      </c>
      <c r="X32" s="20"/>
      <c r="Y32" s="20"/>
      <c r="Z32" s="20"/>
      <c r="AA32" s="20"/>
      <c r="AB32" s="7">
        <f>+$AB$20</f>
        <v>240</v>
      </c>
      <c r="AC32" s="20">
        <f>$AC$17*E32</f>
        <v>4297.875</v>
      </c>
      <c r="AD32" s="20">
        <f>ROUND((($A$32*$AD$17*5)+($A$32*$AD$18*7))/12,2)</f>
        <v>8538.33</v>
      </c>
      <c r="AE32" s="20"/>
      <c r="AF32" s="20">
        <f>AB32+AC32+AD32</f>
        <v>13076.205</v>
      </c>
      <c r="AG32" s="20"/>
      <c r="AH32" s="20"/>
      <c r="AI32" s="19">
        <f>AF32-W32</f>
        <v>1286.25</v>
      </c>
      <c r="AJ32" s="18">
        <f>AF32/W32-1</f>
        <v>0.10909710851313692</v>
      </c>
    </row>
    <row r="33" spans="1:36" x14ac:dyDescent="0.25">
      <c r="A33" s="1"/>
      <c r="C33" s="13">
        <v>0.5</v>
      </c>
      <c r="E33" s="1">
        <f>C33*($A$32*730)</f>
        <v>182500</v>
      </c>
      <c r="G33" s="29">
        <f>+W33</f>
        <v>14655.205</v>
      </c>
      <c r="H33" s="29">
        <f>+AF33</f>
        <v>15941.455</v>
      </c>
      <c r="I33" s="29">
        <f>+H33-G33</f>
        <v>1286.25</v>
      </c>
      <c r="J33" s="55">
        <f>ROUND(+I33/G33,4)</f>
        <v>8.7800000000000003E-2</v>
      </c>
      <c r="K33" s="29">
        <f>ROUND($T$10*$E33,2)</f>
        <v>-692.85</v>
      </c>
      <c r="L33" s="29">
        <f>ROUND($T$11*$E33,2)</f>
        <v>85.53</v>
      </c>
      <c r="M33" s="29">
        <f>ROUND($T$12*$E33,2)</f>
        <v>634.4</v>
      </c>
      <c r="N33" s="29">
        <f>+G33+K33+L33+M33</f>
        <v>14682.285</v>
      </c>
      <c r="O33" s="29">
        <f>+H33+K33+L33+M33</f>
        <v>15968.535</v>
      </c>
      <c r="P33" s="55">
        <f>(O33-N33)/N33</f>
        <v>8.7605573655599248E-2</v>
      </c>
      <c r="S33" s="7">
        <f>$S$20</f>
        <v>200</v>
      </c>
      <c r="T33" s="20">
        <f>$T$17*E33</f>
        <v>7163.125</v>
      </c>
      <c r="U33" s="20">
        <f>ROUND((($A$32*$U$17*5)+($A$32*$U$18*7))/12,2)</f>
        <v>7292.08</v>
      </c>
      <c r="V33" s="20"/>
      <c r="W33" s="20">
        <f>S33+T33+U33</f>
        <v>14655.205</v>
      </c>
      <c r="X33" s="20"/>
      <c r="Y33" s="20"/>
      <c r="Z33" s="20"/>
      <c r="AA33" s="20"/>
      <c r="AB33" s="7">
        <f>+$AB$20</f>
        <v>240</v>
      </c>
      <c r="AC33" s="20">
        <f>$AC$17*E33</f>
        <v>7163.125</v>
      </c>
      <c r="AD33" s="20">
        <f>ROUND((($A$32*$AD$17*5)+($A$32*$AD$18*7))/12,2)</f>
        <v>8538.33</v>
      </c>
      <c r="AE33" s="20"/>
      <c r="AF33" s="20">
        <f>AB33+AC33+AD33</f>
        <v>15941.455</v>
      </c>
      <c r="AG33" s="20"/>
      <c r="AH33" s="20"/>
      <c r="AI33" s="19">
        <f>AF33-W33</f>
        <v>1286.25</v>
      </c>
      <c r="AJ33" s="18">
        <f>AF33/W33-1</f>
        <v>8.7767451905312877E-2</v>
      </c>
    </row>
    <row r="34" spans="1:36" x14ac:dyDescent="0.25">
      <c r="A34" s="1"/>
      <c r="C34" s="13">
        <v>0.7</v>
      </c>
      <c r="E34" s="1">
        <f>C34*($A$32*730)</f>
        <v>255499.99999999997</v>
      </c>
      <c r="G34" s="29">
        <f>+W34</f>
        <v>17520.454999999998</v>
      </c>
      <c r="H34" s="29">
        <f>+AF34</f>
        <v>18806.704999999998</v>
      </c>
      <c r="I34" s="29">
        <f>+H34-G34</f>
        <v>1286.25</v>
      </c>
      <c r="J34" s="55">
        <f>ROUND(+I34/G34,4)</f>
        <v>7.3400000000000007E-2</v>
      </c>
      <c r="K34" s="29">
        <f>ROUND($T$10*$E34,2)</f>
        <v>-969.99</v>
      </c>
      <c r="L34" s="29">
        <f>ROUND($T$11*$E34,2)</f>
        <v>119.74</v>
      </c>
      <c r="M34" s="29">
        <f>ROUND($T$12*$E34,2)</f>
        <v>888.16</v>
      </c>
      <c r="N34" s="29">
        <f>+G34+K34+L34+M34</f>
        <v>17558.364999999998</v>
      </c>
      <c r="O34" s="29">
        <f>+H34+K34+L34+M34</f>
        <v>18844.614999999998</v>
      </c>
      <c r="P34" s="55">
        <f>(O34-N34)/N34</f>
        <v>7.3255681835979608E-2</v>
      </c>
      <c r="S34" s="7">
        <f>$S$20</f>
        <v>200</v>
      </c>
      <c r="T34" s="20">
        <f>$T$17*E34</f>
        <v>10028.374999999998</v>
      </c>
      <c r="U34" s="20">
        <f>ROUND((($A$32*$U$17*5)+($A$32*$U$18*7))/12,2)</f>
        <v>7292.08</v>
      </c>
      <c r="V34" s="20"/>
      <c r="W34" s="20">
        <f>S34+T34+U34</f>
        <v>17520.454999999998</v>
      </c>
      <c r="X34" s="20"/>
      <c r="Y34" s="20"/>
      <c r="Z34" s="20"/>
      <c r="AA34" s="20"/>
      <c r="AB34" s="7">
        <f>+$AB$20</f>
        <v>240</v>
      </c>
      <c r="AC34" s="20">
        <f>$AC$17*E34</f>
        <v>10028.374999999998</v>
      </c>
      <c r="AD34" s="20">
        <f>ROUND((($A$32*$AD$17*5)+($A$32*$AD$18*7))/12,2)</f>
        <v>8538.33</v>
      </c>
      <c r="AE34" s="20"/>
      <c r="AF34" s="20">
        <f>AB34+AC34+AD34</f>
        <v>18806.704999999998</v>
      </c>
      <c r="AG34" s="20"/>
      <c r="AH34" s="20"/>
      <c r="AI34" s="19">
        <f>AF34-W34</f>
        <v>1286.25</v>
      </c>
      <c r="AJ34" s="18">
        <f>AF34/W34-1</f>
        <v>7.3414189300449184E-2</v>
      </c>
    </row>
    <row r="35" spans="1:36" x14ac:dyDescent="0.25">
      <c r="A35" s="1"/>
      <c r="C35" s="13"/>
      <c r="E35" s="1"/>
      <c r="J35" s="5"/>
      <c r="P35" s="55"/>
      <c r="S35" s="7"/>
      <c r="T35" s="20"/>
      <c r="U35" s="20"/>
      <c r="V35" s="20"/>
      <c r="W35" s="20"/>
      <c r="X35" s="20"/>
      <c r="Y35" s="20"/>
      <c r="Z35" s="20"/>
      <c r="AA35" s="20"/>
      <c r="AB35" s="7"/>
      <c r="AC35" s="20"/>
      <c r="AD35" s="20"/>
      <c r="AE35" s="20"/>
      <c r="AF35" s="20"/>
      <c r="AG35" s="20"/>
      <c r="AH35" s="20"/>
      <c r="AI35" s="19"/>
      <c r="AJ35" s="18"/>
    </row>
    <row r="36" spans="1:36" x14ac:dyDescent="0.25">
      <c r="A36" s="1">
        <v>1000</v>
      </c>
      <c r="C36" s="13">
        <v>0.3</v>
      </c>
      <c r="E36" s="1">
        <f>C36*($A$36*730)</f>
        <v>219000</v>
      </c>
      <c r="G36" s="29">
        <f>+W36</f>
        <v>23379.919999999998</v>
      </c>
      <c r="H36" s="29">
        <f>+AF36</f>
        <v>25912.42</v>
      </c>
      <c r="I36" s="29">
        <f>+H36-G36</f>
        <v>2532.5</v>
      </c>
      <c r="J36" s="55">
        <f>ROUND(+I36/G36,4)</f>
        <v>0.10829999999999999</v>
      </c>
      <c r="K36" s="29">
        <f>ROUND($T$10*$E36,2)</f>
        <v>-831.42</v>
      </c>
      <c r="L36" s="29">
        <f>ROUND($T$11*$E36,2)</f>
        <v>102.63</v>
      </c>
      <c r="M36" s="29">
        <f>ROUND($T$12*$E36,2)</f>
        <v>761.28</v>
      </c>
      <c r="N36" s="29">
        <f>+G36+K36+L36+M36</f>
        <v>23412.41</v>
      </c>
      <c r="O36" s="29">
        <f>+H36+K36+L36+M36</f>
        <v>25944.91</v>
      </c>
      <c r="P36" s="55">
        <f>(O36-N36)/N36</f>
        <v>0.10816912910717008</v>
      </c>
      <c r="S36" s="7">
        <f>$S$20</f>
        <v>200</v>
      </c>
      <c r="T36" s="20">
        <f>$T$17*E36</f>
        <v>8595.75</v>
      </c>
      <c r="U36" s="20">
        <f>ROUND((($A$36*$U$17*5)+($A$36*$U$18*7))/12,2)</f>
        <v>14584.17</v>
      </c>
      <c r="V36" s="20"/>
      <c r="W36" s="20">
        <f>S36+T36+U36</f>
        <v>23379.919999999998</v>
      </c>
      <c r="X36" s="20"/>
      <c r="Y36" s="20"/>
      <c r="Z36" s="20"/>
      <c r="AA36" s="20"/>
      <c r="AB36" s="7">
        <f>+$AB$20</f>
        <v>240</v>
      </c>
      <c r="AC36" s="20">
        <f>$AC$17*E36</f>
        <v>8595.75</v>
      </c>
      <c r="AD36" s="20">
        <f>ROUND((($A$36*$AD$17*5)+($A$36*$AD$18*7))/12,2)</f>
        <v>17076.669999999998</v>
      </c>
      <c r="AE36" s="20"/>
      <c r="AF36" s="20">
        <f>AB36+AC36+AD36</f>
        <v>25912.42</v>
      </c>
      <c r="AG36" s="20"/>
      <c r="AH36" s="20"/>
      <c r="AI36" s="19">
        <f>AF36-W36</f>
        <v>2532.5</v>
      </c>
      <c r="AJ36" s="18">
        <f>AF36/W36-1</f>
        <v>0.10831944677312833</v>
      </c>
    </row>
    <row r="37" spans="1:36" x14ac:dyDescent="0.25">
      <c r="A37" s="1"/>
      <c r="C37" s="13">
        <v>0.5</v>
      </c>
      <c r="E37" s="1">
        <f>C37*($A$36*730)</f>
        <v>365000</v>
      </c>
      <c r="G37" s="29">
        <f>+W37</f>
        <v>29110.42</v>
      </c>
      <c r="H37" s="29">
        <f>+AF37</f>
        <v>31642.92</v>
      </c>
      <c r="I37" s="29">
        <f>+H37-G37</f>
        <v>2532.5</v>
      </c>
      <c r="J37" s="55">
        <f>ROUND(+I37/G37,4)</f>
        <v>8.6999999999999994E-2</v>
      </c>
      <c r="K37" s="29">
        <f>ROUND($T$10*$E37,2)</f>
        <v>-1385.7</v>
      </c>
      <c r="L37" s="29">
        <f>ROUND($T$11*$E37,2)</f>
        <v>171.05</v>
      </c>
      <c r="M37" s="29">
        <f>ROUND($T$12*$E37,2)</f>
        <v>1268.79</v>
      </c>
      <c r="N37" s="29">
        <f>+G37+K37+L37+M37</f>
        <v>29164.559999999998</v>
      </c>
      <c r="O37" s="29">
        <f>+H37+K37+L37+M37</f>
        <v>31697.059999999998</v>
      </c>
      <c r="P37" s="55">
        <f>(O37-N37)/N37</f>
        <v>8.6834843385259375E-2</v>
      </c>
      <c r="S37" s="7">
        <f>$S$20</f>
        <v>200</v>
      </c>
      <c r="T37" s="20">
        <f>$T$17*E37</f>
        <v>14326.25</v>
      </c>
      <c r="U37" s="20">
        <f>ROUND((($A$36*$U$17*5)+($A$36*$U$18*7))/12,2)</f>
        <v>14584.17</v>
      </c>
      <c r="V37" s="20"/>
      <c r="W37" s="20">
        <f>S37+T37+U37</f>
        <v>29110.42</v>
      </c>
      <c r="X37" s="20"/>
      <c r="Y37" s="20"/>
      <c r="Z37" s="20"/>
      <c r="AA37" s="20"/>
      <c r="AB37" s="7">
        <f>+$AB$20</f>
        <v>240</v>
      </c>
      <c r="AC37" s="20">
        <f>$AC$17*E37</f>
        <v>14326.25</v>
      </c>
      <c r="AD37" s="20">
        <f>ROUND((($A$36*$AD$17*5)+($A$36*$AD$18*7))/12,2)</f>
        <v>17076.669999999998</v>
      </c>
      <c r="AE37" s="20"/>
      <c r="AF37" s="20">
        <f>AB37+AC37+AD37</f>
        <v>31642.92</v>
      </c>
      <c r="AG37" s="20"/>
      <c r="AH37" s="20"/>
      <c r="AI37" s="19">
        <f>AF37-W37</f>
        <v>2532.5</v>
      </c>
      <c r="AJ37" s="18">
        <f>AF37/W37-1</f>
        <v>8.6996340142120987E-2</v>
      </c>
    </row>
    <row r="38" spans="1:36" x14ac:dyDescent="0.25">
      <c r="A38" s="1"/>
      <c r="C38" s="13">
        <v>0.7</v>
      </c>
      <c r="E38" s="1">
        <f>C38*($A$36*730)</f>
        <v>510999.99999999994</v>
      </c>
      <c r="G38" s="29">
        <f>+W38</f>
        <v>34840.92</v>
      </c>
      <c r="H38" s="29">
        <f>+AF38</f>
        <v>37373.42</v>
      </c>
      <c r="I38" s="29">
        <f>+H38-G38</f>
        <v>2532.5</v>
      </c>
      <c r="J38" s="55">
        <f>ROUND(+I38/G38,4)</f>
        <v>7.2700000000000001E-2</v>
      </c>
      <c r="K38" s="29">
        <f>ROUND($T$10*$E38,2)</f>
        <v>-1939.98</v>
      </c>
      <c r="L38" s="29">
        <f>ROUND($T$11*$E38,2)</f>
        <v>239.47</v>
      </c>
      <c r="M38" s="29">
        <f>ROUND($T$12*$E38,2)</f>
        <v>1776.31</v>
      </c>
      <c r="N38" s="29">
        <f>+G38+K38+L38+M38</f>
        <v>34916.719999999994</v>
      </c>
      <c r="O38" s="29">
        <f>+H38+K38+L38+M38</f>
        <v>37449.219999999994</v>
      </c>
      <c r="P38" s="55">
        <f>(O38-N38)/N38</f>
        <v>7.2529722150305079E-2</v>
      </c>
      <c r="S38" s="7">
        <f>$S$20</f>
        <v>200</v>
      </c>
      <c r="T38" s="20">
        <f>$T$17*E38</f>
        <v>20056.749999999996</v>
      </c>
      <c r="U38" s="20">
        <f>ROUND((($A$36*$U$17*5)+($A$36*$U$18*7))/12,2)</f>
        <v>14584.17</v>
      </c>
      <c r="V38" s="20"/>
      <c r="W38" s="20">
        <f>S38+T38+U38</f>
        <v>34840.92</v>
      </c>
      <c r="X38" s="20"/>
      <c r="Y38" s="20"/>
      <c r="Z38" s="20"/>
      <c r="AA38" s="20"/>
      <c r="AB38" s="7">
        <f>+$AB$20</f>
        <v>240</v>
      </c>
      <c r="AC38" s="20">
        <f>$AC$17*E38</f>
        <v>20056.749999999996</v>
      </c>
      <c r="AD38" s="20">
        <f>ROUND((($A$36*$AD$17*5)+($A$36*$AD$18*7))/12,2)</f>
        <v>17076.669999999998</v>
      </c>
      <c r="AE38" s="20"/>
      <c r="AF38" s="20">
        <f>AB38+AC38+AD38</f>
        <v>37373.42</v>
      </c>
      <c r="AG38" s="20"/>
      <c r="AH38" s="20"/>
      <c r="AI38" s="19">
        <f>AF38-W38</f>
        <v>2532.5</v>
      </c>
      <c r="AJ38" s="18">
        <f>AF38/W38-1</f>
        <v>7.2687518010431384E-2</v>
      </c>
    </row>
    <row r="39" spans="1:36" x14ac:dyDescent="0.25">
      <c r="E39" s="1"/>
      <c r="L39" s="29"/>
      <c r="T39" s="20"/>
      <c r="U39" s="20"/>
      <c r="V39" s="20"/>
      <c r="W39" s="20"/>
      <c r="X39" s="20"/>
      <c r="Y39" s="20"/>
      <c r="Z39" s="20"/>
      <c r="AA39" s="20"/>
    </row>
    <row r="40" spans="1:36" x14ac:dyDescent="0.25">
      <c r="A40" s="17" t="s">
        <v>336</v>
      </c>
      <c r="T40" s="20"/>
      <c r="U40" s="20"/>
      <c r="V40" s="20"/>
      <c r="W40" s="20"/>
      <c r="X40" s="20"/>
      <c r="Y40" s="20"/>
      <c r="Z40" s="20"/>
      <c r="AA40" s="20"/>
    </row>
    <row r="41" spans="1:36" x14ac:dyDescent="0.25">
      <c r="A41" s="208" t="str">
        <f>("Average usage = "&amp;TEXT(INPUT!G19*1,"0,000")&amp;" kWh per month")</f>
        <v>Average usage = 191,317 kWh per month</v>
      </c>
      <c r="E41" s="1"/>
      <c r="S41" s="7"/>
      <c r="T41" s="20"/>
      <c r="U41" s="12"/>
      <c r="W41" s="12"/>
      <c r="AA41" s="6"/>
      <c r="AC41" s="9"/>
    </row>
    <row r="42" spans="1:36" x14ac:dyDescent="0.25">
      <c r="A42" s="210" t="s">
        <v>337</v>
      </c>
      <c r="E42" s="1"/>
      <c r="S42" s="7"/>
      <c r="T42" s="20"/>
      <c r="U42" s="12"/>
      <c r="W42" s="12"/>
      <c r="AA42" s="6"/>
      <c r="AC42" s="9"/>
    </row>
    <row r="43" spans="1:36" x14ac:dyDescent="0.25">
      <c r="A43" s="209" t="s">
        <v>338</v>
      </c>
    </row>
    <row r="44" spans="1:36" x14ac:dyDescent="0.25">
      <c r="A44" s="209" t="str">
        <f>+'Rate Case Constants'!C26</f>
        <v>Calculations may vary from other schedules due to rounding</v>
      </c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8"/>
  <sheetViews>
    <sheetView view="pageBreakPreview" topLeftCell="A28" zoomScaleNormal="100" zoomScaleSheetLayoutView="100" workbookViewId="0">
      <selection activeCell="A3" sqref="A3:P3"/>
    </sheetView>
  </sheetViews>
  <sheetFormatPr defaultRowHeight="13.2" x14ac:dyDescent="0.25"/>
  <cols>
    <col min="1" max="1" width="7.109375" customWidth="1"/>
    <col min="2" max="2" width="3.6640625" customWidth="1"/>
    <col min="3" max="3" width="6.5546875" customWidth="1"/>
    <col min="4" max="4" width="1.88671875" customWidth="1"/>
    <col min="5" max="5" width="9.5546875" customWidth="1"/>
    <col min="6" max="6" width="2" customWidth="1"/>
    <col min="7" max="7" width="13.44140625" bestFit="1" customWidth="1"/>
    <col min="8" max="8" width="14.6640625" customWidth="1"/>
    <col min="9" max="9" width="10.33203125" bestFit="1" customWidth="1"/>
    <col min="10" max="10" width="9.88671875" customWidth="1"/>
    <col min="11" max="11" width="11.44140625" customWidth="1"/>
    <col min="12" max="12" width="11.33203125" bestFit="1" customWidth="1"/>
    <col min="13" max="13" width="12.44140625" customWidth="1"/>
    <col min="14" max="15" width="13.44140625" bestFit="1" customWidth="1"/>
    <col min="16" max="18" width="9.88671875" customWidth="1"/>
    <col min="19" max="19" width="10" customWidth="1"/>
    <col min="20" max="20" width="13.5546875" customWidth="1"/>
    <col min="21" max="21" width="12.5546875" bestFit="1" customWidth="1"/>
    <col min="22" max="22" width="12.6640625" bestFit="1" customWidth="1"/>
    <col min="23" max="23" width="12" bestFit="1" customWidth="1"/>
    <col min="24" max="24" width="13" bestFit="1" customWidth="1"/>
    <col min="25" max="25" width="3.109375" customWidth="1"/>
    <col min="26" max="26" width="14.44140625" customWidth="1"/>
    <col min="27" max="27" width="3.88671875" customWidth="1"/>
    <col min="28" max="28" width="2.44140625" customWidth="1"/>
    <col min="29" max="29" width="14.44140625" bestFit="1" customWidth="1"/>
    <col min="30" max="30" width="12.6640625" bestFit="1" customWidth="1"/>
    <col min="31" max="31" width="11.5546875" bestFit="1" customWidth="1"/>
    <col min="32" max="32" width="13.88671875" bestFit="1" customWidth="1"/>
    <col min="33" max="33" width="11.5546875" bestFit="1" customWidth="1"/>
    <col min="34" max="34" width="12.6640625" bestFit="1" customWidth="1"/>
    <col min="35" max="35" width="12.6640625" customWidth="1"/>
    <col min="36" max="36" width="11.109375" customWidth="1"/>
    <col min="37" max="37" width="11.44140625" bestFit="1" customWidth="1"/>
    <col min="38" max="38" width="10.6640625" customWidth="1"/>
    <col min="39" max="39" width="11.44140625" bestFit="1" customWidth="1"/>
  </cols>
  <sheetData>
    <row r="1" spans="1:39" x14ac:dyDescent="0.25">
      <c r="A1" s="441" t="str">
        <f>+'Rate Case Constants'!C9</f>
        <v>LOUISVILLE GAS AND ELECTRIC COMPANY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</row>
    <row r="2" spans="1:39" x14ac:dyDescent="0.25">
      <c r="A2" s="441" t="str">
        <f>+'Rate Case Constants'!C10</f>
        <v>CASE NO. 2016-00371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</row>
    <row r="3" spans="1:39" x14ac:dyDescent="0.25">
      <c r="A3" s="442" t="str">
        <f>+'Rate Case Constants'!C24</f>
        <v>Typical Electric Bill Comparison under Present &amp; Proposed Rates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</row>
    <row r="4" spans="1:39" x14ac:dyDescent="0.25">
      <c r="A4" s="441" t="str">
        <f>+'Rate Case Constants'!C21</f>
        <v>FORECAST PERIOD FOR THE 12 MONTHS ENDED JUNE 30, 2018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39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</row>
    <row r="6" spans="1:39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</row>
    <row r="7" spans="1:39" x14ac:dyDescent="0.25">
      <c r="A7" s="340" t="str">
        <f>+'Rate Case Constants'!C33</f>
        <v>DATA: ____BASE PERIOD__X___FORECASTED PERIOD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1" t="str">
        <f>+'Rate Case Constants'!C25</f>
        <v>SCHEDULE N (Electric)</v>
      </c>
    </row>
    <row r="8" spans="1:39" x14ac:dyDescent="0.25">
      <c r="A8" s="340" t="str">
        <f>+'Rate Case Constants'!C29</f>
        <v>TYPE OF FILING: __X__ ORIGINAL  _____ UPDATED  _____ REVISED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2"/>
      <c r="M8" s="340"/>
      <c r="N8" s="340"/>
      <c r="O8" s="340"/>
      <c r="P8" s="342" t="str">
        <f>+'Rate Case Constants'!L15</f>
        <v>PAGE 8 of 21</v>
      </c>
    </row>
    <row r="9" spans="1:39" x14ac:dyDescent="0.25">
      <c r="A9" s="340" t="str">
        <f>+'Rate Case Constants'!C34</f>
        <v>WORKPAPER REFERENCE NO(S):________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2" t="str">
        <f>+'Rate Case Constants'!C36</f>
        <v>WITNESS:   C. M. GARRETT</v>
      </c>
    </row>
    <row r="10" spans="1:39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S10" s="84" t="s">
        <v>71</v>
      </c>
      <c r="T10">
        <f>+INPUT!G54</f>
        <v>-3.8049001245984149E-3</v>
      </c>
    </row>
    <row r="11" spans="1:39" x14ac:dyDescent="0.25">
      <c r="A11" s="351" t="s">
        <v>300</v>
      </c>
      <c r="S11" s="84" t="s">
        <v>73</v>
      </c>
      <c r="T11">
        <f>+INPUT!H54</f>
        <v>4.0824266951448163E-4</v>
      </c>
      <c r="V11" s="59" t="s">
        <v>97</v>
      </c>
      <c r="AD11" s="59" t="s">
        <v>97</v>
      </c>
    </row>
    <row r="12" spans="1:39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4" t="s">
        <v>72</v>
      </c>
      <c r="T12">
        <f>+INPUT!I54</f>
        <v>4.0171899950729346E-3</v>
      </c>
    </row>
    <row r="13" spans="1:39" x14ac:dyDescent="0.25">
      <c r="A13" s="45"/>
      <c r="G13" s="193" t="s">
        <v>326</v>
      </c>
      <c r="H13" s="194" t="s">
        <v>327</v>
      </c>
      <c r="I13" s="194" t="s">
        <v>328</v>
      </c>
      <c r="J13" s="193" t="s">
        <v>329</v>
      </c>
      <c r="K13" s="193" t="s">
        <v>330</v>
      </c>
      <c r="L13" s="193" t="s">
        <v>331</v>
      </c>
      <c r="M13" s="194" t="s">
        <v>332</v>
      </c>
      <c r="N13" s="193" t="s">
        <v>333</v>
      </c>
      <c r="O13" s="193" t="s">
        <v>334</v>
      </c>
      <c r="P13" s="193" t="s">
        <v>335</v>
      </c>
      <c r="U13" s="3" t="s">
        <v>1</v>
      </c>
      <c r="V13" s="3" t="s">
        <v>1</v>
      </c>
      <c r="W13" s="3" t="s">
        <v>1</v>
      </c>
      <c r="Z13" s="3" t="s">
        <v>72</v>
      </c>
      <c r="AD13" s="20"/>
      <c r="AE13" s="21" t="s">
        <v>9</v>
      </c>
      <c r="AF13" s="21" t="s">
        <v>9</v>
      </c>
      <c r="AG13" s="21" t="s">
        <v>9</v>
      </c>
      <c r="AH13" s="20"/>
      <c r="AI13" s="3" t="s">
        <v>72</v>
      </c>
    </row>
    <row r="14" spans="1:39" x14ac:dyDescent="0.25">
      <c r="G14" s="313" t="s">
        <v>366</v>
      </c>
      <c r="H14" s="313" t="s">
        <v>366</v>
      </c>
      <c r="I14" s="197"/>
      <c r="J14" s="197"/>
      <c r="K14" s="197"/>
      <c r="L14" s="197"/>
      <c r="M14" s="197"/>
      <c r="N14" s="193" t="s">
        <v>5</v>
      </c>
      <c r="O14" s="193" t="s">
        <v>5</v>
      </c>
      <c r="P14" s="197"/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1" t="s">
        <v>34</v>
      </c>
      <c r="AF14" s="21" t="s">
        <v>30</v>
      </c>
      <c r="AG14" s="21" t="s">
        <v>22</v>
      </c>
      <c r="AH14" s="21" t="s">
        <v>9</v>
      </c>
      <c r="AI14" s="3" t="s">
        <v>1</v>
      </c>
      <c r="AK14" s="3"/>
    </row>
    <row r="15" spans="1:39" x14ac:dyDescent="0.25">
      <c r="C15" s="3" t="s">
        <v>23</v>
      </c>
      <c r="E15" s="3"/>
      <c r="F15" s="3"/>
      <c r="G15" s="193" t="s">
        <v>1</v>
      </c>
      <c r="H15" s="193" t="s">
        <v>74</v>
      </c>
      <c r="I15" s="193"/>
      <c r="J15" s="193"/>
      <c r="K15" s="436" t="s">
        <v>130</v>
      </c>
      <c r="L15" s="436"/>
      <c r="M15" s="437"/>
      <c r="N15" s="193" t="s">
        <v>1</v>
      </c>
      <c r="O15" s="193" t="s">
        <v>74</v>
      </c>
      <c r="P15" s="193"/>
      <c r="Q15" s="3"/>
      <c r="R15" s="3"/>
      <c r="S15" s="3" t="s">
        <v>2</v>
      </c>
      <c r="T15" s="3" t="s">
        <v>58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76</v>
      </c>
      <c r="AC15" s="26" t="s">
        <v>57</v>
      </c>
      <c r="AD15" s="3" t="s">
        <v>58</v>
      </c>
      <c r="AE15" s="21" t="s">
        <v>25</v>
      </c>
      <c r="AF15" s="21" t="s">
        <v>25</v>
      </c>
      <c r="AG15" s="21" t="s">
        <v>18</v>
      </c>
      <c r="AH15" s="21" t="s">
        <v>5</v>
      </c>
      <c r="AI15" s="3" t="s">
        <v>76</v>
      </c>
      <c r="AK15" s="3" t="s">
        <v>6</v>
      </c>
      <c r="AL15" s="3"/>
      <c r="AM15" s="3" t="s">
        <v>8</v>
      </c>
    </row>
    <row r="16" spans="1:39" x14ac:dyDescent="0.25">
      <c r="A16" s="3" t="s">
        <v>26</v>
      </c>
      <c r="C16" s="3" t="s">
        <v>24</v>
      </c>
      <c r="E16" s="3" t="s">
        <v>0</v>
      </c>
      <c r="F16" s="3"/>
      <c r="G16" s="193" t="s">
        <v>4</v>
      </c>
      <c r="H16" s="193" t="s">
        <v>4</v>
      </c>
      <c r="I16" s="193" t="s">
        <v>75</v>
      </c>
      <c r="J16" s="193" t="s">
        <v>75</v>
      </c>
      <c r="K16" s="202" t="s">
        <v>421</v>
      </c>
      <c r="L16" s="202" t="s">
        <v>73</v>
      </c>
      <c r="M16" s="202" t="s">
        <v>72</v>
      </c>
      <c r="N16" s="193" t="s">
        <v>4</v>
      </c>
      <c r="O16" s="193" t="s">
        <v>4</v>
      </c>
      <c r="P16" s="193" t="s">
        <v>75</v>
      </c>
      <c r="Q16" s="3"/>
      <c r="R16" s="3"/>
      <c r="S16" s="26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6" t="s">
        <v>3</v>
      </c>
      <c r="AD16" s="3" t="s">
        <v>3</v>
      </c>
      <c r="AE16" s="21" t="s">
        <v>3</v>
      </c>
      <c r="AF16" s="21" t="s">
        <v>3</v>
      </c>
      <c r="AG16" s="21" t="s">
        <v>3</v>
      </c>
      <c r="AH16" s="21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5">
      <c r="A17" s="3"/>
      <c r="C17" s="3"/>
      <c r="E17" s="3"/>
      <c r="F17" s="3"/>
      <c r="G17" s="193"/>
      <c r="H17" s="193"/>
      <c r="I17" s="193" t="s">
        <v>69</v>
      </c>
      <c r="J17" s="194" t="s">
        <v>70</v>
      </c>
      <c r="K17" s="195"/>
      <c r="L17" s="195"/>
      <c r="M17" s="196"/>
      <c r="N17" s="193" t="s">
        <v>69</v>
      </c>
      <c r="O17" s="193" t="s">
        <v>69</v>
      </c>
      <c r="P17" s="194" t="s">
        <v>70</v>
      </c>
      <c r="Q17" s="3"/>
      <c r="R17" s="3"/>
      <c r="S17" s="26"/>
      <c r="T17" s="43">
        <f>+INPUT!$J$6</f>
        <v>4.0489999999999998E-2</v>
      </c>
      <c r="U17" s="44">
        <f>+INPUT!$J$14</f>
        <v>6.74</v>
      </c>
      <c r="V17" s="44">
        <f>+INPUT!$J$15</f>
        <v>5.0999999999999996</v>
      </c>
      <c r="W17" s="44">
        <f>+INPUT!$J$16</f>
        <v>4.5999999999999996</v>
      </c>
      <c r="X17" s="3"/>
      <c r="Y17" s="3"/>
      <c r="Z17" s="43"/>
      <c r="AC17" s="26"/>
      <c r="AD17" s="43">
        <f>+INPUT!$J$27</f>
        <v>4.0489999999999998E-2</v>
      </c>
      <c r="AE17" s="44">
        <f>+INPUT!$J$35</f>
        <v>7.56</v>
      </c>
      <c r="AF17" s="44">
        <f>+INPUT!$J$36</f>
        <v>5.54</v>
      </c>
      <c r="AG17" s="44">
        <f>+INPUT!$J$37</f>
        <v>4.84</v>
      </c>
      <c r="AH17" s="21"/>
      <c r="AI17" s="43"/>
      <c r="AK17" s="3"/>
      <c r="AL17" s="3"/>
      <c r="AM17" s="3"/>
    </row>
    <row r="18" spans="1:39" x14ac:dyDescent="0.25">
      <c r="A18" s="16"/>
      <c r="B18" s="16"/>
      <c r="C18" s="81"/>
      <c r="D18" s="16"/>
      <c r="E18" s="81"/>
      <c r="F18" s="81"/>
      <c r="G18" s="325"/>
      <c r="H18" s="325"/>
      <c r="I18" s="325" t="str">
        <f>("[ "&amp;H13&amp;" - "&amp;G13&amp;" ]")</f>
        <v>[ B - A ]</v>
      </c>
      <c r="J18" s="325" t="str">
        <f>("[ "&amp;I13&amp;" / "&amp;G13&amp;" ]")</f>
        <v>[ C / A ]</v>
      </c>
      <c r="K18" s="353"/>
      <c r="L18" s="353"/>
      <c r="M18" s="353"/>
      <c r="N18" s="325" t="str">
        <f>("["&amp;G13&amp;"+"&amp;$K$13&amp;"+"&amp;$L$13&amp;"+"&amp;$M$13&amp;"]")</f>
        <v>[A+E+F+G]</v>
      </c>
      <c r="O18" s="325" t="str">
        <f>("["&amp;H13&amp;"+"&amp;$K$13&amp;"+"&amp;$L$13&amp;"+"&amp;$M$13&amp;"]")</f>
        <v>[B+E+F+G]</v>
      </c>
      <c r="P18" s="325" t="str">
        <f>("[("&amp;O13&amp;" - "&amp;N13&amp;")/"&amp;N13&amp;"]")</f>
        <v>[(I - H)/H]</v>
      </c>
      <c r="Q18" s="3"/>
      <c r="R18" s="3"/>
      <c r="T18" s="3" t="s">
        <v>14</v>
      </c>
      <c r="U18" s="3" t="s">
        <v>60</v>
      </c>
      <c r="V18" s="3" t="s">
        <v>60</v>
      </c>
      <c r="W18" s="3" t="s">
        <v>60</v>
      </c>
      <c r="X18" s="3"/>
      <c r="Y18" s="3"/>
      <c r="Z18" s="3" t="s">
        <v>14</v>
      </c>
      <c r="AC18" s="26"/>
      <c r="AD18" s="3" t="s">
        <v>14</v>
      </c>
      <c r="AE18" s="3" t="s">
        <v>60</v>
      </c>
      <c r="AF18" s="3" t="s">
        <v>60</v>
      </c>
      <c r="AG18" s="3" t="s">
        <v>60</v>
      </c>
      <c r="AH18" s="21"/>
      <c r="AI18" s="3" t="s">
        <v>14</v>
      </c>
      <c r="AK18" s="3"/>
      <c r="AL18" s="3"/>
      <c r="AM18" s="3"/>
    </row>
    <row r="19" spans="1:39" x14ac:dyDescent="0.25">
      <c r="C19" s="3"/>
      <c r="E19" s="3"/>
      <c r="F19" s="3"/>
      <c r="G19" s="3"/>
      <c r="H19" s="3"/>
      <c r="I19" s="200"/>
      <c r="J19" s="200"/>
      <c r="K19" s="3"/>
      <c r="L19" s="3"/>
      <c r="M19" s="3"/>
      <c r="N19" s="201"/>
      <c r="O19" s="3"/>
      <c r="P19" s="202"/>
      <c r="Q19" s="3"/>
      <c r="R19" s="3"/>
      <c r="U19" s="3"/>
      <c r="V19" s="3"/>
      <c r="W19" s="3"/>
      <c r="X19" s="3"/>
      <c r="Y19" s="3"/>
      <c r="AC19" s="26"/>
      <c r="AD19" s="3"/>
      <c r="AE19" s="21"/>
      <c r="AF19" s="21"/>
      <c r="AG19" s="21"/>
      <c r="AH19" s="21"/>
      <c r="AK19" s="3"/>
      <c r="AL19" s="3"/>
      <c r="AM19" s="3"/>
    </row>
    <row r="20" spans="1:39" x14ac:dyDescent="0.25">
      <c r="A20" s="1">
        <v>250</v>
      </c>
      <c r="B20" s="1"/>
      <c r="C20" s="13">
        <v>0.3</v>
      </c>
      <c r="E20" s="1">
        <f>C20*($A$20*730)</f>
        <v>54750</v>
      </c>
      <c r="F20" s="1"/>
      <c r="G20" s="29">
        <f>+X20</f>
        <v>6526.8274999999994</v>
      </c>
      <c r="H20" s="29">
        <f>+AH20</f>
        <v>6901.8274999999994</v>
      </c>
      <c r="I20" s="29">
        <f>+H20-G20</f>
        <v>375</v>
      </c>
      <c r="J20" s="55">
        <f>ROUND(+I20/G20,4)</f>
        <v>5.7500000000000002E-2</v>
      </c>
      <c r="K20" s="29">
        <f>ROUND($T$10*$E20,2)</f>
        <v>-208.32</v>
      </c>
      <c r="L20" s="29">
        <f>ROUND($T$11*$E20,2)</f>
        <v>22.35</v>
      </c>
      <c r="M20" s="29">
        <f>ROUND($T$12*$E20,2)</f>
        <v>219.94</v>
      </c>
      <c r="N20" s="29">
        <f>+G20+K20+L20+M20</f>
        <v>6560.7974999999997</v>
      </c>
      <c r="O20" s="29">
        <f>+H20+K20+L20+M20</f>
        <v>6935.7974999999997</v>
      </c>
      <c r="P20" s="55">
        <f>(O20-N20)/N20</f>
        <v>5.715768547954727E-2</v>
      </c>
      <c r="Q20" s="1"/>
      <c r="S20" s="7">
        <f>+INPUT!$J$4</f>
        <v>200</v>
      </c>
      <c r="T20" s="20">
        <f>$T$17*E20</f>
        <v>2216.8274999999999</v>
      </c>
      <c r="U20" s="20">
        <f>$U$17*$A$20</f>
        <v>1685</v>
      </c>
      <c r="V20" s="20">
        <f>$V$17*$A$20</f>
        <v>1275</v>
      </c>
      <c r="W20" s="20">
        <f>$W$17*$A$20</f>
        <v>1150</v>
      </c>
      <c r="X20" s="25">
        <f>S20+T20+U20+V20+W20</f>
        <v>6526.8274999999994</v>
      </c>
      <c r="Y20" s="25"/>
      <c r="Z20" s="20"/>
      <c r="AC20" s="7">
        <f>INPUT!$J$25</f>
        <v>200</v>
      </c>
      <c r="AD20" s="20">
        <f>$AD$17*E20</f>
        <v>2216.8274999999999</v>
      </c>
      <c r="AE20" s="20">
        <f>$A$20*$AE$17</f>
        <v>1890</v>
      </c>
      <c r="AF20" s="20">
        <f>$A$20*$AF$17</f>
        <v>1385</v>
      </c>
      <c r="AG20" s="20">
        <f>$A$20*$AG$17</f>
        <v>1210</v>
      </c>
      <c r="AH20" s="25">
        <f>AC20+AD20+AE20+AF20+AG20</f>
        <v>6901.8274999999994</v>
      </c>
      <c r="AI20" s="20"/>
      <c r="AJ20" s="17"/>
      <c r="AK20" s="7">
        <f>AH20-X20</f>
        <v>375</v>
      </c>
      <c r="AM20" s="18">
        <f>AH20/X20-1</f>
        <v>5.74551725168162E-2</v>
      </c>
    </row>
    <row r="21" spans="1:39" x14ac:dyDescent="0.25">
      <c r="C21" s="13">
        <v>0.5</v>
      </c>
      <c r="E21" s="1">
        <f>C21*($A$20*730)</f>
        <v>91250</v>
      </c>
      <c r="F21" s="1"/>
      <c r="G21" s="29">
        <f t="shared" ref="G21:G38" si="0">+X21</f>
        <v>8004.7124999999996</v>
      </c>
      <c r="H21" s="29">
        <f>+AH21</f>
        <v>8379.7124999999996</v>
      </c>
      <c r="I21" s="29">
        <f>+H21-G21</f>
        <v>375</v>
      </c>
      <c r="J21" s="55">
        <f>ROUND(+I21/G21,4)</f>
        <v>4.6800000000000001E-2</v>
      </c>
      <c r="K21" s="29">
        <f>ROUND($T$10*$E21,2)</f>
        <v>-347.2</v>
      </c>
      <c r="L21" s="29">
        <f>ROUND($T$11*$E21,2)</f>
        <v>37.25</v>
      </c>
      <c r="M21" s="29">
        <f>ROUND($T$12*$E21,2)</f>
        <v>366.57</v>
      </c>
      <c r="N21" s="29">
        <f>+G21+K21+L21+M21</f>
        <v>8061.3324999999995</v>
      </c>
      <c r="O21" s="29">
        <f>+H21+K21+L21+M21</f>
        <v>8436.3325000000004</v>
      </c>
      <c r="P21" s="55">
        <f>(O21-N21)/N21</f>
        <v>4.6518364054577939E-2</v>
      </c>
      <c r="Q21" s="1"/>
      <c r="S21" s="7">
        <f>$S$20</f>
        <v>200</v>
      </c>
      <c r="T21" s="20">
        <f>$T$17*E21</f>
        <v>3694.7124999999996</v>
      </c>
      <c r="U21" s="20">
        <f>$U$17*$A$20</f>
        <v>1685</v>
      </c>
      <c r="V21" s="20">
        <f>$V$17*$A$20</f>
        <v>1275</v>
      </c>
      <c r="W21" s="20">
        <f>$W$17*$A$20</f>
        <v>1150</v>
      </c>
      <c r="X21" s="25">
        <f>S21+T21+U21+V21+W21</f>
        <v>8004.7124999999996</v>
      </c>
      <c r="Y21" s="25"/>
      <c r="Z21" s="20"/>
      <c r="AC21" s="7">
        <f>$AC$20</f>
        <v>200</v>
      </c>
      <c r="AD21" s="20">
        <f>$AD$17*E21</f>
        <v>3694.7124999999996</v>
      </c>
      <c r="AE21" s="20">
        <f>$A$20*$AE$17</f>
        <v>1890</v>
      </c>
      <c r="AF21" s="20">
        <f>$A$20*$AF$17</f>
        <v>1385</v>
      </c>
      <c r="AG21" s="20">
        <f>$A$20*$AG$17</f>
        <v>1210</v>
      </c>
      <c r="AH21" s="25">
        <f>AC21+AD21+AE21+AF21+AG21</f>
        <v>8379.7124999999996</v>
      </c>
      <c r="AI21" s="20"/>
      <c r="AJ21" s="17"/>
      <c r="AK21" s="7">
        <f>AH21-X21</f>
        <v>375</v>
      </c>
      <c r="AM21" s="18">
        <f>AH21/X21-1</f>
        <v>4.6847403951109978E-2</v>
      </c>
    </row>
    <row r="22" spans="1:39" x14ac:dyDescent="0.25">
      <c r="C22" s="13">
        <v>0.7</v>
      </c>
      <c r="E22" s="1">
        <f>C22*($A$20*730)</f>
        <v>127749.99999999999</v>
      </c>
      <c r="F22" s="1"/>
      <c r="G22" s="29">
        <f t="shared" si="0"/>
        <v>9482.5974999999999</v>
      </c>
      <c r="H22" s="29">
        <f>+AH22</f>
        <v>9857.5974999999999</v>
      </c>
      <c r="I22" s="29">
        <f>+H22-G22</f>
        <v>375</v>
      </c>
      <c r="J22" s="55">
        <f>ROUND(+I22/G22,4)</f>
        <v>3.95E-2</v>
      </c>
      <c r="K22" s="29">
        <f>ROUND($T$10*$E22,2)</f>
        <v>-486.08</v>
      </c>
      <c r="L22" s="29">
        <f>ROUND($T$11*$E22,2)</f>
        <v>52.15</v>
      </c>
      <c r="M22" s="29">
        <f>ROUND($T$12*$E22,2)</f>
        <v>513.20000000000005</v>
      </c>
      <c r="N22" s="29">
        <f>+G22+K22+L22+M22</f>
        <v>9561.8675000000003</v>
      </c>
      <c r="O22" s="29">
        <f>+H22+K22+L22+M22</f>
        <v>9936.8675000000003</v>
      </c>
      <c r="P22" s="55">
        <f>(O22-N22)/N22</f>
        <v>3.9218280320240786E-2</v>
      </c>
      <c r="Q22" s="1"/>
      <c r="S22" s="7">
        <f>$S$20</f>
        <v>200</v>
      </c>
      <c r="T22" s="20">
        <f>$T$17*E22</f>
        <v>5172.5974999999989</v>
      </c>
      <c r="U22" s="20">
        <f>$U$17*$A$20</f>
        <v>1685</v>
      </c>
      <c r="V22" s="20">
        <f>$V$17*$A$20</f>
        <v>1275</v>
      </c>
      <c r="W22" s="20">
        <f>$W$17*$A$20</f>
        <v>1150</v>
      </c>
      <c r="X22" s="25">
        <f>S22+T22+U22+V22+W22</f>
        <v>9482.5974999999999</v>
      </c>
      <c r="Y22" s="25"/>
      <c r="Z22" s="20"/>
      <c r="AC22" s="7">
        <f>$AC$20</f>
        <v>200</v>
      </c>
      <c r="AD22" s="20">
        <f>$AD$17*E22</f>
        <v>5172.5974999999989</v>
      </c>
      <c r="AE22" s="20">
        <f>$A$20*$AE$17</f>
        <v>1890</v>
      </c>
      <c r="AF22" s="20">
        <f>$A$20*$AF$17</f>
        <v>1385</v>
      </c>
      <c r="AG22" s="20">
        <f>$A$20*$AG$17</f>
        <v>1210</v>
      </c>
      <c r="AH22" s="25">
        <f>AC22+AD22+AE22+AF22+AG22</f>
        <v>9857.5974999999999</v>
      </c>
      <c r="AI22" s="20"/>
      <c r="AJ22" s="17"/>
      <c r="AK22" s="7">
        <f>AH22-X22</f>
        <v>375</v>
      </c>
      <c r="AM22" s="18">
        <f>AH22/X22-1</f>
        <v>3.9546126470094256E-2</v>
      </c>
    </row>
    <row r="23" spans="1:39" x14ac:dyDescent="0.25">
      <c r="C23" s="13"/>
      <c r="E23" s="1"/>
      <c r="F23" s="1"/>
      <c r="G23" s="29"/>
      <c r="H23" s="29"/>
      <c r="J23" s="5"/>
      <c r="K23" s="1"/>
      <c r="L23" s="1"/>
      <c r="M23" s="1"/>
      <c r="P23" s="55"/>
      <c r="Q23" s="1"/>
      <c r="S23" s="7"/>
      <c r="T23" s="20"/>
      <c r="U23" s="20"/>
      <c r="V23" s="20"/>
      <c r="W23" s="20"/>
      <c r="X23" s="25"/>
      <c r="Y23" s="25"/>
      <c r="AC23" s="7"/>
      <c r="AD23" s="20"/>
      <c r="AE23" s="20"/>
      <c r="AF23" s="20"/>
      <c r="AG23" s="20"/>
      <c r="AH23" s="25"/>
      <c r="AJ23" s="17"/>
      <c r="AK23" s="6"/>
      <c r="AM23" s="6"/>
    </row>
    <row r="24" spans="1:39" x14ac:dyDescent="0.25">
      <c r="A24" s="1">
        <v>500</v>
      </c>
      <c r="B24" s="1"/>
      <c r="C24" s="13">
        <v>0.3</v>
      </c>
      <c r="E24" s="1">
        <f>C24*($A$24*730)</f>
        <v>109500</v>
      </c>
      <c r="F24" s="1"/>
      <c r="G24" s="29">
        <f t="shared" si="0"/>
        <v>12853.654999999999</v>
      </c>
      <c r="H24" s="29">
        <f>+AH24</f>
        <v>13603.654999999999</v>
      </c>
      <c r="I24" s="29">
        <f>+H24-G24</f>
        <v>750</v>
      </c>
      <c r="J24" s="55">
        <f>ROUND(+I24/G24,4)</f>
        <v>5.8299999999999998E-2</v>
      </c>
      <c r="K24" s="29">
        <f>ROUND($T$10*$E24,2)</f>
        <v>-416.64</v>
      </c>
      <c r="L24" s="29">
        <f>ROUND($T$11*$E24,2)</f>
        <v>44.7</v>
      </c>
      <c r="M24" s="29">
        <f>ROUND($T$12*$E24,2)</f>
        <v>439.88</v>
      </c>
      <c r="N24" s="29">
        <f>+G24+K24+L24+M24</f>
        <v>12921.594999999999</v>
      </c>
      <c r="O24" s="29">
        <f>+H24+K24+L24+M24</f>
        <v>13671.594999999999</v>
      </c>
      <c r="P24" s="55">
        <f>(O24-N24)/N24</f>
        <v>5.8042370156315845E-2</v>
      </c>
      <c r="Q24" s="1"/>
      <c r="S24" s="7">
        <f>$S$20</f>
        <v>200</v>
      </c>
      <c r="T24" s="20">
        <f>$T$17*E24</f>
        <v>4433.6549999999997</v>
      </c>
      <c r="U24" s="20">
        <f>$U$17*$A$24</f>
        <v>3370</v>
      </c>
      <c r="V24" s="20">
        <f>$V$17*$A$24</f>
        <v>2550</v>
      </c>
      <c r="W24" s="20">
        <f>$W$17*$A$24</f>
        <v>2300</v>
      </c>
      <c r="X24" s="25">
        <f>S24+T24+U24+V24+W24</f>
        <v>12853.654999999999</v>
      </c>
      <c r="Y24" s="25"/>
      <c r="Z24" s="20"/>
      <c r="AC24" s="7">
        <f>$AC$20</f>
        <v>200</v>
      </c>
      <c r="AD24" s="20">
        <f>$AD$17*E24</f>
        <v>4433.6549999999997</v>
      </c>
      <c r="AE24" s="20">
        <f>$A$24*$AE$17</f>
        <v>3780</v>
      </c>
      <c r="AF24" s="20">
        <f>$A$24*$AF$17</f>
        <v>2770</v>
      </c>
      <c r="AG24" s="20">
        <f>$A$24*$AG$17</f>
        <v>2420</v>
      </c>
      <c r="AH24" s="25">
        <f>AC24+AD24+AE24+AF24+AG24</f>
        <v>13603.654999999999</v>
      </c>
      <c r="AI24" s="20"/>
      <c r="AJ24" s="17"/>
      <c r="AK24" s="7">
        <f>AH24-X24</f>
        <v>750</v>
      </c>
      <c r="AL24" s="10"/>
      <c r="AM24" s="18">
        <f>AH24/X24-1</f>
        <v>5.8349162164380575E-2</v>
      </c>
    </row>
    <row r="25" spans="1:39" x14ac:dyDescent="0.25">
      <c r="C25" s="13">
        <v>0.5</v>
      </c>
      <c r="E25" s="1">
        <f>C25*($A$24*730)</f>
        <v>182500</v>
      </c>
      <c r="F25" s="1"/>
      <c r="G25" s="29">
        <f t="shared" si="0"/>
        <v>15809.424999999999</v>
      </c>
      <c r="H25" s="29">
        <f>+AH25</f>
        <v>16559.424999999999</v>
      </c>
      <c r="I25" s="29">
        <f>+H25-G25</f>
        <v>750</v>
      </c>
      <c r="J25" s="55">
        <f>ROUND(+I25/G25,4)</f>
        <v>4.7399999999999998E-2</v>
      </c>
      <c r="K25" s="29">
        <f>ROUND($T$10*$E25,2)</f>
        <v>-694.39</v>
      </c>
      <c r="L25" s="29">
        <f>ROUND($T$11*$E25,2)</f>
        <v>74.5</v>
      </c>
      <c r="M25" s="29">
        <f>ROUND($T$12*$E25,2)</f>
        <v>733.14</v>
      </c>
      <c r="N25" s="29">
        <f>+G25+K25+L25+M25</f>
        <v>15922.674999999999</v>
      </c>
      <c r="O25" s="29">
        <f>+H25+K25+L25+M25</f>
        <v>16672.674999999999</v>
      </c>
      <c r="P25" s="55">
        <f>(O25-N25)/N25</f>
        <v>4.7102638218766632E-2</v>
      </c>
      <c r="Q25" s="1"/>
      <c r="S25" s="7">
        <f>$S$20</f>
        <v>200</v>
      </c>
      <c r="T25" s="20">
        <f>$T$17*E25</f>
        <v>7389.4249999999993</v>
      </c>
      <c r="U25" s="20">
        <f>$U$17*$A$24</f>
        <v>3370</v>
      </c>
      <c r="V25" s="20">
        <f>$V$17*$A$24</f>
        <v>2550</v>
      </c>
      <c r="W25" s="20">
        <f>$W$17*$A$24</f>
        <v>2300</v>
      </c>
      <c r="X25" s="25">
        <f>S25+T25+U25+V25+W25</f>
        <v>15809.424999999999</v>
      </c>
      <c r="Y25" s="25"/>
      <c r="Z25" s="20"/>
      <c r="AC25" s="7">
        <f>$AC$20</f>
        <v>200</v>
      </c>
      <c r="AD25" s="20">
        <f>$AD$17*E25</f>
        <v>7389.4249999999993</v>
      </c>
      <c r="AE25" s="20">
        <f>$A$24*$AE$17</f>
        <v>3780</v>
      </c>
      <c r="AF25" s="20">
        <f>$A$24*$AF$17</f>
        <v>2770</v>
      </c>
      <c r="AG25" s="20">
        <f>$A$24*$AG$17</f>
        <v>2420</v>
      </c>
      <c r="AH25" s="25">
        <f>AC25+AD25+AE25+AF25+AG25</f>
        <v>16559.424999999999</v>
      </c>
      <c r="AI25" s="20"/>
      <c r="AJ25" s="17"/>
      <c r="AK25" s="7">
        <f>AH25-X25</f>
        <v>750</v>
      </c>
      <c r="AL25" s="10"/>
      <c r="AM25" s="18">
        <f>AH25/X25-1</f>
        <v>4.7440055536491776E-2</v>
      </c>
    </row>
    <row r="26" spans="1:39" x14ac:dyDescent="0.25">
      <c r="C26" s="13">
        <v>0.7</v>
      </c>
      <c r="E26" s="1">
        <f>C26*($A$24*730)</f>
        <v>255499.99999999997</v>
      </c>
      <c r="F26" s="1"/>
      <c r="G26" s="29">
        <f t="shared" si="0"/>
        <v>18765.195</v>
      </c>
      <c r="H26" s="29">
        <f>+AH26</f>
        <v>19515.195</v>
      </c>
      <c r="I26" s="29">
        <f>+H26-G26</f>
        <v>750</v>
      </c>
      <c r="J26" s="55">
        <f>ROUND(+I26/G26,4)</f>
        <v>0.04</v>
      </c>
      <c r="K26" s="29">
        <f>ROUND($T$10*$E26,2)</f>
        <v>-972.15</v>
      </c>
      <c r="L26" s="29">
        <f>ROUND($T$11*$E26,2)</f>
        <v>104.31</v>
      </c>
      <c r="M26" s="29">
        <f>ROUND($T$12*$E26,2)</f>
        <v>1026.3900000000001</v>
      </c>
      <c r="N26" s="29">
        <f>+G26+K26+L26+M26</f>
        <v>18923.744999999999</v>
      </c>
      <c r="O26" s="29">
        <f>+H26+K26+L26+M26</f>
        <v>19673.744999999999</v>
      </c>
      <c r="P26" s="55">
        <f>(O26-N26)/N26</f>
        <v>3.9632747112159881E-2</v>
      </c>
      <c r="Q26" s="1"/>
      <c r="S26" s="7">
        <f>$S$20</f>
        <v>200</v>
      </c>
      <c r="T26" s="20">
        <f>$T$17*E26</f>
        <v>10345.194999999998</v>
      </c>
      <c r="U26" s="20">
        <f>$U$17*$A$24</f>
        <v>3370</v>
      </c>
      <c r="V26" s="20">
        <f>$V$17*$A$24</f>
        <v>2550</v>
      </c>
      <c r="W26" s="20">
        <f>$W$17*$A$24</f>
        <v>2300</v>
      </c>
      <c r="X26" s="25">
        <f>S26+T26+U26+V26+W26</f>
        <v>18765.195</v>
      </c>
      <c r="Y26" s="25"/>
      <c r="Z26" s="20"/>
      <c r="AC26" s="7">
        <f>$AC$20</f>
        <v>200</v>
      </c>
      <c r="AD26" s="20">
        <f>$AD$17*E26</f>
        <v>10345.194999999998</v>
      </c>
      <c r="AE26" s="20">
        <f>$A$24*$AE$17</f>
        <v>3780</v>
      </c>
      <c r="AF26" s="20">
        <f>$A$24*$AF$17</f>
        <v>2770</v>
      </c>
      <c r="AG26" s="20">
        <f>$A$24*$AG$17</f>
        <v>2420</v>
      </c>
      <c r="AH26" s="25">
        <f>AC26+AD26+AE26+AF26+AG26</f>
        <v>19515.195</v>
      </c>
      <c r="AI26" s="20"/>
      <c r="AJ26" s="17"/>
      <c r="AK26" s="7">
        <f>AH26-X26</f>
        <v>750</v>
      </c>
      <c r="AM26" s="18">
        <f>AH26/X26-1</f>
        <v>3.9967610248654584E-2</v>
      </c>
    </row>
    <row r="27" spans="1:39" x14ac:dyDescent="0.25">
      <c r="C27" s="13"/>
      <c r="E27" s="1"/>
      <c r="F27" s="1"/>
      <c r="G27" s="29"/>
      <c r="H27" s="29"/>
      <c r="J27" s="5"/>
      <c r="K27" s="1"/>
      <c r="L27" s="1"/>
      <c r="M27" s="1"/>
      <c r="P27" s="55"/>
      <c r="Q27" s="1"/>
      <c r="S27" s="7"/>
      <c r="T27" s="20"/>
      <c r="U27" s="20"/>
      <c r="V27" s="20"/>
      <c r="W27" s="20"/>
      <c r="X27" s="25"/>
      <c r="Y27" s="25"/>
      <c r="AC27" s="7"/>
      <c r="AD27" s="20"/>
      <c r="AE27" s="20"/>
      <c r="AF27" s="20"/>
      <c r="AG27" s="20"/>
      <c r="AH27" s="25"/>
      <c r="AJ27" s="17"/>
      <c r="AK27" s="6"/>
      <c r="AM27" s="6"/>
    </row>
    <row r="28" spans="1:39" x14ac:dyDescent="0.25">
      <c r="A28" s="1">
        <v>1000</v>
      </c>
      <c r="B28" s="1"/>
      <c r="C28" s="13">
        <v>0.3</v>
      </c>
      <c r="E28" s="1">
        <f>C28*($A$28*730)</f>
        <v>219000</v>
      </c>
      <c r="F28" s="1"/>
      <c r="G28" s="29">
        <f t="shared" si="0"/>
        <v>25507.309999999998</v>
      </c>
      <c r="H28" s="29">
        <f>+AH28</f>
        <v>27007.309999999998</v>
      </c>
      <c r="I28" s="29">
        <f>+H28-G28</f>
        <v>1500</v>
      </c>
      <c r="J28" s="55">
        <f>ROUND(+I28/G28,4)</f>
        <v>5.8799999999999998E-2</v>
      </c>
      <c r="K28" s="29">
        <f>ROUND($T$10*$E28,2)</f>
        <v>-833.27</v>
      </c>
      <c r="L28" s="29">
        <f>ROUND($T$11*$E28,2)</f>
        <v>89.41</v>
      </c>
      <c r="M28" s="29">
        <f>ROUND($T$12*$E28,2)</f>
        <v>879.76</v>
      </c>
      <c r="N28" s="29">
        <f>+G28+K28+L28+M28</f>
        <v>25643.209999999995</v>
      </c>
      <c r="O28" s="29">
        <f>+H28+K28+L28+M28</f>
        <v>27143.209999999995</v>
      </c>
      <c r="P28" s="55">
        <f>(O28-N28)/N28</f>
        <v>5.8495016809518005E-2</v>
      </c>
      <c r="Q28" s="1"/>
      <c r="S28" s="7">
        <f>$S$20</f>
        <v>200</v>
      </c>
      <c r="T28" s="20">
        <f>$T$17*E28</f>
        <v>8867.31</v>
      </c>
      <c r="U28" s="20">
        <f>$U$17*$A$28</f>
        <v>6740</v>
      </c>
      <c r="V28" s="20">
        <f>$V$17*$A$28</f>
        <v>5100</v>
      </c>
      <c r="W28" s="20">
        <f>$W$17*$A$28</f>
        <v>4600</v>
      </c>
      <c r="X28" s="25">
        <f>S28+T28+U28+V28+W28</f>
        <v>25507.309999999998</v>
      </c>
      <c r="Y28" s="25"/>
      <c r="Z28" s="20"/>
      <c r="AC28" s="7">
        <f>$AC$20</f>
        <v>200</v>
      </c>
      <c r="AD28" s="20">
        <f>$AD$17*E28</f>
        <v>8867.31</v>
      </c>
      <c r="AE28" s="20">
        <f>$A$28*$AE$17</f>
        <v>7560</v>
      </c>
      <c r="AF28" s="20">
        <f>$A$28*$AF$17</f>
        <v>5540</v>
      </c>
      <c r="AG28" s="20">
        <f>$A$28*$AG$17</f>
        <v>4840</v>
      </c>
      <c r="AH28" s="25">
        <f>AC28+AD28+AE28+AF28+AG28</f>
        <v>27007.309999999998</v>
      </c>
      <c r="AI28" s="20"/>
      <c r="AJ28" s="17"/>
      <c r="AK28" s="7">
        <f>AH28-X28</f>
        <v>1500</v>
      </c>
      <c r="AM28" s="18">
        <f>AH28/X28-1</f>
        <v>5.8806671499268326E-2</v>
      </c>
    </row>
    <row r="29" spans="1:39" x14ac:dyDescent="0.25">
      <c r="C29" s="13">
        <v>0.5</v>
      </c>
      <c r="E29" s="1">
        <f>C29*($A$28*730)</f>
        <v>365000</v>
      </c>
      <c r="F29" s="1"/>
      <c r="G29" s="29">
        <f t="shared" si="0"/>
        <v>31418.85</v>
      </c>
      <c r="H29" s="29">
        <f>+AH29</f>
        <v>32918.85</v>
      </c>
      <c r="I29" s="29">
        <f>+H29-G29</f>
        <v>1500</v>
      </c>
      <c r="J29" s="55">
        <f>ROUND(+I29/G29,4)</f>
        <v>4.7699999999999999E-2</v>
      </c>
      <c r="K29" s="29">
        <f>ROUND($T$10*$E29,2)</f>
        <v>-1388.79</v>
      </c>
      <c r="L29" s="29">
        <f>ROUND($T$11*$E29,2)</f>
        <v>149.01</v>
      </c>
      <c r="M29" s="29">
        <f>ROUND($T$12*$E29,2)</f>
        <v>1466.27</v>
      </c>
      <c r="N29" s="29">
        <f>+G29+K29+L29+M29</f>
        <v>31645.339999999997</v>
      </c>
      <c r="O29" s="29">
        <f>+H29+K29+L29+M29</f>
        <v>33145.339999999997</v>
      </c>
      <c r="P29" s="55">
        <f>(O29-N29)/N29</f>
        <v>4.7400343936895614E-2</v>
      </c>
      <c r="Q29" s="1"/>
      <c r="S29" s="7">
        <f>$S$20</f>
        <v>200</v>
      </c>
      <c r="T29" s="20">
        <f>$T$17*E29</f>
        <v>14778.849999999999</v>
      </c>
      <c r="U29" s="20">
        <f>$U$17*$A$28</f>
        <v>6740</v>
      </c>
      <c r="V29" s="20">
        <f>$V$17*$A$28</f>
        <v>5100</v>
      </c>
      <c r="W29" s="20">
        <f>$W$17*$A$28</f>
        <v>4600</v>
      </c>
      <c r="X29" s="25">
        <f>S29+T29+U29+V29+W29</f>
        <v>31418.85</v>
      </c>
      <c r="Y29" s="25"/>
      <c r="Z29" s="20"/>
      <c r="AC29" s="7">
        <f>$AC$20</f>
        <v>200</v>
      </c>
      <c r="AD29" s="20">
        <f>$AD$17*E29</f>
        <v>14778.849999999999</v>
      </c>
      <c r="AE29" s="20">
        <f>$A$28*$AE$17</f>
        <v>7560</v>
      </c>
      <c r="AF29" s="20">
        <f>$A$28*$AF$17</f>
        <v>5540</v>
      </c>
      <c r="AG29" s="20">
        <f>$A$28*$AG$17</f>
        <v>4840</v>
      </c>
      <c r="AH29" s="25">
        <f>AC29+AD29+AE29+AF29+AG29</f>
        <v>32918.85</v>
      </c>
      <c r="AI29" s="20"/>
      <c r="AJ29" s="17"/>
      <c r="AK29" s="7">
        <f>AH29-X29</f>
        <v>1500</v>
      </c>
      <c r="AM29" s="18">
        <f>AH29/X29-1</f>
        <v>4.7742040208346159E-2</v>
      </c>
    </row>
    <row r="30" spans="1:39" x14ac:dyDescent="0.25">
      <c r="C30" s="13">
        <v>0.7</v>
      </c>
      <c r="E30" s="1">
        <f>C30*($A$28*730)</f>
        <v>510999.99999999994</v>
      </c>
      <c r="F30" s="1"/>
      <c r="G30" s="29">
        <f t="shared" si="0"/>
        <v>37330.39</v>
      </c>
      <c r="H30" s="29">
        <f>+AH30</f>
        <v>38830.39</v>
      </c>
      <c r="I30" s="29">
        <f>+H30-G30</f>
        <v>1500</v>
      </c>
      <c r="J30" s="55">
        <f>ROUND(+I30/G30,4)</f>
        <v>4.02E-2</v>
      </c>
      <c r="K30" s="29">
        <f>ROUND($T$10*$E30,2)</f>
        <v>-1944.3</v>
      </c>
      <c r="L30" s="29">
        <f>ROUND($T$11*$E30,2)</f>
        <v>208.61</v>
      </c>
      <c r="M30" s="29">
        <f>ROUND($T$12*$E30,2)</f>
        <v>2052.7800000000002</v>
      </c>
      <c r="N30" s="29">
        <f>+G30+K30+L30+M30</f>
        <v>37647.479999999996</v>
      </c>
      <c r="O30" s="29">
        <f>+H30+K30+L30+M30</f>
        <v>39147.479999999996</v>
      </c>
      <c r="P30" s="55">
        <f>(O30-N30)/N30</f>
        <v>3.9843304253033673E-2</v>
      </c>
      <c r="Q30" s="1"/>
      <c r="S30" s="7">
        <f>$S$20</f>
        <v>200</v>
      </c>
      <c r="T30" s="20">
        <f>$T$17*E30</f>
        <v>20690.389999999996</v>
      </c>
      <c r="U30" s="20">
        <f>$U$17*$A$28</f>
        <v>6740</v>
      </c>
      <c r="V30" s="20">
        <f>$V$17*$A$28</f>
        <v>5100</v>
      </c>
      <c r="W30" s="20">
        <f>$W$17*$A$28</f>
        <v>4600</v>
      </c>
      <c r="X30" s="25">
        <f>S30+T30+U30+V30+W30</f>
        <v>37330.39</v>
      </c>
      <c r="Y30" s="25"/>
      <c r="Z30" s="20"/>
      <c r="AC30" s="7">
        <f>$AC$20</f>
        <v>200</v>
      </c>
      <c r="AD30" s="20">
        <f>$AD$17*E30</f>
        <v>20690.389999999996</v>
      </c>
      <c r="AE30" s="20">
        <f>$A$28*$AE$17</f>
        <v>7560</v>
      </c>
      <c r="AF30" s="20">
        <f>$A$28*$AF$17</f>
        <v>5540</v>
      </c>
      <c r="AG30" s="20">
        <f>$A$28*$AG$17</f>
        <v>4840</v>
      </c>
      <c r="AH30" s="25">
        <f>AC30+AD30+AE30+AF30+AG30</f>
        <v>38830.39</v>
      </c>
      <c r="AI30" s="20"/>
      <c r="AJ30" s="17"/>
      <c r="AK30" s="7">
        <f>AH30-X30</f>
        <v>1500</v>
      </c>
      <c r="AM30" s="18">
        <f>AH30/X30-1</f>
        <v>4.0181739328198907E-2</v>
      </c>
    </row>
    <row r="31" spans="1:39" x14ac:dyDescent="0.25">
      <c r="C31" s="13"/>
      <c r="E31" s="1"/>
      <c r="F31" s="1"/>
      <c r="G31" s="29"/>
      <c r="H31" s="29"/>
      <c r="J31" s="5"/>
      <c r="K31" s="1"/>
      <c r="L31" s="1"/>
      <c r="M31" s="1"/>
      <c r="P31" s="55"/>
      <c r="Q31" s="1"/>
      <c r="S31" s="7"/>
      <c r="T31" s="20"/>
      <c r="U31" s="20"/>
      <c r="V31" s="20"/>
      <c r="W31" s="20"/>
      <c r="X31" s="25"/>
      <c r="Y31" s="25"/>
      <c r="AC31" s="7"/>
      <c r="AD31" s="20"/>
      <c r="AE31" s="20"/>
      <c r="AF31" s="20"/>
      <c r="AG31" s="20"/>
      <c r="AH31" s="25"/>
      <c r="AJ31" s="17"/>
      <c r="AK31" s="6"/>
      <c r="AM31" s="6"/>
    </row>
    <row r="32" spans="1:39" x14ac:dyDescent="0.25">
      <c r="A32" s="1">
        <v>2500</v>
      </c>
      <c r="B32" s="1"/>
      <c r="C32" s="13">
        <v>0.3</v>
      </c>
      <c r="E32" s="1">
        <f>C32*($A$32*730)</f>
        <v>547500</v>
      </c>
      <c r="F32" s="1"/>
      <c r="G32" s="29">
        <f t="shared" si="0"/>
        <v>63468.274999999994</v>
      </c>
      <c r="H32" s="29">
        <f>+AH32</f>
        <v>67218.274999999994</v>
      </c>
      <c r="I32" s="29">
        <f>+H32-G32</f>
        <v>3750</v>
      </c>
      <c r="J32" s="55">
        <f>ROUND(+I32/G32,4)</f>
        <v>5.91E-2</v>
      </c>
      <c r="K32" s="29">
        <f>ROUND($T$10*$E32,2)</f>
        <v>-2083.1799999999998</v>
      </c>
      <c r="L32" s="29">
        <f>ROUND($T$11*$E32,2)</f>
        <v>223.51</v>
      </c>
      <c r="M32" s="29">
        <f>ROUND($T$12*$E32,2)</f>
        <v>2199.41</v>
      </c>
      <c r="N32" s="29">
        <f>+G32+K32+L32+M32</f>
        <v>63808.014999999999</v>
      </c>
      <c r="O32" s="29">
        <f>+H32+K32+L32+M32</f>
        <v>67558.014999999999</v>
      </c>
      <c r="P32" s="55">
        <f>(O32-N32)/N32</f>
        <v>5.8770046364864978E-2</v>
      </c>
      <c r="Q32" s="1"/>
      <c r="S32" s="7">
        <f>$S$20</f>
        <v>200</v>
      </c>
      <c r="T32" s="20">
        <f>$T$17*E32</f>
        <v>22168.274999999998</v>
      </c>
      <c r="U32" s="20">
        <f>$U$17*$A$32</f>
        <v>16850</v>
      </c>
      <c r="V32" s="20">
        <f>$V$17*$A$32</f>
        <v>12750</v>
      </c>
      <c r="W32" s="20">
        <f>$W$17*$A$32</f>
        <v>11500</v>
      </c>
      <c r="X32" s="25">
        <f>S32+T32+U32+V32+W32</f>
        <v>63468.274999999994</v>
      </c>
      <c r="Y32" s="25"/>
      <c r="Z32" s="20"/>
      <c r="AC32" s="7">
        <f>$AC$20</f>
        <v>200</v>
      </c>
      <c r="AD32" s="20">
        <f>$AD$17*E32</f>
        <v>22168.274999999998</v>
      </c>
      <c r="AE32" s="20">
        <f>$A$32*$AE$17</f>
        <v>18900</v>
      </c>
      <c r="AF32" s="20">
        <f>$A$32*$AF$17</f>
        <v>13850</v>
      </c>
      <c r="AG32" s="20">
        <f>$A$32*$AG$17</f>
        <v>12100</v>
      </c>
      <c r="AH32" s="25">
        <f>AC32+AD32+AE32+AF32+AG32</f>
        <v>67218.274999999994</v>
      </c>
      <c r="AI32" s="20"/>
      <c r="AJ32" s="17"/>
      <c r="AK32" s="7">
        <f>AH32-X32</f>
        <v>3750</v>
      </c>
      <c r="AM32" s="18">
        <f>AH32/X32-1</f>
        <v>5.9084637167151621E-2</v>
      </c>
    </row>
    <row r="33" spans="1:39" x14ac:dyDescent="0.25">
      <c r="C33" s="13">
        <v>0.5</v>
      </c>
      <c r="E33" s="1">
        <f>C33*($A$32*730)</f>
        <v>912500</v>
      </c>
      <c r="F33" s="1"/>
      <c r="G33" s="29">
        <f t="shared" si="0"/>
        <v>78247.125</v>
      </c>
      <c r="H33" s="29">
        <f>+AH33</f>
        <v>81997.125</v>
      </c>
      <c r="I33" s="29">
        <f>+H33-G33</f>
        <v>3750</v>
      </c>
      <c r="J33" s="55">
        <f>ROUND(+I33/G33,4)</f>
        <v>4.7899999999999998E-2</v>
      </c>
      <c r="K33" s="29">
        <f>ROUND($T$10*$E33,2)</f>
        <v>-3471.97</v>
      </c>
      <c r="L33" s="29">
        <f>ROUND($T$11*$E33,2)</f>
        <v>372.52</v>
      </c>
      <c r="M33" s="29">
        <f>ROUND($T$12*$E33,2)</f>
        <v>3665.69</v>
      </c>
      <c r="N33" s="29">
        <f>+G33+K33+L33+M33</f>
        <v>78813.365000000005</v>
      </c>
      <c r="O33" s="29">
        <f>+H33+K33+L33+M33</f>
        <v>82563.365000000005</v>
      </c>
      <c r="P33" s="55">
        <f>(O33-N33)/N33</f>
        <v>4.7580762476008981E-2</v>
      </c>
      <c r="Q33" s="1"/>
      <c r="S33" s="7">
        <f>$S$20</f>
        <v>200</v>
      </c>
      <c r="T33" s="20">
        <f>$T$17*E33</f>
        <v>36947.125</v>
      </c>
      <c r="U33" s="20">
        <f>$U$17*$A$32</f>
        <v>16850</v>
      </c>
      <c r="V33" s="20">
        <f>$V$17*$A$32</f>
        <v>12750</v>
      </c>
      <c r="W33" s="20">
        <f>$W$17*$A$32</f>
        <v>11500</v>
      </c>
      <c r="X33" s="25">
        <f>S33+T33+U33+V33+W33</f>
        <v>78247.125</v>
      </c>
      <c r="Y33" s="25"/>
      <c r="Z33" s="20"/>
      <c r="AC33" s="7">
        <f>$AC$20</f>
        <v>200</v>
      </c>
      <c r="AD33" s="20">
        <f>$AD$17*E33</f>
        <v>36947.125</v>
      </c>
      <c r="AE33" s="20">
        <f>$A$32*$AE$17</f>
        <v>18900</v>
      </c>
      <c r="AF33" s="20">
        <f>$A$32*$AF$17</f>
        <v>13850</v>
      </c>
      <c r="AG33" s="20">
        <f>$A$32*$AG$17</f>
        <v>12100</v>
      </c>
      <c r="AH33" s="25">
        <f>AC33+AD33+AE33+AF33+AG33</f>
        <v>81997.125</v>
      </c>
      <c r="AI33" s="20"/>
      <c r="AJ33" s="17"/>
      <c r="AK33" s="7">
        <f>AH33-X33</f>
        <v>3750</v>
      </c>
      <c r="AM33" s="18">
        <f>AH33/X33-1</f>
        <v>4.7925083509458011E-2</v>
      </c>
    </row>
    <row r="34" spans="1:39" x14ac:dyDescent="0.25">
      <c r="C34" s="13">
        <v>0.7</v>
      </c>
      <c r="E34" s="1">
        <f>C34*($A$32*730)</f>
        <v>1277500</v>
      </c>
      <c r="F34" s="1"/>
      <c r="G34" s="29">
        <f t="shared" si="0"/>
        <v>93025.975000000006</v>
      </c>
      <c r="H34" s="29">
        <f>+AH34</f>
        <v>96775.975000000006</v>
      </c>
      <c r="I34" s="29">
        <f>+H34-G34</f>
        <v>3750</v>
      </c>
      <c r="J34" s="55">
        <f>ROUND(+I34/G34,4)</f>
        <v>4.0300000000000002E-2</v>
      </c>
      <c r="K34" s="29">
        <f>ROUND($T$10*$E34,2)</f>
        <v>-4860.76</v>
      </c>
      <c r="L34" s="29">
        <f>ROUND($T$11*$E34,2)</f>
        <v>521.53</v>
      </c>
      <c r="M34" s="29">
        <f>ROUND($T$12*$E34,2)</f>
        <v>5131.96</v>
      </c>
      <c r="N34" s="29">
        <f>+G34+K34+L34+M34</f>
        <v>93818.705000000016</v>
      </c>
      <c r="O34" s="29">
        <f>+H34+K34+L34+M34</f>
        <v>97568.705000000016</v>
      </c>
      <c r="P34" s="55">
        <f>(O34-N34)/N34</f>
        <v>3.9970707333894656E-2</v>
      </c>
      <c r="Q34" s="1"/>
      <c r="S34" s="7">
        <f>$S$20</f>
        <v>200</v>
      </c>
      <c r="T34" s="20">
        <f>$T$17*E34</f>
        <v>51725.974999999999</v>
      </c>
      <c r="U34" s="20">
        <f>$U$17*$A$32</f>
        <v>16850</v>
      </c>
      <c r="V34" s="20">
        <f>$V$17*$A$32</f>
        <v>12750</v>
      </c>
      <c r="W34" s="20">
        <f>$W$17*$A$32</f>
        <v>11500</v>
      </c>
      <c r="X34" s="25">
        <f>S34+T34+U34+V34+W34</f>
        <v>93025.975000000006</v>
      </c>
      <c r="Y34" s="25"/>
      <c r="Z34" s="20"/>
      <c r="AC34" s="7">
        <f>$AC$20</f>
        <v>200</v>
      </c>
      <c r="AD34" s="20">
        <f>$AD$17*E34</f>
        <v>51725.974999999999</v>
      </c>
      <c r="AE34" s="20">
        <f>$A$32*$AE$17</f>
        <v>18900</v>
      </c>
      <c r="AF34" s="20">
        <f>$A$32*$AF$17</f>
        <v>13850</v>
      </c>
      <c r="AG34" s="20">
        <f>$A$32*$AG$17</f>
        <v>12100</v>
      </c>
      <c r="AH34" s="25">
        <f>AC34+AD34+AE34+AF34+AG34</f>
        <v>96775.975000000006</v>
      </c>
      <c r="AI34" s="20"/>
      <c r="AJ34" s="17"/>
      <c r="AK34" s="7">
        <f>AH34-X34</f>
        <v>3750</v>
      </c>
      <c r="AM34" s="18">
        <f>AH34/X34-1</f>
        <v>4.0311321649679099E-2</v>
      </c>
    </row>
    <row r="35" spans="1:39" x14ac:dyDescent="0.25">
      <c r="C35" s="13"/>
      <c r="E35" s="1"/>
      <c r="F35" s="1"/>
      <c r="G35" s="29"/>
      <c r="H35" s="29"/>
      <c r="J35" s="5"/>
      <c r="K35" s="1"/>
      <c r="L35" s="1"/>
      <c r="M35" s="1"/>
      <c r="P35" s="55"/>
      <c r="Q35" s="1"/>
      <c r="S35" s="7"/>
      <c r="T35" s="20"/>
      <c r="U35" s="20"/>
      <c r="V35" s="20"/>
      <c r="W35" s="20"/>
      <c r="X35" s="25"/>
      <c r="Y35" s="25"/>
      <c r="AC35" s="7"/>
      <c r="AD35" s="20"/>
      <c r="AE35" s="20"/>
      <c r="AF35" s="20"/>
      <c r="AG35" s="20"/>
      <c r="AH35" s="25"/>
      <c r="AJ35" s="17"/>
      <c r="AK35" s="6"/>
      <c r="AM35" s="6"/>
    </row>
    <row r="36" spans="1:39" x14ac:dyDescent="0.25">
      <c r="A36" s="1">
        <v>5000</v>
      </c>
      <c r="B36" s="1"/>
      <c r="C36" s="13">
        <v>0.3</v>
      </c>
      <c r="E36" s="1">
        <f>C36*($A$36*730)</f>
        <v>1095000</v>
      </c>
      <c r="F36" s="1"/>
      <c r="G36" s="29">
        <f t="shared" si="0"/>
        <v>126736.54999999999</v>
      </c>
      <c r="H36" s="29">
        <f>+AH36</f>
        <v>134236.54999999999</v>
      </c>
      <c r="I36" s="29">
        <f>+H36-G36</f>
        <v>7500</v>
      </c>
      <c r="J36" s="55">
        <f>ROUND(+I36/G36,4)</f>
        <v>5.9200000000000003E-2</v>
      </c>
      <c r="K36" s="29">
        <f>ROUND($T$10*$E36,2)</f>
        <v>-4166.37</v>
      </c>
      <c r="L36" s="29">
        <f>ROUND($T$11*$E36,2)</f>
        <v>447.03</v>
      </c>
      <c r="M36" s="29">
        <f>ROUND($T$12*$E36,2)</f>
        <v>4398.82</v>
      </c>
      <c r="N36" s="29">
        <f>+G36+K36+L36+M36</f>
        <v>127416.03</v>
      </c>
      <c r="O36" s="29">
        <f>+H36+K36+L36+M36</f>
        <v>134916.03</v>
      </c>
      <c r="P36" s="55">
        <f>(O36-N36)/N36</f>
        <v>5.886229542703536E-2</v>
      </c>
      <c r="Q36" s="1"/>
      <c r="S36" s="7">
        <f>$S$20</f>
        <v>200</v>
      </c>
      <c r="T36" s="20">
        <f>$T$17*E36</f>
        <v>44336.549999999996</v>
      </c>
      <c r="U36" s="20">
        <f>$U$17*$A$36</f>
        <v>33700</v>
      </c>
      <c r="V36" s="20">
        <f>$V$17*$A$36</f>
        <v>25500</v>
      </c>
      <c r="W36" s="20">
        <f>$W$17*$A$36</f>
        <v>23000</v>
      </c>
      <c r="X36" s="25">
        <f>S36+T36+U36+V36+W36</f>
        <v>126736.54999999999</v>
      </c>
      <c r="Y36" s="25"/>
      <c r="Z36" s="20"/>
      <c r="AC36" s="7">
        <f>$AC$20</f>
        <v>200</v>
      </c>
      <c r="AD36" s="20">
        <f>$AD$17*E36</f>
        <v>44336.549999999996</v>
      </c>
      <c r="AE36" s="20">
        <f>$A$36*$AE$17</f>
        <v>37800</v>
      </c>
      <c r="AF36" s="20">
        <f>$A$36*$AF$17</f>
        <v>27700</v>
      </c>
      <c r="AG36" s="20">
        <f>$A$36*$AG$17</f>
        <v>24200</v>
      </c>
      <c r="AH36" s="25">
        <f>AC36+AD36+AE36+AF36+AG36</f>
        <v>134236.54999999999</v>
      </c>
      <c r="AI36" s="20"/>
      <c r="AJ36" s="17"/>
      <c r="AK36" s="7">
        <f>AH36-X36</f>
        <v>7500</v>
      </c>
      <c r="AM36" s="18">
        <f>AH36/X36-1</f>
        <v>5.9177877257981182E-2</v>
      </c>
    </row>
    <row r="37" spans="1:39" x14ac:dyDescent="0.25">
      <c r="C37" s="13">
        <v>0.5</v>
      </c>
      <c r="E37" s="1">
        <f>C37*($A$36*730)</f>
        <v>1825000</v>
      </c>
      <c r="F37" s="1"/>
      <c r="G37" s="29">
        <f t="shared" si="0"/>
        <v>156294.25</v>
      </c>
      <c r="H37" s="29">
        <f>+AH37</f>
        <v>163794.25</v>
      </c>
      <c r="I37" s="29">
        <f>+H37-G37</f>
        <v>7500</v>
      </c>
      <c r="J37" s="55">
        <f>ROUND(+I37/G37,4)</f>
        <v>4.8000000000000001E-2</v>
      </c>
      <c r="K37" s="29">
        <f>ROUND($T$10*$E37,2)</f>
        <v>-6943.94</v>
      </c>
      <c r="L37" s="29">
        <f>ROUND($T$11*$E37,2)</f>
        <v>745.04</v>
      </c>
      <c r="M37" s="29">
        <f>ROUND($T$12*$E37,2)</f>
        <v>7331.37</v>
      </c>
      <c r="N37" s="29">
        <f>+G37+K37+L37+M37</f>
        <v>157426.72</v>
      </c>
      <c r="O37" s="29">
        <f>+H37+K37+L37+M37</f>
        <v>164926.72</v>
      </c>
      <c r="P37" s="55">
        <f>(O37-N37)/N37</f>
        <v>4.7641213638955321E-2</v>
      </c>
      <c r="Q37" s="1"/>
      <c r="S37" s="7">
        <f>$S$20</f>
        <v>200</v>
      </c>
      <c r="T37" s="20">
        <f>$T$17*E37</f>
        <v>73894.25</v>
      </c>
      <c r="U37" s="20">
        <f>$U$17*$A$36</f>
        <v>33700</v>
      </c>
      <c r="V37" s="20">
        <f>$V$17*$A$36</f>
        <v>25500</v>
      </c>
      <c r="W37" s="20">
        <f>$W$17*$A$36</f>
        <v>23000</v>
      </c>
      <c r="X37" s="25">
        <f>S37+T37+U37+V37+W37</f>
        <v>156294.25</v>
      </c>
      <c r="Y37" s="25"/>
      <c r="Z37" s="20"/>
      <c r="AC37" s="7">
        <f>$AC$20</f>
        <v>200</v>
      </c>
      <c r="AD37" s="20">
        <f>$AD$17*E37</f>
        <v>73894.25</v>
      </c>
      <c r="AE37" s="20">
        <f>$A$36*$AE$17</f>
        <v>37800</v>
      </c>
      <c r="AF37" s="20">
        <f>$A$36*$AF$17</f>
        <v>27700</v>
      </c>
      <c r="AG37" s="20">
        <f>$A$36*$AG$17</f>
        <v>24200</v>
      </c>
      <c r="AH37" s="25">
        <f>AC37+AD37+AE37+AF37+AG37</f>
        <v>163794.25</v>
      </c>
      <c r="AI37" s="20"/>
      <c r="AJ37" s="17"/>
      <c r="AK37" s="7">
        <f>AH37-X37</f>
        <v>7500</v>
      </c>
      <c r="AM37" s="18">
        <f>AH37/X37-1</f>
        <v>4.7986410248617606E-2</v>
      </c>
    </row>
    <row r="38" spans="1:39" x14ac:dyDescent="0.25">
      <c r="C38" s="13">
        <v>0.7</v>
      </c>
      <c r="E38" s="1">
        <f>C38*($A$36*730)</f>
        <v>2555000</v>
      </c>
      <c r="F38" s="1"/>
      <c r="G38" s="29">
        <f t="shared" si="0"/>
        <v>185851.95</v>
      </c>
      <c r="H38" s="29">
        <f>+AH38</f>
        <v>193351.95</v>
      </c>
      <c r="I38" s="29">
        <f>+H38-G38</f>
        <v>7500</v>
      </c>
      <c r="J38" s="55">
        <f>ROUND(+I38/G38,4)</f>
        <v>4.0399999999999998E-2</v>
      </c>
      <c r="K38" s="29">
        <f>ROUND($T$10*$E38,2)</f>
        <v>-9721.52</v>
      </c>
      <c r="L38" s="29">
        <f>ROUND($T$11*$E38,2)</f>
        <v>1043.06</v>
      </c>
      <c r="M38" s="29">
        <f>ROUND($T$12*$E38,2)</f>
        <v>10263.92</v>
      </c>
      <c r="N38" s="29">
        <f>+G38+K38+L38+M38</f>
        <v>187437.41000000003</v>
      </c>
      <c r="O38" s="29">
        <f>+H38+K38+L38+M38</f>
        <v>194937.41000000003</v>
      </c>
      <c r="P38" s="55">
        <f>(O38-N38)/N38</f>
        <v>4.0013356992075373E-2</v>
      </c>
      <c r="Q38" s="1"/>
      <c r="S38" s="7">
        <f>$S$20</f>
        <v>200</v>
      </c>
      <c r="T38" s="20">
        <f>$T$17*E38</f>
        <v>103451.95</v>
      </c>
      <c r="U38" s="20">
        <f>$U$17*$A$36</f>
        <v>33700</v>
      </c>
      <c r="V38" s="20">
        <f>$V$17*$A$36</f>
        <v>25500</v>
      </c>
      <c r="W38" s="20">
        <f>$W$17*$A$36</f>
        <v>23000</v>
      </c>
      <c r="X38" s="25">
        <f>S38+T38+U38+V38+W38</f>
        <v>185851.95</v>
      </c>
      <c r="Y38" s="25"/>
      <c r="Z38" s="20"/>
      <c r="AC38" s="7">
        <f>$AC$20</f>
        <v>200</v>
      </c>
      <c r="AD38" s="20">
        <f>$AD$17*E38</f>
        <v>103451.95</v>
      </c>
      <c r="AE38" s="20">
        <f>$A$36*$AE$17</f>
        <v>37800</v>
      </c>
      <c r="AF38" s="20">
        <f>$A$36*$AF$17</f>
        <v>27700</v>
      </c>
      <c r="AG38" s="20">
        <f>$A$36*$AG$17</f>
        <v>24200</v>
      </c>
      <c r="AH38" s="25">
        <f>AC38+AD38+AE38+AF38+AG38</f>
        <v>193351.95</v>
      </c>
      <c r="AI38" s="20"/>
      <c r="AJ38" s="17"/>
      <c r="AK38" s="7">
        <f>AH38-X38</f>
        <v>7500</v>
      </c>
      <c r="AM38" s="18">
        <f>AH38/X38-1</f>
        <v>4.0354701685938688E-2</v>
      </c>
    </row>
    <row r="39" spans="1:39" x14ac:dyDescent="0.25">
      <c r="T39" s="20"/>
      <c r="U39" s="20"/>
      <c r="V39" s="20"/>
      <c r="W39" s="20"/>
      <c r="X39" s="20"/>
      <c r="Y39" s="20"/>
    </row>
    <row r="40" spans="1:39" x14ac:dyDescent="0.25">
      <c r="A40" s="17" t="s">
        <v>336</v>
      </c>
      <c r="T40" s="20"/>
      <c r="U40" s="20"/>
      <c r="V40" s="20"/>
      <c r="W40" s="20"/>
      <c r="X40" s="20"/>
      <c r="Y40" s="20"/>
    </row>
    <row r="41" spans="1:39" x14ac:dyDescent="0.25">
      <c r="A41" s="208" t="str">
        <f>("Average usage = "&amp;TEXT(INPUT!J19*1,"0,000")&amp;" kWh per month")</f>
        <v>Average usage = 242,209 kWh per month</v>
      </c>
      <c r="T41" s="20"/>
      <c r="U41" s="20"/>
      <c r="V41" s="20"/>
      <c r="W41" s="20"/>
      <c r="X41" s="20"/>
      <c r="Y41" s="20"/>
    </row>
    <row r="42" spans="1:39" x14ac:dyDescent="0.25">
      <c r="A42" s="210" t="s">
        <v>337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201"/>
      <c r="O42" s="1"/>
      <c r="P42" s="202"/>
      <c r="Q42" s="1"/>
      <c r="AE42" s="31"/>
      <c r="AF42" s="20"/>
      <c r="AG42" s="20"/>
      <c r="AH42" s="20"/>
      <c r="AI42" s="20"/>
      <c r="AJ42" s="20"/>
      <c r="AK42" s="6"/>
    </row>
    <row r="43" spans="1:39" x14ac:dyDescent="0.25">
      <c r="A43" s="211" t="s">
        <v>97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5">
      <c r="A44" s="211" t="str">
        <f>+'Rate Case Constants'!C26</f>
        <v>Calculations may vary from other schedules due to rounding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5">
      <c r="A45" s="59"/>
      <c r="AE45" s="9"/>
    </row>
    <row r="46" spans="1:39" x14ac:dyDescent="0.25">
      <c r="S46" s="3"/>
      <c r="W46" s="3"/>
      <c r="AA46" s="3"/>
      <c r="AE46" s="9"/>
    </row>
    <row r="47" spans="1:39" x14ac:dyDescent="0.25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5:31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5:31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5:31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5:31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5:31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5:31" ht="6.75" customHeight="1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5:31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5:31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5:31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5:31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5:31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5:31" ht="6.75" customHeight="1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5:31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5:31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5:31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5:31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5">
      <c r="AH68" s="4"/>
      <c r="AI68" s="4"/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75" right="0.75" top="1.5" bottom="0.5" header="1" footer="0.5"/>
  <pageSetup scale="8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8"/>
  <sheetViews>
    <sheetView view="pageBreakPreview" topLeftCell="A28" zoomScaleNormal="100" zoomScaleSheetLayoutView="100" workbookViewId="0">
      <selection activeCell="A3" sqref="A3:P3"/>
    </sheetView>
  </sheetViews>
  <sheetFormatPr defaultRowHeight="13.2" x14ac:dyDescent="0.25"/>
  <cols>
    <col min="1" max="1" width="7.109375" customWidth="1"/>
    <col min="2" max="2" width="3.6640625" customWidth="1"/>
    <col min="3" max="3" width="6.5546875" customWidth="1"/>
    <col min="4" max="4" width="1.88671875" customWidth="1"/>
    <col min="5" max="5" width="10.88671875" customWidth="1"/>
    <col min="6" max="6" width="2" customWidth="1"/>
    <col min="7" max="7" width="15.109375" bestFit="1" customWidth="1"/>
    <col min="8" max="8" width="14.6640625" customWidth="1"/>
    <col min="9" max="9" width="12.6640625" customWidth="1"/>
    <col min="10" max="10" width="9.88671875" customWidth="1"/>
    <col min="11" max="11" width="12" customWidth="1"/>
    <col min="12" max="12" width="12.33203125" bestFit="1" customWidth="1"/>
    <col min="13" max="13" width="13.77734375" customWidth="1"/>
    <col min="14" max="15" width="15.109375" bestFit="1" customWidth="1"/>
    <col min="16" max="18" width="9.88671875" customWidth="1"/>
    <col min="19" max="19" width="10" customWidth="1"/>
    <col min="20" max="20" width="13.5546875" customWidth="1"/>
    <col min="21" max="21" width="12.5546875" bestFit="1" customWidth="1"/>
    <col min="22" max="22" width="12.6640625" bestFit="1" customWidth="1"/>
    <col min="23" max="23" width="12" bestFit="1" customWidth="1"/>
    <col min="24" max="24" width="14.44140625" bestFit="1" customWidth="1"/>
    <col min="25" max="25" width="3.109375" customWidth="1"/>
    <col min="26" max="26" width="14.44140625" customWidth="1"/>
    <col min="27" max="27" width="3.88671875" customWidth="1"/>
    <col min="28" max="28" width="2.44140625" customWidth="1"/>
    <col min="29" max="29" width="14.44140625" bestFit="1" customWidth="1"/>
    <col min="30" max="31" width="12.6640625" bestFit="1" customWidth="1"/>
    <col min="32" max="32" width="13.88671875" bestFit="1" customWidth="1"/>
    <col min="33" max="33" width="11.5546875" bestFit="1" customWidth="1"/>
    <col min="34" max="34" width="14.44140625" bestFit="1" customWidth="1"/>
    <col min="35" max="35" width="12.6640625" customWidth="1"/>
    <col min="36" max="36" width="11.109375" customWidth="1"/>
    <col min="37" max="37" width="11.44140625" bestFit="1" customWidth="1"/>
    <col min="38" max="38" width="10.6640625" customWidth="1"/>
    <col min="39" max="39" width="11.44140625" bestFit="1" customWidth="1"/>
  </cols>
  <sheetData>
    <row r="1" spans="1:39" x14ac:dyDescent="0.25">
      <c r="A1" s="441" t="str">
        <f>+'Rate Case Constants'!C9</f>
        <v>LOUISVILLE GAS AND ELECTRIC COMPANY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</row>
    <row r="2" spans="1:39" x14ac:dyDescent="0.25">
      <c r="A2" s="441" t="str">
        <f>+'Rate Case Constants'!C10</f>
        <v>CASE NO. 2016-00371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</row>
    <row r="3" spans="1:39" x14ac:dyDescent="0.25">
      <c r="A3" s="442" t="str">
        <f>+'Rate Case Constants'!C24</f>
        <v>Typical Electric Bill Comparison under Present &amp; Proposed Rates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</row>
    <row r="4" spans="1:39" x14ac:dyDescent="0.25">
      <c r="A4" s="441" t="str">
        <f>+'Rate Case Constants'!C21</f>
        <v>FORECAST PERIOD FOR THE 12 MONTHS ENDED JUNE 30, 2018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39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</row>
    <row r="6" spans="1:39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</row>
    <row r="7" spans="1:39" x14ac:dyDescent="0.25">
      <c r="A7" s="340" t="str">
        <f>+'Rate Case Constants'!C33</f>
        <v>DATA: ____BASE PERIOD__X___FORECASTED PERIOD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1" t="str">
        <f>+'Rate Case Constants'!C25</f>
        <v>SCHEDULE N (Electric)</v>
      </c>
    </row>
    <row r="8" spans="1:39" x14ac:dyDescent="0.25">
      <c r="A8" s="340" t="str">
        <f>+'Rate Case Constants'!C29</f>
        <v>TYPE OF FILING: __X__ ORIGINAL  _____ UPDATED  _____ REVISED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2"/>
      <c r="M8" s="340"/>
      <c r="N8" s="340"/>
      <c r="O8" s="340"/>
      <c r="P8" s="342" t="str">
        <f>+'Rate Case Constants'!L16</f>
        <v>PAGE 9 of 21</v>
      </c>
    </row>
    <row r="9" spans="1:39" x14ac:dyDescent="0.25">
      <c r="A9" s="340" t="str">
        <f>+'Rate Case Constants'!C34</f>
        <v>WORKPAPER REFERENCE NO(S):________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2" t="str">
        <f>+'Rate Case Constants'!C36</f>
        <v>WITNESS:   C. M. GARRETT</v>
      </c>
    </row>
    <row r="10" spans="1:39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S10" s="84" t="s">
        <v>71</v>
      </c>
      <c r="T10">
        <f>+INPUT!G55</f>
        <v>-3.7964309709499731E-3</v>
      </c>
    </row>
    <row r="11" spans="1:39" x14ac:dyDescent="0.25">
      <c r="A11" s="351" t="s">
        <v>393</v>
      </c>
      <c r="S11" s="84" t="s">
        <v>73</v>
      </c>
      <c r="T11">
        <f>+INPUT!H55</f>
        <v>1.4025142415797988E-4</v>
      </c>
      <c r="V11" s="59" t="s">
        <v>97</v>
      </c>
      <c r="AD11" s="59" t="s">
        <v>97</v>
      </c>
    </row>
    <row r="12" spans="1:39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4" t="s">
        <v>72</v>
      </c>
      <c r="T12">
        <f>+INPUT!I55</f>
        <v>4.3459825930197565E-3</v>
      </c>
    </row>
    <row r="13" spans="1:39" x14ac:dyDescent="0.25">
      <c r="A13" s="45"/>
      <c r="G13" s="202" t="s">
        <v>326</v>
      </c>
      <c r="H13" s="203" t="s">
        <v>327</v>
      </c>
      <c r="I13" s="203" t="s">
        <v>328</v>
      </c>
      <c r="J13" s="202" t="s">
        <v>329</v>
      </c>
      <c r="K13" s="202" t="s">
        <v>330</v>
      </c>
      <c r="L13" s="202" t="s">
        <v>331</v>
      </c>
      <c r="M13" s="203" t="s">
        <v>332</v>
      </c>
      <c r="N13" s="202" t="s">
        <v>333</v>
      </c>
      <c r="O13" s="202" t="s">
        <v>334</v>
      </c>
      <c r="P13" s="202" t="s">
        <v>335</v>
      </c>
      <c r="U13" s="3" t="s">
        <v>1</v>
      </c>
      <c r="V13" s="3" t="s">
        <v>1</v>
      </c>
      <c r="W13" s="3" t="s">
        <v>1</v>
      </c>
      <c r="Z13" s="3" t="s">
        <v>72</v>
      </c>
      <c r="AD13" s="20"/>
      <c r="AE13" s="21" t="s">
        <v>9</v>
      </c>
      <c r="AF13" s="21" t="s">
        <v>9</v>
      </c>
      <c r="AG13" s="21" t="s">
        <v>9</v>
      </c>
      <c r="AH13" s="20"/>
      <c r="AI13" s="3" t="s">
        <v>72</v>
      </c>
    </row>
    <row r="14" spans="1:39" x14ac:dyDescent="0.25">
      <c r="G14" s="313" t="s">
        <v>366</v>
      </c>
      <c r="H14" s="313" t="s">
        <v>366</v>
      </c>
      <c r="I14" s="206"/>
      <c r="J14" s="206"/>
      <c r="K14" s="206"/>
      <c r="L14" s="206"/>
      <c r="M14" s="206"/>
      <c r="N14" s="202" t="s">
        <v>5</v>
      </c>
      <c r="O14" s="202" t="s">
        <v>5</v>
      </c>
      <c r="P14" s="206"/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1" t="s">
        <v>34</v>
      </c>
      <c r="AF14" s="21" t="s">
        <v>30</v>
      </c>
      <c r="AG14" s="21" t="s">
        <v>22</v>
      </c>
      <c r="AH14" s="21" t="s">
        <v>9</v>
      </c>
      <c r="AI14" s="3" t="s">
        <v>1</v>
      </c>
      <c r="AK14" s="3"/>
    </row>
    <row r="15" spans="1:39" x14ac:dyDescent="0.25">
      <c r="C15" s="3" t="s">
        <v>23</v>
      </c>
      <c r="E15" s="3"/>
      <c r="F15" s="3"/>
      <c r="G15" s="202" t="s">
        <v>1</v>
      </c>
      <c r="H15" s="202" t="s">
        <v>74</v>
      </c>
      <c r="I15" s="202"/>
      <c r="J15" s="202"/>
      <c r="K15" s="436" t="s">
        <v>130</v>
      </c>
      <c r="L15" s="436"/>
      <c r="M15" s="437"/>
      <c r="N15" s="202" t="s">
        <v>1</v>
      </c>
      <c r="O15" s="202" t="s">
        <v>74</v>
      </c>
      <c r="P15" s="202"/>
      <c r="Q15" s="3"/>
      <c r="R15" s="3"/>
      <c r="S15" s="3" t="s">
        <v>2</v>
      </c>
      <c r="T15" s="3" t="s">
        <v>58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76</v>
      </c>
      <c r="AC15" s="26" t="s">
        <v>57</v>
      </c>
      <c r="AD15" s="3" t="s">
        <v>58</v>
      </c>
      <c r="AE15" s="21" t="s">
        <v>25</v>
      </c>
      <c r="AF15" s="21" t="s">
        <v>25</v>
      </c>
      <c r="AG15" s="21" t="s">
        <v>18</v>
      </c>
      <c r="AH15" s="21" t="s">
        <v>5</v>
      </c>
      <c r="AI15" s="3" t="s">
        <v>76</v>
      </c>
      <c r="AK15" s="3" t="s">
        <v>6</v>
      </c>
      <c r="AL15" s="3"/>
      <c r="AM15" s="3" t="s">
        <v>8</v>
      </c>
    </row>
    <row r="16" spans="1:39" x14ac:dyDescent="0.25">
      <c r="A16" s="3" t="s">
        <v>26</v>
      </c>
      <c r="C16" s="3" t="s">
        <v>24</v>
      </c>
      <c r="E16" s="3" t="s">
        <v>0</v>
      </c>
      <c r="F16" s="3"/>
      <c r="G16" s="202" t="s">
        <v>4</v>
      </c>
      <c r="H16" s="202" t="s">
        <v>4</v>
      </c>
      <c r="I16" s="202" t="s">
        <v>75</v>
      </c>
      <c r="J16" s="202" t="s">
        <v>75</v>
      </c>
      <c r="K16" s="202" t="s">
        <v>421</v>
      </c>
      <c r="L16" s="202" t="s">
        <v>73</v>
      </c>
      <c r="M16" s="202" t="s">
        <v>72</v>
      </c>
      <c r="N16" s="202" t="s">
        <v>4</v>
      </c>
      <c r="O16" s="202" t="s">
        <v>4</v>
      </c>
      <c r="P16" s="202" t="s">
        <v>75</v>
      </c>
      <c r="Q16" s="3"/>
      <c r="R16" s="3"/>
      <c r="S16" s="26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6" t="s">
        <v>3</v>
      </c>
      <c r="AD16" s="3" t="s">
        <v>3</v>
      </c>
      <c r="AE16" s="21" t="s">
        <v>3</v>
      </c>
      <c r="AF16" s="21" t="s">
        <v>3</v>
      </c>
      <c r="AG16" s="21" t="s">
        <v>3</v>
      </c>
      <c r="AH16" s="21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5">
      <c r="A17" s="3"/>
      <c r="C17" s="3"/>
      <c r="E17" s="3"/>
      <c r="F17" s="3"/>
      <c r="G17" s="202"/>
      <c r="H17" s="202"/>
      <c r="I17" s="202" t="s">
        <v>69</v>
      </c>
      <c r="J17" s="203" t="s">
        <v>70</v>
      </c>
      <c r="K17" s="204"/>
      <c r="L17" s="204"/>
      <c r="M17" s="205"/>
      <c r="N17" s="202" t="s">
        <v>69</v>
      </c>
      <c r="O17" s="202" t="s">
        <v>69</v>
      </c>
      <c r="P17" s="203" t="s">
        <v>70</v>
      </c>
      <c r="Q17" s="3"/>
      <c r="R17" s="3"/>
      <c r="S17" s="26"/>
      <c r="T17" s="43">
        <f>+INPUT!$I$6</f>
        <v>3.8240000000000003E-2</v>
      </c>
      <c r="U17" s="44">
        <f>+INPUT!$I$14</f>
        <v>5.26</v>
      </c>
      <c r="V17" s="44">
        <f>+INPUT!$I$15</f>
        <v>3.91</v>
      </c>
      <c r="W17" s="44">
        <f>+INPUT!$I$16</f>
        <v>3.75</v>
      </c>
      <c r="X17" s="3"/>
      <c r="Y17" s="3"/>
      <c r="Z17" s="43"/>
      <c r="AC17" s="26"/>
      <c r="AD17" s="43">
        <f>+INPUT!$I$27</f>
        <v>3.8240000000000003E-2</v>
      </c>
      <c r="AE17" s="44">
        <f>+INPUT!$I$35</f>
        <v>6.86</v>
      </c>
      <c r="AF17" s="44">
        <f>+INPUT!$I$36</f>
        <v>5.03</v>
      </c>
      <c r="AG17" s="44">
        <f>+INPUT!$I$37</f>
        <v>3.18</v>
      </c>
      <c r="AH17" s="21"/>
      <c r="AI17" s="43"/>
      <c r="AK17" s="3"/>
      <c r="AL17" s="3"/>
      <c r="AM17" s="3"/>
    </row>
    <row r="18" spans="1:39" x14ac:dyDescent="0.25">
      <c r="A18" s="16"/>
      <c r="B18" s="16"/>
      <c r="C18" s="81"/>
      <c r="D18" s="16"/>
      <c r="E18" s="81"/>
      <c r="F18" s="81"/>
      <c r="G18" s="325"/>
      <c r="H18" s="325"/>
      <c r="I18" s="325" t="str">
        <f>("[ "&amp;H13&amp;" - "&amp;G13&amp;" ]")</f>
        <v>[ B - A ]</v>
      </c>
      <c r="J18" s="325" t="str">
        <f>("[ "&amp;I13&amp;" / "&amp;G13&amp;" ]")</f>
        <v>[ C / A ]</v>
      </c>
      <c r="K18" s="353"/>
      <c r="L18" s="353"/>
      <c r="M18" s="353"/>
      <c r="N18" s="325" t="str">
        <f>("["&amp;G13&amp;"+"&amp;$K$13&amp;"+"&amp;$L$13&amp;"+"&amp;$M$13&amp;"]")</f>
        <v>[A+E+F+G]</v>
      </c>
      <c r="O18" s="325" t="str">
        <f>("["&amp;H13&amp;"+"&amp;$K$13&amp;"+"&amp;$L$13&amp;"+"&amp;$M$13&amp;"]")</f>
        <v>[B+E+F+G]</v>
      </c>
      <c r="P18" s="325" t="str">
        <f>("[("&amp;O13&amp;" - "&amp;N13&amp;")/"&amp;N13&amp;"]")</f>
        <v>[(I - H)/H]</v>
      </c>
      <c r="Q18" s="3"/>
      <c r="R18" s="3"/>
      <c r="T18" s="3" t="s">
        <v>14</v>
      </c>
      <c r="U18" s="3" t="s">
        <v>60</v>
      </c>
      <c r="V18" s="3" t="s">
        <v>60</v>
      </c>
      <c r="W18" s="3" t="s">
        <v>60</v>
      </c>
      <c r="X18" s="3"/>
      <c r="Y18" s="3"/>
      <c r="Z18" s="3" t="s">
        <v>14</v>
      </c>
      <c r="AC18" s="26"/>
      <c r="AD18" s="3" t="s">
        <v>14</v>
      </c>
      <c r="AE18" s="3" t="s">
        <v>60</v>
      </c>
      <c r="AF18" s="3" t="s">
        <v>60</v>
      </c>
      <c r="AG18" s="3" t="s">
        <v>60</v>
      </c>
      <c r="AH18" s="21"/>
      <c r="AI18" s="3" t="s">
        <v>14</v>
      </c>
      <c r="AK18" s="3"/>
      <c r="AL18" s="3"/>
      <c r="AM18" s="3"/>
    </row>
    <row r="19" spans="1:39" x14ac:dyDescent="0.25">
      <c r="C19" s="3"/>
      <c r="E19" s="3"/>
      <c r="F19" s="3"/>
      <c r="G19" s="3"/>
      <c r="H19" s="3"/>
      <c r="I19" s="202"/>
      <c r="J19" s="202"/>
      <c r="K19" s="3"/>
      <c r="L19" s="3"/>
      <c r="M19" s="3"/>
      <c r="N19" s="202"/>
      <c r="O19" s="3"/>
      <c r="P19" s="202"/>
      <c r="Q19" s="3"/>
      <c r="R19" s="3"/>
      <c r="U19" s="3"/>
      <c r="V19" s="3"/>
      <c r="W19" s="3"/>
      <c r="X19" s="3"/>
      <c r="Y19" s="3"/>
      <c r="AC19" s="26"/>
      <c r="AD19" s="3"/>
      <c r="AE19" s="21"/>
      <c r="AF19" s="21"/>
      <c r="AG19" s="21"/>
      <c r="AH19" s="21"/>
      <c r="AK19" s="3"/>
      <c r="AL19" s="3"/>
      <c r="AM19" s="3"/>
    </row>
    <row r="20" spans="1:39" x14ac:dyDescent="0.25">
      <c r="A20" s="1">
        <v>500</v>
      </c>
      <c r="B20" s="1"/>
      <c r="C20" s="13">
        <v>0.3</v>
      </c>
      <c r="E20" s="1">
        <f>C20*($A$20*730)</f>
        <v>109500</v>
      </c>
      <c r="F20" s="1"/>
      <c r="G20" s="29">
        <f>+X20</f>
        <v>10947.28</v>
      </c>
      <c r="H20" s="29">
        <f>+AH20</f>
        <v>12052.28</v>
      </c>
      <c r="I20" s="29">
        <f>+H20-G20</f>
        <v>1105</v>
      </c>
      <c r="J20" s="55">
        <f>ROUND(+I20/G20,4)</f>
        <v>0.1009</v>
      </c>
      <c r="K20" s="29">
        <f>ROUND($T$10*$E20,2)</f>
        <v>-415.71</v>
      </c>
      <c r="L20" s="29">
        <f>ROUND($T$11*$E20,2)</f>
        <v>15.36</v>
      </c>
      <c r="M20" s="29">
        <f>ROUND($T$12*$E20,2)</f>
        <v>475.89</v>
      </c>
      <c r="N20" s="29">
        <f>+G20+K20+L20+M20</f>
        <v>11022.820000000002</v>
      </c>
      <c r="O20" s="29">
        <f>+H20+K20+L20+M20</f>
        <v>12127.820000000002</v>
      </c>
      <c r="P20" s="55">
        <f>(O20-N20)/N20</f>
        <v>0.10024657936898179</v>
      </c>
      <c r="Q20" s="1"/>
      <c r="S20" s="7">
        <f>+INPUT!$I$4</f>
        <v>300</v>
      </c>
      <c r="T20" s="20">
        <f>$T$17*E20</f>
        <v>4187.2800000000007</v>
      </c>
      <c r="U20" s="20">
        <f>$U$17*$A$20</f>
        <v>2630</v>
      </c>
      <c r="V20" s="20">
        <f>$V$17*$A$20</f>
        <v>1955</v>
      </c>
      <c r="W20" s="20">
        <f>$W$17*$A$20</f>
        <v>1875</v>
      </c>
      <c r="X20" s="25">
        <f>S20+T20+U20+V20+W20</f>
        <v>10947.28</v>
      </c>
      <c r="Y20" s="25"/>
      <c r="Z20" s="20"/>
      <c r="AC20" s="7">
        <f>INPUT!$I$25</f>
        <v>330</v>
      </c>
      <c r="AD20" s="20">
        <f>$AD$17*E20</f>
        <v>4187.2800000000007</v>
      </c>
      <c r="AE20" s="20">
        <f>$A$20*$AE$17</f>
        <v>3430</v>
      </c>
      <c r="AF20" s="20">
        <f>$A$20*$AF$17</f>
        <v>2515</v>
      </c>
      <c r="AG20" s="20">
        <f>$A$20*$AG$17</f>
        <v>1590</v>
      </c>
      <c r="AH20" s="25">
        <f>AC20+AD20+AE20+AF20+AG20</f>
        <v>12052.28</v>
      </c>
      <c r="AI20" s="20"/>
      <c r="AJ20" s="17"/>
      <c r="AK20" s="7">
        <f>AH20-X20</f>
        <v>1105</v>
      </c>
      <c r="AM20" s="18">
        <f>AH20/X20-1</f>
        <v>0.10093831527100794</v>
      </c>
    </row>
    <row r="21" spans="1:39" x14ac:dyDescent="0.25">
      <c r="C21" s="13">
        <v>0.5</v>
      </c>
      <c r="E21" s="1">
        <f>C21*($A$20*730)</f>
        <v>182500</v>
      </c>
      <c r="F21" s="1"/>
      <c r="G21" s="29">
        <f t="shared" ref="G21:G38" si="0">+X21</f>
        <v>13738.8</v>
      </c>
      <c r="H21" s="29">
        <f>+AH21</f>
        <v>14843.8</v>
      </c>
      <c r="I21" s="29">
        <f>+H21-G21</f>
        <v>1105</v>
      </c>
      <c r="J21" s="55">
        <f>ROUND(+I21/G21,4)</f>
        <v>8.0399999999999999E-2</v>
      </c>
      <c r="K21" s="29">
        <f>ROUND($T$10*$E21,2)</f>
        <v>-692.85</v>
      </c>
      <c r="L21" s="29">
        <f>ROUND($T$11*$E21,2)</f>
        <v>25.6</v>
      </c>
      <c r="M21" s="29">
        <f>ROUND($T$12*$E21,2)</f>
        <v>793.14</v>
      </c>
      <c r="N21" s="29">
        <f>+G21+K21+L21+M21</f>
        <v>13864.689999999999</v>
      </c>
      <c r="O21" s="29">
        <f>+H21+K21+L21+M21</f>
        <v>14969.689999999999</v>
      </c>
      <c r="P21" s="55">
        <f>(O21-N21)/N21</f>
        <v>7.9698860919357017E-2</v>
      </c>
      <c r="Q21" s="1"/>
      <c r="S21" s="7">
        <f>$S$20</f>
        <v>300</v>
      </c>
      <c r="T21" s="20">
        <f>$T$17*E21</f>
        <v>6978.8</v>
      </c>
      <c r="U21" s="20">
        <f>$U$17*$A$20</f>
        <v>2630</v>
      </c>
      <c r="V21" s="20">
        <f>$V$17*$A$20</f>
        <v>1955</v>
      </c>
      <c r="W21" s="20">
        <f>$W$17*$A$20</f>
        <v>1875</v>
      </c>
      <c r="X21" s="25">
        <f>S21+T21+U21+V21+W21</f>
        <v>13738.8</v>
      </c>
      <c r="Y21" s="25"/>
      <c r="Z21" s="20"/>
      <c r="AC21" s="7">
        <f>$AC$20</f>
        <v>330</v>
      </c>
      <c r="AD21" s="20">
        <f>$AD$17*E21</f>
        <v>6978.8</v>
      </c>
      <c r="AE21" s="20">
        <f>$A$20*$AE$17</f>
        <v>3430</v>
      </c>
      <c r="AF21" s="20">
        <f>$A$20*$AF$17</f>
        <v>2515</v>
      </c>
      <c r="AG21" s="20">
        <f>$A$20*$AG$17</f>
        <v>1590</v>
      </c>
      <c r="AH21" s="25">
        <f>AC21+AD21+AE21+AF21+AG21</f>
        <v>14843.8</v>
      </c>
      <c r="AI21" s="20"/>
      <c r="AJ21" s="17"/>
      <c r="AK21" s="7">
        <f>AH21-X21</f>
        <v>1105</v>
      </c>
      <c r="AM21" s="18">
        <f>AH21/X21-1</f>
        <v>8.0429149561825009E-2</v>
      </c>
    </row>
    <row r="22" spans="1:39" x14ac:dyDescent="0.25">
      <c r="C22" s="13">
        <v>0.7</v>
      </c>
      <c r="E22" s="1">
        <f>C22*($A$20*730)</f>
        <v>255499.99999999997</v>
      </c>
      <c r="F22" s="1"/>
      <c r="G22" s="29">
        <f t="shared" si="0"/>
        <v>16530.32</v>
      </c>
      <c r="H22" s="29">
        <f>+AH22</f>
        <v>17635.32</v>
      </c>
      <c r="I22" s="29">
        <f>+H22-G22</f>
        <v>1105</v>
      </c>
      <c r="J22" s="55">
        <f>ROUND(+I22/G22,4)</f>
        <v>6.6799999999999998E-2</v>
      </c>
      <c r="K22" s="29">
        <f>ROUND($T$10*$E22,2)</f>
        <v>-969.99</v>
      </c>
      <c r="L22" s="29">
        <f>ROUND($T$11*$E22,2)</f>
        <v>35.83</v>
      </c>
      <c r="M22" s="29">
        <f>ROUND($T$12*$E22,2)</f>
        <v>1110.4000000000001</v>
      </c>
      <c r="N22" s="29">
        <f>+G22+K22+L22+M22</f>
        <v>16706.560000000001</v>
      </c>
      <c r="O22" s="29">
        <f>+H22+K22+L22+M22</f>
        <v>17811.560000000001</v>
      </c>
      <c r="P22" s="55">
        <f>(O22-N22)/N22</f>
        <v>6.6141683266932261E-2</v>
      </c>
      <c r="Q22" s="1"/>
      <c r="S22" s="7">
        <f>$S$20</f>
        <v>300</v>
      </c>
      <c r="T22" s="20">
        <f>$T$17*E22</f>
        <v>9770.32</v>
      </c>
      <c r="U22" s="20">
        <f>$U$17*$A$20</f>
        <v>2630</v>
      </c>
      <c r="V22" s="20">
        <f>$V$17*$A$20</f>
        <v>1955</v>
      </c>
      <c r="W22" s="20">
        <f>$W$17*$A$20</f>
        <v>1875</v>
      </c>
      <c r="X22" s="25">
        <f>S22+T22+U22+V22+W22</f>
        <v>16530.32</v>
      </c>
      <c r="Y22" s="25"/>
      <c r="Z22" s="20"/>
      <c r="AC22" s="7">
        <f>$AC$20</f>
        <v>330</v>
      </c>
      <c r="AD22" s="20">
        <f>$AD$17*E22</f>
        <v>9770.32</v>
      </c>
      <c r="AE22" s="20">
        <f>$A$20*$AE$17</f>
        <v>3430</v>
      </c>
      <c r="AF22" s="20">
        <f>$A$20*$AF$17</f>
        <v>2515</v>
      </c>
      <c r="AG22" s="20">
        <f>$A$20*$AG$17</f>
        <v>1590</v>
      </c>
      <c r="AH22" s="25">
        <f>AC22+AD22+AE22+AF22+AG22</f>
        <v>17635.32</v>
      </c>
      <c r="AI22" s="20"/>
      <c r="AJ22" s="17"/>
      <c r="AK22" s="7">
        <f>AH22-X22</f>
        <v>1105</v>
      </c>
      <c r="AM22" s="18">
        <f>AH22/X22-1</f>
        <v>6.6846860798823071E-2</v>
      </c>
    </row>
    <row r="23" spans="1:39" x14ac:dyDescent="0.25">
      <c r="C23" s="13"/>
      <c r="E23" s="1"/>
      <c r="F23" s="1"/>
      <c r="G23" s="29"/>
      <c r="H23" s="29"/>
      <c r="J23" s="5"/>
      <c r="K23" s="1"/>
      <c r="L23" s="1"/>
      <c r="M23" s="1"/>
      <c r="P23" s="55"/>
      <c r="Q23" s="1"/>
      <c r="S23" s="7"/>
      <c r="T23" s="20"/>
      <c r="U23" s="20"/>
      <c r="V23" s="20"/>
      <c r="W23" s="20"/>
      <c r="X23" s="25"/>
      <c r="Y23" s="25"/>
      <c r="AC23" s="7"/>
      <c r="AD23" s="20"/>
      <c r="AE23" s="20"/>
      <c r="AF23" s="20"/>
      <c r="AG23" s="20"/>
      <c r="AH23" s="25"/>
      <c r="AJ23" s="17"/>
      <c r="AK23" s="6"/>
      <c r="AM23" s="6"/>
    </row>
    <row r="24" spans="1:39" x14ac:dyDescent="0.25">
      <c r="A24" s="1">
        <v>5000</v>
      </c>
      <c r="B24" s="1"/>
      <c r="C24" s="13">
        <v>0.3</v>
      </c>
      <c r="E24" s="1">
        <f>C24*($A$24*730)</f>
        <v>1095000</v>
      </c>
      <c r="F24" s="1"/>
      <c r="G24" s="29">
        <f t="shared" si="0"/>
        <v>106772.8</v>
      </c>
      <c r="H24" s="29">
        <f>+AH24</f>
        <v>117552.8</v>
      </c>
      <c r="I24" s="29">
        <f>+H24-G24</f>
        <v>10780</v>
      </c>
      <c r="J24" s="55">
        <f>ROUND(+I24/G24,4)</f>
        <v>0.10100000000000001</v>
      </c>
      <c r="K24" s="29">
        <f>ROUND($T$10*$E24,2)</f>
        <v>-4157.09</v>
      </c>
      <c r="L24" s="29">
        <f>ROUND($T$11*$E24,2)</f>
        <v>153.58000000000001</v>
      </c>
      <c r="M24" s="29">
        <f>ROUND($T$12*$E24,2)</f>
        <v>4758.8500000000004</v>
      </c>
      <c r="N24" s="29">
        <f>+G24+K24+L24+M24</f>
        <v>107528.14000000001</v>
      </c>
      <c r="O24" s="29">
        <f>+H24+K24+L24+M24</f>
        <v>118308.14000000001</v>
      </c>
      <c r="P24" s="55">
        <f>(O24-N24)/N24</f>
        <v>0.10025282684142028</v>
      </c>
      <c r="Q24" s="1"/>
      <c r="S24" s="7">
        <f>$S$20</f>
        <v>300</v>
      </c>
      <c r="T24" s="20">
        <f>$T$17*E24</f>
        <v>41872.800000000003</v>
      </c>
      <c r="U24" s="20">
        <f>$U$17*$A$24</f>
        <v>26300</v>
      </c>
      <c r="V24" s="20">
        <f>$V$17*$A$24</f>
        <v>19550</v>
      </c>
      <c r="W24" s="20">
        <f>$W$17*$A$24</f>
        <v>18750</v>
      </c>
      <c r="X24" s="25">
        <f>S24+T24+U24+V24+W24</f>
        <v>106772.8</v>
      </c>
      <c r="Y24" s="25"/>
      <c r="Z24" s="20"/>
      <c r="AC24" s="7">
        <f>$AC$20</f>
        <v>330</v>
      </c>
      <c r="AD24" s="20">
        <f>$AD$17*E24</f>
        <v>41872.800000000003</v>
      </c>
      <c r="AE24" s="20">
        <f>$A$24*$AE$17</f>
        <v>34300</v>
      </c>
      <c r="AF24" s="20">
        <f>$A$24*$AF$17</f>
        <v>25150</v>
      </c>
      <c r="AG24" s="20">
        <f>$A$24*$AG$17</f>
        <v>15900</v>
      </c>
      <c r="AH24" s="25">
        <f>AC24+AD24+AE24+AF24+AG24</f>
        <v>117552.8</v>
      </c>
      <c r="AI24" s="20"/>
      <c r="AJ24" s="17"/>
      <c r="AK24" s="7">
        <f>AH24-X24</f>
        <v>10780</v>
      </c>
      <c r="AL24" s="10"/>
      <c r="AM24" s="18">
        <f>AH24/X24-1</f>
        <v>0.10096204276744647</v>
      </c>
    </row>
    <row r="25" spans="1:39" x14ac:dyDescent="0.25">
      <c r="C25" s="13">
        <v>0.5</v>
      </c>
      <c r="E25" s="1">
        <f>C25*($A$24*730)</f>
        <v>1825000</v>
      </c>
      <c r="F25" s="1"/>
      <c r="G25" s="29">
        <f t="shared" si="0"/>
        <v>134688</v>
      </c>
      <c r="H25" s="29">
        <f>+AH25</f>
        <v>145468</v>
      </c>
      <c r="I25" s="29">
        <f>+H25-G25</f>
        <v>10780</v>
      </c>
      <c r="J25" s="55">
        <f>ROUND(+I25/G25,4)</f>
        <v>0.08</v>
      </c>
      <c r="K25" s="29">
        <f>ROUND($T$10*$E25,2)</f>
        <v>-6928.49</v>
      </c>
      <c r="L25" s="29">
        <f>ROUND($T$11*$E25,2)</f>
        <v>255.96</v>
      </c>
      <c r="M25" s="29">
        <f>ROUND($T$12*$E25,2)</f>
        <v>7931.42</v>
      </c>
      <c r="N25" s="29">
        <f>+G25+K25+L25+M25</f>
        <v>135946.89000000001</v>
      </c>
      <c r="O25" s="29">
        <f>+H25+K25+L25+M25</f>
        <v>146726.89000000001</v>
      </c>
      <c r="P25" s="55">
        <f>(O25-N25)/N25</f>
        <v>7.9295672008385026E-2</v>
      </c>
      <c r="Q25" s="1"/>
      <c r="S25" s="7">
        <f>$S$20</f>
        <v>300</v>
      </c>
      <c r="T25" s="20">
        <f>$T$17*E25</f>
        <v>69788</v>
      </c>
      <c r="U25" s="20">
        <f>$U$17*$A$24</f>
        <v>26300</v>
      </c>
      <c r="V25" s="20">
        <f>$V$17*$A$24</f>
        <v>19550</v>
      </c>
      <c r="W25" s="20">
        <f>$W$17*$A$24</f>
        <v>18750</v>
      </c>
      <c r="X25" s="25">
        <f>S25+T25+U25+V25+W25</f>
        <v>134688</v>
      </c>
      <c r="Y25" s="25"/>
      <c r="Z25" s="20"/>
      <c r="AC25" s="7">
        <f>$AC$20</f>
        <v>330</v>
      </c>
      <c r="AD25" s="20">
        <f>$AD$17*E25</f>
        <v>69788</v>
      </c>
      <c r="AE25" s="20">
        <f>$A$24*$AE$17</f>
        <v>34300</v>
      </c>
      <c r="AF25" s="20">
        <f>$A$24*$AF$17</f>
        <v>25150</v>
      </c>
      <c r="AG25" s="20">
        <f>$A$24*$AG$17</f>
        <v>15900</v>
      </c>
      <c r="AH25" s="25">
        <f>AC25+AD25+AE25+AF25+AG25</f>
        <v>145468</v>
      </c>
      <c r="AI25" s="20"/>
      <c r="AJ25" s="17"/>
      <c r="AK25" s="7">
        <f>AH25-X25</f>
        <v>10780</v>
      </c>
      <c r="AL25" s="10"/>
      <c r="AM25" s="18">
        <f>AH25/X25-1</f>
        <v>8.0036825849370441E-2</v>
      </c>
    </row>
    <row r="26" spans="1:39" x14ac:dyDescent="0.25">
      <c r="C26" s="13">
        <v>0.7</v>
      </c>
      <c r="E26" s="1">
        <f>C26*($A$24*730)</f>
        <v>2555000</v>
      </c>
      <c r="F26" s="1"/>
      <c r="G26" s="29">
        <f t="shared" si="0"/>
        <v>162603.20000000001</v>
      </c>
      <c r="H26" s="29">
        <f>+AH26</f>
        <v>173383.2</v>
      </c>
      <c r="I26" s="29">
        <f>+H26-G26</f>
        <v>10780</v>
      </c>
      <c r="J26" s="55">
        <f>ROUND(+I26/G26,4)</f>
        <v>6.6299999999999998E-2</v>
      </c>
      <c r="K26" s="29">
        <f>ROUND($T$10*$E26,2)</f>
        <v>-9699.8799999999992</v>
      </c>
      <c r="L26" s="29">
        <f>ROUND($T$11*$E26,2)</f>
        <v>358.34</v>
      </c>
      <c r="M26" s="29">
        <f>ROUND($T$12*$E26,2)</f>
        <v>11103.99</v>
      </c>
      <c r="N26" s="29">
        <f>+G26+K26+L26+M26</f>
        <v>164365.65</v>
      </c>
      <c r="O26" s="29">
        <f>+H26+K26+L26+M26</f>
        <v>175145.65</v>
      </c>
      <c r="P26" s="55">
        <f>(O26-N26)/N26</f>
        <v>6.5585479691164184E-2</v>
      </c>
      <c r="Q26" s="1"/>
      <c r="S26" s="7">
        <f>$S$20</f>
        <v>300</v>
      </c>
      <c r="T26" s="20">
        <f>$T$17*E26</f>
        <v>97703.200000000012</v>
      </c>
      <c r="U26" s="20">
        <f>$U$17*$A$24</f>
        <v>26300</v>
      </c>
      <c r="V26" s="20">
        <f>$V$17*$A$24</f>
        <v>19550</v>
      </c>
      <c r="W26" s="20">
        <f>$W$17*$A$24</f>
        <v>18750</v>
      </c>
      <c r="X26" s="25">
        <f>S26+T26+U26+V26+W26</f>
        <v>162603.20000000001</v>
      </c>
      <c r="Y26" s="25"/>
      <c r="Z26" s="20"/>
      <c r="AC26" s="7">
        <f>$AC$20</f>
        <v>330</v>
      </c>
      <c r="AD26" s="20">
        <f>$AD$17*E26</f>
        <v>97703.200000000012</v>
      </c>
      <c r="AE26" s="20">
        <f>$A$24*$AE$17</f>
        <v>34300</v>
      </c>
      <c r="AF26" s="20">
        <f>$A$24*$AF$17</f>
        <v>25150</v>
      </c>
      <c r="AG26" s="20">
        <f>$A$24*$AG$17</f>
        <v>15900</v>
      </c>
      <c r="AH26" s="25">
        <f>AC26+AD26+AE26+AF26+AG26</f>
        <v>173383.2</v>
      </c>
      <c r="AI26" s="20"/>
      <c r="AJ26" s="17"/>
      <c r="AK26" s="7">
        <f>AH26-X26</f>
        <v>10780</v>
      </c>
      <c r="AM26" s="18">
        <f>AH26/X26-1</f>
        <v>6.629635825125213E-2</v>
      </c>
    </row>
    <row r="27" spans="1:39" x14ac:dyDescent="0.25">
      <c r="C27" s="13"/>
      <c r="E27" s="1"/>
      <c r="F27" s="1"/>
      <c r="G27" s="29"/>
      <c r="H27" s="29"/>
      <c r="J27" s="5"/>
      <c r="K27" s="1"/>
      <c r="L27" s="1"/>
      <c r="M27" s="1"/>
      <c r="P27" s="55"/>
      <c r="Q27" s="1"/>
      <c r="S27" s="7"/>
      <c r="T27" s="20"/>
      <c r="U27" s="20"/>
      <c r="V27" s="20"/>
      <c r="W27" s="20"/>
      <c r="X27" s="25"/>
      <c r="Y27" s="25"/>
      <c r="AC27" s="7"/>
      <c r="AD27" s="20"/>
      <c r="AE27" s="20"/>
      <c r="AF27" s="20"/>
      <c r="AG27" s="20"/>
      <c r="AH27" s="25"/>
      <c r="AJ27" s="17"/>
      <c r="AK27" s="6"/>
      <c r="AM27" s="6"/>
    </row>
    <row r="28" spans="1:39" x14ac:dyDescent="0.25">
      <c r="A28" s="1">
        <v>10000</v>
      </c>
      <c r="B28" s="1"/>
      <c r="C28" s="13">
        <v>0.3</v>
      </c>
      <c r="E28" s="1">
        <f>C28*($A$28*730)</f>
        <v>2190000</v>
      </c>
      <c r="F28" s="1"/>
      <c r="G28" s="29">
        <f t="shared" si="0"/>
        <v>213245.6</v>
      </c>
      <c r="H28" s="29">
        <f>+AH28</f>
        <v>234775.6</v>
      </c>
      <c r="I28" s="29">
        <f>+H28-G28</f>
        <v>21530</v>
      </c>
      <c r="J28" s="55">
        <f>ROUND(+I28/G28,4)</f>
        <v>0.10100000000000001</v>
      </c>
      <c r="K28" s="29">
        <f>ROUND($T$10*$E28,2)</f>
        <v>-8314.18</v>
      </c>
      <c r="L28" s="29">
        <f>ROUND($T$11*$E28,2)</f>
        <v>307.14999999999998</v>
      </c>
      <c r="M28" s="29">
        <f>ROUND($T$12*$E28,2)</f>
        <v>9517.7000000000007</v>
      </c>
      <c r="N28" s="29">
        <f>+G28+K28+L28+M28</f>
        <v>214756.27000000002</v>
      </c>
      <c r="O28" s="29">
        <f>+H28+K28+L28+M28</f>
        <v>236286.27000000002</v>
      </c>
      <c r="P28" s="55">
        <f>(O28-N28)/N28</f>
        <v>0.10025318469165068</v>
      </c>
      <c r="Q28" s="1"/>
      <c r="S28" s="7">
        <f>$S$20</f>
        <v>300</v>
      </c>
      <c r="T28" s="20">
        <f>$T$17*E28</f>
        <v>83745.600000000006</v>
      </c>
      <c r="U28" s="20">
        <f>$U$17*$A$28</f>
        <v>52600</v>
      </c>
      <c r="V28" s="20">
        <f>$V$17*$A$28</f>
        <v>39100</v>
      </c>
      <c r="W28" s="20">
        <f>$W$17*$A$28</f>
        <v>37500</v>
      </c>
      <c r="X28" s="25">
        <f>S28+T28+U28+V28+W28</f>
        <v>213245.6</v>
      </c>
      <c r="Y28" s="25"/>
      <c r="Z28" s="20"/>
      <c r="AC28" s="7">
        <f>$AC$20</f>
        <v>330</v>
      </c>
      <c r="AD28" s="20">
        <f>$AD$17*E28</f>
        <v>83745.600000000006</v>
      </c>
      <c r="AE28" s="20">
        <f>$A$28*$AE$17</f>
        <v>68600</v>
      </c>
      <c r="AF28" s="20">
        <f>$A$28*$AF$17</f>
        <v>50300</v>
      </c>
      <c r="AG28" s="20">
        <f>$A$28*$AG$17</f>
        <v>31800</v>
      </c>
      <c r="AH28" s="25">
        <f>AC28+AD28+AE28+AF28+AG28</f>
        <v>234775.6</v>
      </c>
      <c r="AI28" s="20"/>
      <c r="AJ28" s="17"/>
      <c r="AK28" s="7">
        <f>AH28-X28</f>
        <v>21530</v>
      </c>
      <c r="AM28" s="18">
        <f>AH28/X28-1</f>
        <v>0.10096339619668582</v>
      </c>
    </row>
    <row r="29" spans="1:39" x14ac:dyDescent="0.25">
      <c r="C29" s="13">
        <v>0.5</v>
      </c>
      <c r="E29" s="1">
        <f>C29*($A$28*730)</f>
        <v>3650000</v>
      </c>
      <c r="F29" s="1"/>
      <c r="G29" s="29">
        <f t="shared" si="0"/>
        <v>269076</v>
      </c>
      <c r="H29" s="29">
        <f>+AH29</f>
        <v>290606</v>
      </c>
      <c r="I29" s="29">
        <f>+H29-G29</f>
        <v>21530</v>
      </c>
      <c r="J29" s="55">
        <f>ROUND(+I29/G29,4)</f>
        <v>0.08</v>
      </c>
      <c r="K29" s="29">
        <f>ROUND($T$10*$E29,2)</f>
        <v>-13856.97</v>
      </c>
      <c r="L29" s="29">
        <f>ROUND($T$11*$E29,2)</f>
        <v>511.92</v>
      </c>
      <c r="M29" s="29">
        <f>ROUND($T$12*$E29,2)</f>
        <v>15862.84</v>
      </c>
      <c r="N29" s="29">
        <f>+G29+K29+L29+M29</f>
        <v>271593.79000000004</v>
      </c>
      <c r="O29" s="29">
        <f>+H29+K29+L29+M29</f>
        <v>293123.79000000004</v>
      </c>
      <c r="P29" s="55">
        <f>(O29-N29)/N29</f>
        <v>7.9272799278658018E-2</v>
      </c>
      <c r="Q29" s="1"/>
      <c r="S29" s="7">
        <f>$S$20</f>
        <v>300</v>
      </c>
      <c r="T29" s="20">
        <f>$T$17*E29</f>
        <v>139576</v>
      </c>
      <c r="U29" s="20">
        <f>$U$17*$A$28</f>
        <v>52600</v>
      </c>
      <c r="V29" s="20">
        <f>$V$17*$A$28</f>
        <v>39100</v>
      </c>
      <c r="W29" s="20">
        <f>$W$17*$A$28</f>
        <v>37500</v>
      </c>
      <c r="X29" s="25">
        <f>S29+T29+U29+V29+W29</f>
        <v>269076</v>
      </c>
      <c r="Y29" s="25"/>
      <c r="Z29" s="20"/>
      <c r="AC29" s="7">
        <f>$AC$20</f>
        <v>330</v>
      </c>
      <c r="AD29" s="20">
        <f>$AD$17*E29</f>
        <v>139576</v>
      </c>
      <c r="AE29" s="20">
        <f>$A$28*$AE$17</f>
        <v>68600</v>
      </c>
      <c r="AF29" s="20">
        <f>$A$28*$AF$17</f>
        <v>50300</v>
      </c>
      <c r="AG29" s="20">
        <f>$A$28*$AG$17</f>
        <v>31800</v>
      </c>
      <c r="AH29" s="25">
        <f>AC29+AD29+AE29+AF29+AG29</f>
        <v>290606</v>
      </c>
      <c r="AI29" s="20"/>
      <c r="AJ29" s="17"/>
      <c r="AK29" s="7">
        <f>AH29-X29</f>
        <v>21530</v>
      </c>
      <c r="AM29" s="18">
        <f>AH29/X29-1</f>
        <v>8.0014568374734196E-2</v>
      </c>
    </row>
    <row r="30" spans="1:39" x14ac:dyDescent="0.25">
      <c r="C30" s="13">
        <v>0.7</v>
      </c>
      <c r="E30" s="1">
        <f>C30*($A$28*730)</f>
        <v>5110000</v>
      </c>
      <c r="F30" s="1"/>
      <c r="G30" s="29">
        <f t="shared" si="0"/>
        <v>324906.40000000002</v>
      </c>
      <c r="H30" s="29">
        <f>+AH30</f>
        <v>346436.4</v>
      </c>
      <c r="I30" s="29">
        <f>+H30-G30</f>
        <v>21530</v>
      </c>
      <c r="J30" s="55">
        <f>ROUND(+I30/G30,4)</f>
        <v>6.6299999999999998E-2</v>
      </c>
      <c r="K30" s="29">
        <f>ROUND($T$10*$E30,2)</f>
        <v>-19399.759999999998</v>
      </c>
      <c r="L30" s="29">
        <f>ROUND($T$11*$E30,2)</f>
        <v>716.68</v>
      </c>
      <c r="M30" s="29">
        <f>ROUND($T$12*$E30,2)</f>
        <v>22207.97</v>
      </c>
      <c r="N30" s="29">
        <f>+G30+K30+L30+M30</f>
        <v>328431.29000000004</v>
      </c>
      <c r="O30" s="29">
        <f>+H30+K30+L30+M30</f>
        <v>349961.29000000004</v>
      </c>
      <c r="P30" s="55">
        <f>(O30-N30)/N30</f>
        <v>6.5554046327315513E-2</v>
      </c>
      <c r="Q30" s="1"/>
      <c r="S30" s="7">
        <f>$S$20</f>
        <v>300</v>
      </c>
      <c r="T30" s="20">
        <f>$T$17*E30</f>
        <v>195406.40000000002</v>
      </c>
      <c r="U30" s="20">
        <f>$U$17*$A$28</f>
        <v>52600</v>
      </c>
      <c r="V30" s="20">
        <f>$V$17*$A$28</f>
        <v>39100</v>
      </c>
      <c r="W30" s="20">
        <f>$W$17*$A$28</f>
        <v>37500</v>
      </c>
      <c r="X30" s="25">
        <f>S30+T30+U30+V30+W30</f>
        <v>324906.40000000002</v>
      </c>
      <c r="Y30" s="25"/>
      <c r="Z30" s="20"/>
      <c r="AC30" s="7">
        <f>$AC$20</f>
        <v>330</v>
      </c>
      <c r="AD30" s="20">
        <f>$AD$17*E30</f>
        <v>195406.40000000002</v>
      </c>
      <c r="AE30" s="20">
        <f>$A$28*$AE$17</f>
        <v>68600</v>
      </c>
      <c r="AF30" s="20">
        <f>$A$28*$AF$17</f>
        <v>50300</v>
      </c>
      <c r="AG30" s="20">
        <f>$A$28*$AG$17</f>
        <v>31800</v>
      </c>
      <c r="AH30" s="25">
        <f>AC30+AD30+AE30+AF30+AG30</f>
        <v>346436.4</v>
      </c>
      <c r="AI30" s="20"/>
      <c r="AJ30" s="17"/>
      <c r="AK30" s="7">
        <f>AH30-X30</f>
        <v>21530</v>
      </c>
      <c r="AM30" s="18">
        <f>AH30/X30-1</f>
        <v>6.6265238234765489E-2</v>
      </c>
    </row>
    <row r="31" spans="1:39" x14ac:dyDescent="0.25">
      <c r="C31" s="13"/>
      <c r="E31" s="1"/>
      <c r="F31" s="1"/>
      <c r="G31" s="29"/>
      <c r="H31" s="29"/>
      <c r="J31" s="5"/>
      <c r="K31" s="1"/>
      <c r="L31" s="1"/>
      <c r="M31" s="1"/>
      <c r="P31" s="55"/>
      <c r="Q31" s="1"/>
      <c r="S31" s="7"/>
      <c r="T31" s="20"/>
      <c r="U31" s="20"/>
      <c r="V31" s="20"/>
      <c r="W31" s="20"/>
      <c r="X31" s="25"/>
      <c r="Y31" s="25"/>
      <c r="AC31" s="7"/>
      <c r="AD31" s="20"/>
      <c r="AE31" s="20"/>
      <c r="AF31" s="20"/>
      <c r="AG31" s="20"/>
      <c r="AH31" s="25"/>
      <c r="AJ31" s="17"/>
      <c r="AK31" s="6"/>
      <c r="AM31" s="6"/>
    </row>
    <row r="32" spans="1:39" x14ac:dyDescent="0.25">
      <c r="A32" s="1">
        <v>25000</v>
      </c>
      <c r="B32" s="1"/>
      <c r="C32" s="13">
        <v>0.3</v>
      </c>
      <c r="E32" s="1">
        <f>C32*($A$32*730)</f>
        <v>5475000</v>
      </c>
      <c r="F32" s="1"/>
      <c r="G32" s="29">
        <f t="shared" si="0"/>
        <v>532664</v>
      </c>
      <c r="H32" s="29">
        <f>+AH32</f>
        <v>586444</v>
      </c>
      <c r="I32" s="29">
        <f>+H32-G32</f>
        <v>53780</v>
      </c>
      <c r="J32" s="55">
        <f>ROUND(+I32/G32,4)</f>
        <v>0.10100000000000001</v>
      </c>
      <c r="K32" s="29">
        <f>ROUND($T$10*$E32,2)</f>
        <v>-20785.46</v>
      </c>
      <c r="L32" s="29">
        <f>ROUND($T$11*$E32,2)</f>
        <v>767.88</v>
      </c>
      <c r="M32" s="29">
        <f>ROUND($T$12*$E32,2)</f>
        <v>23794.25</v>
      </c>
      <c r="N32" s="29">
        <f>+G32+K32+L32+M32</f>
        <v>536440.66999999993</v>
      </c>
      <c r="O32" s="29">
        <f>+H32+K32+L32+M32</f>
        <v>590220.67000000004</v>
      </c>
      <c r="P32" s="55">
        <f>(O32-N32)/N32</f>
        <v>0.10025339801324185</v>
      </c>
      <c r="Q32" s="1"/>
      <c r="S32" s="7">
        <f>$S$20</f>
        <v>300</v>
      </c>
      <c r="T32" s="20">
        <f>$T$17*E32</f>
        <v>209364.00000000003</v>
      </c>
      <c r="U32" s="20">
        <f>$U$17*$A$32</f>
        <v>131500</v>
      </c>
      <c r="V32" s="20">
        <f>$V$17*$A$32</f>
        <v>97750</v>
      </c>
      <c r="W32" s="20">
        <f>$W$17*$A$32</f>
        <v>93750</v>
      </c>
      <c r="X32" s="25">
        <f>S32+T32+U32+V32+W32</f>
        <v>532664</v>
      </c>
      <c r="Y32" s="25"/>
      <c r="Z32" s="20"/>
      <c r="AC32" s="7">
        <f>$AC$20</f>
        <v>330</v>
      </c>
      <c r="AD32" s="20">
        <f>$AD$17*E32</f>
        <v>209364.00000000003</v>
      </c>
      <c r="AE32" s="20">
        <f>$A$32*$AE$17</f>
        <v>171500</v>
      </c>
      <c r="AF32" s="20">
        <f>$A$32*$AF$17</f>
        <v>125750</v>
      </c>
      <c r="AG32" s="20">
        <f>$A$32*$AG$17</f>
        <v>79500</v>
      </c>
      <c r="AH32" s="25">
        <f>AC32+AD32+AE32+AF32+AG32</f>
        <v>586444</v>
      </c>
      <c r="AI32" s="20"/>
      <c r="AJ32" s="17"/>
      <c r="AK32" s="7">
        <f>AH32-X32</f>
        <v>53780</v>
      </c>
      <c r="AM32" s="18">
        <f>AH32/X32-1</f>
        <v>0.10096421008365497</v>
      </c>
    </row>
    <row r="33" spans="1:39" x14ac:dyDescent="0.25">
      <c r="C33" s="13">
        <v>0.5</v>
      </c>
      <c r="E33" s="1">
        <f>C33*($A$32*730)</f>
        <v>9125000</v>
      </c>
      <c r="F33" s="1"/>
      <c r="G33" s="29">
        <f t="shared" si="0"/>
        <v>672240</v>
      </c>
      <c r="H33" s="29">
        <f>+AH33</f>
        <v>726020</v>
      </c>
      <c r="I33" s="29">
        <f>+H33-G33</f>
        <v>53780</v>
      </c>
      <c r="J33" s="55">
        <f>ROUND(+I33/G33,4)</f>
        <v>0.08</v>
      </c>
      <c r="K33" s="29">
        <f>ROUND($T$10*$E33,2)</f>
        <v>-34642.43</v>
      </c>
      <c r="L33" s="29">
        <f>ROUND($T$11*$E33,2)</f>
        <v>1279.79</v>
      </c>
      <c r="M33" s="29">
        <f>ROUND($T$12*$E33,2)</f>
        <v>39657.089999999997</v>
      </c>
      <c r="N33" s="29">
        <f>+G33+K33+L33+M33</f>
        <v>678534.45</v>
      </c>
      <c r="O33" s="29">
        <f>+H33+K33+L33+M33</f>
        <v>732314.45</v>
      </c>
      <c r="P33" s="55">
        <f>(O33-N33)/N33</f>
        <v>7.9259056043506707E-2</v>
      </c>
      <c r="Q33" s="1"/>
      <c r="S33" s="7">
        <f>$S$20</f>
        <v>300</v>
      </c>
      <c r="T33" s="20">
        <f>$T$17*E33</f>
        <v>348940</v>
      </c>
      <c r="U33" s="20">
        <f>$U$17*$A$32</f>
        <v>131500</v>
      </c>
      <c r="V33" s="20">
        <f>$V$17*$A$32</f>
        <v>97750</v>
      </c>
      <c r="W33" s="20">
        <f>$W$17*$A$32</f>
        <v>93750</v>
      </c>
      <c r="X33" s="25">
        <f>S33+T33+U33+V33+W33</f>
        <v>672240</v>
      </c>
      <c r="Y33" s="25"/>
      <c r="Z33" s="20"/>
      <c r="AC33" s="7">
        <f>$AC$20</f>
        <v>330</v>
      </c>
      <c r="AD33" s="20">
        <f>$AD$17*E33</f>
        <v>348940</v>
      </c>
      <c r="AE33" s="20">
        <f>$A$32*$AE$17</f>
        <v>171500</v>
      </c>
      <c r="AF33" s="20">
        <f>$A$32*$AF$17</f>
        <v>125750</v>
      </c>
      <c r="AG33" s="20">
        <f>$A$32*$AG$17</f>
        <v>79500</v>
      </c>
      <c r="AH33" s="25">
        <f>AC33+AD33+AE33+AF33+AG33</f>
        <v>726020</v>
      </c>
      <c r="AI33" s="20"/>
      <c r="AJ33" s="17"/>
      <c r="AK33" s="7">
        <f>AH33-X33</f>
        <v>53780</v>
      </c>
      <c r="AM33" s="18">
        <f>AH33/X33-1</f>
        <v>8.0001190051172122E-2</v>
      </c>
    </row>
    <row r="34" spans="1:39" x14ac:dyDescent="0.25">
      <c r="C34" s="13">
        <v>0.7</v>
      </c>
      <c r="E34" s="1">
        <f>C34*($A$32*730)</f>
        <v>12775000</v>
      </c>
      <c r="F34" s="1"/>
      <c r="G34" s="29">
        <f t="shared" si="0"/>
        <v>811816</v>
      </c>
      <c r="H34" s="29">
        <f>+AH34</f>
        <v>865596</v>
      </c>
      <c r="I34" s="29">
        <f>+H34-G34</f>
        <v>53780</v>
      </c>
      <c r="J34" s="55">
        <f>ROUND(+I34/G34,4)</f>
        <v>6.6199999999999995E-2</v>
      </c>
      <c r="K34" s="29">
        <f>ROUND($T$10*$E34,2)</f>
        <v>-48499.41</v>
      </c>
      <c r="L34" s="29">
        <f>ROUND($T$11*$E34,2)</f>
        <v>1791.71</v>
      </c>
      <c r="M34" s="29">
        <f>ROUND($T$12*$E34,2)</f>
        <v>55519.93</v>
      </c>
      <c r="N34" s="29">
        <f>+G34+K34+L34+M34</f>
        <v>820628.23</v>
      </c>
      <c r="O34" s="29">
        <f>+H34+K34+L34+M34</f>
        <v>874408.23</v>
      </c>
      <c r="P34" s="55">
        <f>(O34-N34)/N34</f>
        <v>6.5535157131993871E-2</v>
      </c>
      <c r="Q34" s="1"/>
      <c r="S34" s="7">
        <f>$S$20</f>
        <v>300</v>
      </c>
      <c r="T34" s="20">
        <f>$T$17*E34</f>
        <v>488516.00000000006</v>
      </c>
      <c r="U34" s="20">
        <f>$U$17*$A$32</f>
        <v>131500</v>
      </c>
      <c r="V34" s="20">
        <f>$V$17*$A$32</f>
        <v>97750</v>
      </c>
      <c r="W34" s="20">
        <f>$W$17*$A$32</f>
        <v>93750</v>
      </c>
      <c r="X34" s="25">
        <f>S34+T34+U34+V34+W34</f>
        <v>811816</v>
      </c>
      <c r="Y34" s="25"/>
      <c r="Z34" s="20"/>
      <c r="AC34" s="7">
        <f>$AC$20</f>
        <v>330</v>
      </c>
      <c r="AD34" s="20">
        <f>$AD$17*E34</f>
        <v>488516.00000000006</v>
      </c>
      <c r="AE34" s="20">
        <f>$A$32*$AE$17</f>
        <v>171500</v>
      </c>
      <c r="AF34" s="20">
        <f>$A$32*$AF$17</f>
        <v>125750</v>
      </c>
      <c r="AG34" s="20">
        <f>$A$32*$AG$17</f>
        <v>79500</v>
      </c>
      <c r="AH34" s="25">
        <f>AC34+AD34+AE34+AF34+AG34</f>
        <v>865596</v>
      </c>
      <c r="AI34" s="20"/>
      <c r="AJ34" s="17"/>
      <c r="AK34" s="7">
        <f>AH34-X34</f>
        <v>53780</v>
      </c>
      <c r="AM34" s="18">
        <f>AH34/X34-1</f>
        <v>6.6246538624515905E-2</v>
      </c>
    </row>
    <row r="35" spans="1:39" x14ac:dyDescent="0.25">
      <c r="C35" s="13"/>
      <c r="E35" s="1"/>
      <c r="F35" s="1"/>
      <c r="G35" s="29"/>
      <c r="H35" s="29"/>
      <c r="J35" s="5"/>
      <c r="K35" s="1"/>
      <c r="L35" s="1"/>
      <c r="M35" s="1"/>
      <c r="P35" s="55"/>
      <c r="Q35" s="1"/>
      <c r="S35" s="7"/>
      <c r="T35" s="20"/>
      <c r="U35" s="20"/>
      <c r="V35" s="20"/>
      <c r="W35" s="20"/>
      <c r="X35" s="25"/>
      <c r="Y35" s="25"/>
      <c r="AC35" s="7"/>
      <c r="AD35" s="20"/>
      <c r="AE35" s="20"/>
      <c r="AF35" s="20"/>
      <c r="AG35" s="20"/>
      <c r="AH35" s="25"/>
      <c r="AJ35" s="17"/>
      <c r="AK35" s="6"/>
      <c r="AM35" s="6"/>
    </row>
    <row r="36" spans="1:39" x14ac:dyDescent="0.25">
      <c r="A36" s="1">
        <v>50000</v>
      </c>
      <c r="B36" s="1"/>
      <c r="C36" s="13">
        <v>0.3</v>
      </c>
      <c r="E36" s="1">
        <f>C36*($A$36*730)</f>
        <v>10950000</v>
      </c>
      <c r="F36" s="1"/>
      <c r="G36" s="29">
        <f t="shared" si="0"/>
        <v>1065028</v>
      </c>
      <c r="H36" s="29">
        <f>+AH36</f>
        <v>1172558</v>
      </c>
      <c r="I36" s="29">
        <f>+H36-G36</f>
        <v>107530</v>
      </c>
      <c r="J36" s="55">
        <f>ROUND(+I36/G36,4)</f>
        <v>0.10100000000000001</v>
      </c>
      <c r="K36" s="29">
        <f>ROUND($T$10*$E36,2)</f>
        <v>-41570.92</v>
      </c>
      <c r="L36" s="29">
        <f>ROUND($T$11*$E36,2)</f>
        <v>1535.75</v>
      </c>
      <c r="M36" s="29">
        <f>ROUND($T$12*$E36,2)</f>
        <v>47588.51</v>
      </c>
      <c r="N36" s="29">
        <f>+G36+K36+L36+M36</f>
        <v>1072581.3399999999</v>
      </c>
      <c r="O36" s="29">
        <f>+H36+K36+L36+M36</f>
        <v>1180111.3400000001</v>
      </c>
      <c r="P36" s="55">
        <f>(O36-N36)/N36</f>
        <v>0.1002534688884297</v>
      </c>
      <c r="Q36" s="1"/>
      <c r="S36" s="7">
        <f>$S$20</f>
        <v>300</v>
      </c>
      <c r="T36" s="20">
        <f>$T$17*E36</f>
        <v>418728.00000000006</v>
      </c>
      <c r="U36" s="20">
        <f>$U$17*$A$36</f>
        <v>263000</v>
      </c>
      <c r="V36" s="20">
        <f>$V$17*$A$36</f>
        <v>195500</v>
      </c>
      <c r="W36" s="20">
        <f>$W$17*$A$36</f>
        <v>187500</v>
      </c>
      <c r="X36" s="25">
        <f>S36+T36+U36+V36+W36</f>
        <v>1065028</v>
      </c>
      <c r="Y36" s="25"/>
      <c r="Z36" s="20"/>
      <c r="AC36" s="7">
        <f>$AC$20</f>
        <v>330</v>
      </c>
      <c r="AD36" s="20">
        <f>$AD$17*E36</f>
        <v>418728.00000000006</v>
      </c>
      <c r="AE36" s="20">
        <f>$A$36*$AE$17</f>
        <v>343000</v>
      </c>
      <c r="AF36" s="20">
        <f>$A$36*$AF$17</f>
        <v>251500</v>
      </c>
      <c r="AG36" s="20">
        <f>$A$36*$AG$17</f>
        <v>159000</v>
      </c>
      <c r="AH36" s="25">
        <f>AC36+AD36+AE36+AF36+AG36</f>
        <v>1172558</v>
      </c>
      <c r="AI36" s="20"/>
      <c r="AJ36" s="17"/>
      <c r="AK36" s="7">
        <f>AH36-X36</f>
        <v>107530</v>
      </c>
      <c r="AM36" s="18">
        <f>AH36/X36-1</f>
        <v>0.10096448168498862</v>
      </c>
    </row>
    <row r="37" spans="1:39" x14ac:dyDescent="0.25">
      <c r="C37" s="13">
        <v>0.5</v>
      </c>
      <c r="E37" s="1">
        <f>C37*($A$36*730)</f>
        <v>18250000</v>
      </c>
      <c r="F37" s="1"/>
      <c r="G37" s="29">
        <f t="shared" si="0"/>
        <v>1344180</v>
      </c>
      <c r="H37" s="29">
        <f>+AH37</f>
        <v>1451710</v>
      </c>
      <c r="I37" s="29">
        <f>+H37-G37</f>
        <v>107530</v>
      </c>
      <c r="J37" s="55">
        <f>ROUND(+I37/G37,4)</f>
        <v>0.08</v>
      </c>
      <c r="K37" s="29">
        <f>ROUND($T$10*$E37,2)</f>
        <v>-69284.87</v>
      </c>
      <c r="L37" s="29">
        <f>ROUND($T$11*$E37,2)</f>
        <v>2559.59</v>
      </c>
      <c r="M37" s="29">
        <f>ROUND($T$12*$E37,2)</f>
        <v>79314.179999999993</v>
      </c>
      <c r="N37" s="29">
        <f>+G37+K37+L37+M37</f>
        <v>1356768.9</v>
      </c>
      <c r="O37" s="29">
        <f>+H37+K37+L37+M37</f>
        <v>1464298.9</v>
      </c>
      <c r="P37" s="55">
        <f>(O37-N37)/N37</f>
        <v>7.9254469939574829E-2</v>
      </c>
      <c r="Q37" s="1"/>
      <c r="S37" s="7">
        <f>$S$20</f>
        <v>300</v>
      </c>
      <c r="T37" s="20">
        <f>$T$17*E37</f>
        <v>697880</v>
      </c>
      <c r="U37" s="20">
        <f>$U$17*$A$36</f>
        <v>263000</v>
      </c>
      <c r="V37" s="20">
        <f>$V$17*$A$36</f>
        <v>195500</v>
      </c>
      <c r="W37" s="20">
        <f>$W$17*$A$36</f>
        <v>187500</v>
      </c>
      <c r="X37" s="25">
        <f>S37+T37+U37+V37+W37</f>
        <v>1344180</v>
      </c>
      <c r="Y37" s="25"/>
      <c r="Z37" s="20"/>
      <c r="AC37" s="7">
        <f>$AC$20</f>
        <v>330</v>
      </c>
      <c r="AD37" s="20">
        <f>$AD$17*E37</f>
        <v>697880</v>
      </c>
      <c r="AE37" s="20">
        <f>$A$36*$AE$17</f>
        <v>343000</v>
      </c>
      <c r="AF37" s="20">
        <f>$A$36*$AF$17</f>
        <v>251500</v>
      </c>
      <c r="AG37" s="20">
        <f>$A$36*$AG$17</f>
        <v>159000</v>
      </c>
      <c r="AH37" s="25">
        <f>AC37+AD37+AE37+AF37+AG37</f>
        <v>1451710</v>
      </c>
      <c r="AI37" s="20"/>
      <c r="AJ37" s="17"/>
      <c r="AK37" s="7">
        <f>AH37-X37</f>
        <v>107530</v>
      </c>
      <c r="AM37" s="18">
        <f>AH37/X37-1</f>
        <v>7.9996726628874137E-2</v>
      </c>
    </row>
    <row r="38" spans="1:39" x14ac:dyDescent="0.25">
      <c r="C38" s="13">
        <v>0.7</v>
      </c>
      <c r="E38" s="1">
        <f>C38*($A$36*730)</f>
        <v>25550000</v>
      </c>
      <c r="F38" s="1"/>
      <c r="G38" s="29">
        <f t="shared" si="0"/>
        <v>1623332</v>
      </c>
      <c r="H38" s="29">
        <f>+AH38</f>
        <v>1730862</v>
      </c>
      <c r="I38" s="29">
        <f>+H38-G38</f>
        <v>107530</v>
      </c>
      <c r="J38" s="55">
        <f>ROUND(+I38/G38,4)</f>
        <v>6.6199999999999995E-2</v>
      </c>
      <c r="K38" s="29">
        <f>ROUND($T$10*$E38,2)</f>
        <v>-96998.81</v>
      </c>
      <c r="L38" s="29">
        <f>ROUND($T$11*$E38,2)</f>
        <v>3583.42</v>
      </c>
      <c r="M38" s="29">
        <f>ROUND($T$12*$E38,2)</f>
        <v>111039.86</v>
      </c>
      <c r="N38" s="29">
        <f>+G38+K38+L38+M38</f>
        <v>1640956.47</v>
      </c>
      <c r="O38" s="29">
        <f>+H38+K38+L38+M38</f>
        <v>1748486.47</v>
      </c>
      <c r="P38" s="55">
        <f>(O38-N38)/N38</f>
        <v>6.5528855862946808E-2</v>
      </c>
      <c r="Q38" s="1"/>
      <c r="S38" s="7">
        <f>$S$20</f>
        <v>300</v>
      </c>
      <c r="T38" s="20">
        <f>$T$17*E38</f>
        <v>977032.00000000012</v>
      </c>
      <c r="U38" s="20">
        <f>$U$17*$A$36</f>
        <v>263000</v>
      </c>
      <c r="V38" s="20">
        <f>$V$17*$A$36</f>
        <v>195500</v>
      </c>
      <c r="W38" s="20">
        <f>$W$17*$A$36</f>
        <v>187500</v>
      </c>
      <c r="X38" s="25">
        <f>S38+T38+U38+V38+W38</f>
        <v>1623332</v>
      </c>
      <c r="Y38" s="25"/>
      <c r="Z38" s="20"/>
      <c r="AC38" s="7">
        <f>$AC$20</f>
        <v>330</v>
      </c>
      <c r="AD38" s="20">
        <f>$AD$17*E38</f>
        <v>977032.00000000012</v>
      </c>
      <c r="AE38" s="20">
        <f>$A$36*$AE$17</f>
        <v>343000</v>
      </c>
      <c r="AF38" s="20">
        <f>$A$36*$AF$17</f>
        <v>251500</v>
      </c>
      <c r="AG38" s="20">
        <f>$A$36*$AG$17</f>
        <v>159000</v>
      </c>
      <c r="AH38" s="25">
        <f>AC38+AD38+AE38+AF38+AG38</f>
        <v>1730862</v>
      </c>
      <c r="AI38" s="20"/>
      <c r="AJ38" s="17"/>
      <c r="AK38" s="7">
        <f>AH38-X38</f>
        <v>107530</v>
      </c>
      <c r="AM38" s="18">
        <f>AH38/X38-1</f>
        <v>6.6240300813388719E-2</v>
      </c>
    </row>
    <row r="39" spans="1:39" x14ac:dyDescent="0.25">
      <c r="T39" s="20"/>
      <c r="U39" s="20"/>
      <c r="V39" s="20"/>
      <c r="W39" s="20"/>
      <c r="X39" s="20"/>
      <c r="Y39" s="20"/>
    </row>
    <row r="40" spans="1:39" x14ac:dyDescent="0.25">
      <c r="A40" s="17" t="s">
        <v>336</v>
      </c>
      <c r="T40" s="20"/>
      <c r="U40" s="20"/>
      <c r="V40" s="20"/>
      <c r="W40" s="20"/>
      <c r="X40" s="20"/>
      <c r="Y40" s="20"/>
    </row>
    <row r="41" spans="1:39" x14ac:dyDescent="0.25">
      <c r="A41" s="208" t="str">
        <f>("Average usage = "&amp;TEXT(INPUT!I19*1,"000,000")&amp;" kWh per month")</f>
        <v>Average usage = 1,460,258 kWh per month</v>
      </c>
      <c r="T41" s="20"/>
      <c r="U41" s="20"/>
      <c r="V41" s="20"/>
      <c r="W41" s="20"/>
      <c r="X41" s="20"/>
      <c r="Y41" s="20"/>
    </row>
    <row r="42" spans="1:39" x14ac:dyDescent="0.25">
      <c r="A42" s="210" t="s">
        <v>337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1"/>
      <c r="AF42" s="20"/>
      <c r="AG42" s="20"/>
      <c r="AH42" s="20"/>
      <c r="AI42" s="20"/>
      <c r="AJ42" s="20"/>
      <c r="AK42" s="6"/>
    </row>
    <row r="43" spans="1:39" x14ac:dyDescent="0.25">
      <c r="A43" s="211" t="s">
        <v>97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5">
      <c r="A44" s="211" t="str">
        <f>+'Rate Case Constants'!C26</f>
        <v>Calculations may vary from other schedules due to rounding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5">
      <c r="A45" s="59"/>
      <c r="AE45" s="9"/>
    </row>
    <row r="46" spans="1:39" x14ac:dyDescent="0.25">
      <c r="S46" s="3"/>
      <c r="W46" s="3"/>
      <c r="AA46" s="3"/>
      <c r="AE46" s="9"/>
    </row>
    <row r="47" spans="1:39" x14ac:dyDescent="0.25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5:31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5:31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5:31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5:31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5:31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5:31" ht="6.75" customHeight="1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5:31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5:31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5:31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5:31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5:31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5:31" ht="6.75" customHeight="1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5:31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5:31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5:31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5:31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5">
      <c r="AH68" s="4"/>
      <c r="AI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8"/>
  <sheetViews>
    <sheetView view="pageBreakPreview" topLeftCell="A28" zoomScaleNormal="100" zoomScaleSheetLayoutView="100" workbookViewId="0">
      <selection activeCell="A3" sqref="A3:P3"/>
    </sheetView>
  </sheetViews>
  <sheetFormatPr defaultRowHeight="13.2" x14ac:dyDescent="0.25"/>
  <cols>
    <col min="1" max="1" width="7.109375" customWidth="1"/>
    <col min="2" max="2" width="3.6640625" customWidth="1"/>
    <col min="3" max="3" width="6.5546875" customWidth="1"/>
    <col min="4" max="4" width="1.88671875" customWidth="1"/>
    <col min="5" max="5" width="10.88671875" bestFit="1" customWidth="1"/>
    <col min="6" max="6" width="2" customWidth="1"/>
    <col min="7" max="7" width="15.109375" bestFit="1" customWidth="1"/>
    <col min="8" max="8" width="14.6640625" customWidth="1"/>
    <col min="9" max="9" width="13.44140625" bestFit="1" customWidth="1"/>
    <col min="10" max="10" width="9.88671875" customWidth="1"/>
    <col min="11" max="11" width="13.6640625" customWidth="1"/>
    <col min="12" max="12" width="12.33203125" bestFit="1" customWidth="1"/>
    <col min="13" max="13" width="14.5546875" customWidth="1"/>
    <col min="14" max="15" width="15.109375" bestFit="1" customWidth="1"/>
    <col min="16" max="18" width="9.88671875" customWidth="1"/>
    <col min="19" max="19" width="10" customWidth="1"/>
    <col min="20" max="20" width="14.44140625" bestFit="1" customWidth="1"/>
    <col min="21" max="21" width="12.6640625" bestFit="1" customWidth="1"/>
    <col min="22" max="22" width="13.88671875" bestFit="1" customWidth="1"/>
    <col min="23" max="23" width="12.6640625" bestFit="1" customWidth="1"/>
    <col min="24" max="24" width="14.44140625" bestFit="1" customWidth="1"/>
    <col min="25" max="25" width="3.109375" customWidth="1"/>
    <col min="26" max="26" width="14.44140625" customWidth="1"/>
    <col min="27" max="27" width="3.88671875" customWidth="1"/>
    <col min="28" max="28" width="2.44140625" customWidth="1"/>
    <col min="29" max="29" width="11.6640625" customWidth="1"/>
    <col min="30" max="30" width="14.44140625" bestFit="1" customWidth="1"/>
    <col min="31" max="31" width="12.6640625" bestFit="1" customWidth="1"/>
    <col min="32" max="32" width="13.88671875" bestFit="1" customWidth="1"/>
    <col min="33" max="33" width="12.6640625" bestFit="1" customWidth="1"/>
    <col min="34" max="35" width="14.44140625" bestFit="1" customWidth="1"/>
    <col min="36" max="36" width="11.109375" customWidth="1"/>
    <col min="37" max="37" width="11.44140625" bestFit="1" customWidth="1"/>
    <col min="38" max="38" width="10.6640625" customWidth="1"/>
    <col min="39" max="39" width="11.44140625" bestFit="1" customWidth="1"/>
  </cols>
  <sheetData>
    <row r="1" spans="1:39" x14ac:dyDescent="0.25">
      <c r="A1" s="447" t="str">
        <f>+'Rate Case Constants'!C9</f>
        <v>LOUISVILLE GAS AND ELECTRIC COMPANY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</row>
    <row r="2" spans="1:39" x14ac:dyDescent="0.25">
      <c r="A2" s="447" t="str">
        <f>+'Rate Case Constants'!C10</f>
        <v>CASE NO. 2016-00371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</row>
    <row r="3" spans="1:39" x14ac:dyDescent="0.25">
      <c r="A3" s="449" t="str">
        <f>+'Rate Case Constants'!C24</f>
        <v>Typical Electric Bill Comparison under Present &amp; Proposed Rates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</row>
    <row r="4" spans="1:39" x14ac:dyDescent="0.25">
      <c r="A4" s="447" t="str">
        <f>+'Rate Case Constants'!C21</f>
        <v>FORECAST PERIOD FOR THE 12 MONTHS ENDED JUNE 30, 2018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</row>
    <row r="5" spans="1:3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3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39" x14ac:dyDescent="0.25">
      <c r="A7" s="2" t="str">
        <f>+'Rate Case Constants'!C33</f>
        <v>DATA: ____BASE PERIOD__X___FORECASTED PERIOD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28" t="str">
        <f>+'Rate Case Constants'!C25</f>
        <v>SCHEDULE N (Electric)</v>
      </c>
    </row>
    <row r="8" spans="1:39" x14ac:dyDescent="0.25">
      <c r="A8" s="2" t="str">
        <f>+'Rate Case Constants'!C29</f>
        <v>TYPE OF FILING: __X__ ORIGINAL  _____ UPDATED  _____ REVISED</v>
      </c>
      <c r="B8" s="2"/>
      <c r="C8" s="2"/>
      <c r="D8" s="2"/>
      <c r="E8" s="2"/>
      <c r="F8" s="2"/>
      <c r="G8" s="2"/>
      <c r="H8" s="2"/>
      <c r="I8" s="2"/>
      <c r="J8" s="2"/>
      <c r="K8" s="2"/>
      <c r="L8" s="329"/>
      <c r="M8" s="2"/>
      <c r="N8" s="2"/>
      <c r="O8" s="2"/>
      <c r="P8" s="329" t="str">
        <f>+'Rate Case Constants'!L17</f>
        <v>PAGE 10 of 21</v>
      </c>
    </row>
    <row r="9" spans="1:39" x14ac:dyDescent="0.25">
      <c r="A9" s="2" t="str">
        <f>+'Rate Case Constants'!C34</f>
        <v>WORKPAPER REFERENCE NO(S):________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29" t="str">
        <f>+'Rate Case Constants'!C36</f>
        <v>WITNESS:   C. M. GARRETT</v>
      </c>
    </row>
    <row r="10" spans="1:39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S10" s="84" t="s">
        <v>71</v>
      </c>
      <c r="T10">
        <f>+INPUT!G56</f>
        <v>-3.8097847776225112E-3</v>
      </c>
    </row>
    <row r="11" spans="1:39" x14ac:dyDescent="0.25">
      <c r="A11" s="351" t="s">
        <v>301</v>
      </c>
      <c r="S11" s="84" t="s">
        <v>73</v>
      </c>
      <c r="T11">
        <f>+INPUT!H56</f>
        <v>0</v>
      </c>
      <c r="U11" s="47" t="s">
        <v>291</v>
      </c>
    </row>
    <row r="12" spans="1:39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4" t="s">
        <v>72</v>
      </c>
      <c r="T12">
        <f>+INPUT!I56</f>
        <v>4.2733361015857355E-3</v>
      </c>
      <c r="AC12" s="59" t="s">
        <v>97</v>
      </c>
    </row>
    <row r="13" spans="1:39" x14ac:dyDescent="0.25">
      <c r="A13" s="45"/>
      <c r="G13" s="202" t="s">
        <v>326</v>
      </c>
      <c r="H13" s="203" t="s">
        <v>327</v>
      </c>
      <c r="I13" s="203" t="s">
        <v>328</v>
      </c>
      <c r="J13" s="202" t="s">
        <v>329</v>
      </c>
      <c r="K13" s="202" t="s">
        <v>330</v>
      </c>
      <c r="L13" s="202" t="s">
        <v>331</v>
      </c>
      <c r="M13" s="203" t="s">
        <v>332</v>
      </c>
      <c r="N13" s="202" t="s">
        <v>333</v>
      </c>
      <c r="O13" s="202" t="s">
        <v>334</v>
      </c>
      <c r="P13" s="202" t="s">
        <v>335</v>
      </c>
      <c r="U13" s="3" t="s">
        <v>1</v>
      </c>
      <c r="V13" s="3" t="s">
        <v>1</v>
      </c>
      <c r="W13" s="3" t="s">
        <v>1</v>
      </c>
      <c r="Z13" s="3" t="s">
        <v>72</v>
      </c>
      <c r="AD13" s="20"/>
      <c r="AE13" s="21" t="s">
        <v>9</v>
      </c>
      <c r="AF13" s="21" t="s">
        <v>9</v>
      </c>
      <c r="AG13" s="21" t="s">
        <v>9</v>
      </c>
      <c r="AH13" s="20"/>
      <c r="AI13" s="3" t="s">
        <v>72</v>
      </c>
    </row>
    <row r="14" spans="1:39" x14ac:dyDescent="0.25">
      <c r="G14" s="313" t="s">
        <v>366</v>
      </c>
      <c r="H14" s="313" t="s">
        <v>366</v>
      </c>
      <c r="I14" s="206"/>
      <c r="J14" s="206"/>
      <c r="K14" s="206"/>
      <c r="L14" s="206"/>
      <c r="M14" s="206"/>
      <c r="N14" s="202" t="s">
        <v>5</v>
      </c>
      <c r="O14" s="202" t="s">
        <v>5</v>
      </c>
      <c r="P14" s="206"/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1" t="s">
        <v>34</v>
      </c>
      <c r="AF14" s="21" t="s">
        <v>30</v>
      </c>
      <c r="AG14" s="21" t="s">
        <v>22</v>
      </c>
      <c r="AH14" s="21" t="s">
        <v>9</v>
      </c>
      <c r="AI14" s="3" t="s">
        <v>1</v>
      </c>
      <c r="AK14" s="3"/>
    </row>
    <row r="15" spans="1:39" x14ac:dyDescent="0.25">
      <c r="C15" s="3" t="s">
        <v>23</v>
      </c>
      <c r="E15" s="3"/>
      <c r="F15" s="3"/>
      <c r="G15" s="202" t="s">
        <v>1</v>
      </c>
      <c r="H15" s="202" t="s">
        <v>74</v>
      </c>
      <c r="I15" s="202"/>
      <c r="J15" s="202"/>
      <c r="K15" s="436" t="s">
        <v>130</v>
      </c>
      <c r="L15" s="436"/>
      <c r="M15" s="437"/>
      <c r="N15" s="202" t="s">
        <v>1</v>
      </c>
      <c r="O15" s="202" t="s">
        <v>74</v>
      </c>
      <c r="P15" s="202"/>
      <c r="Q15" s="3"/>
      <c r="R15" s="3"/>
      <c r="S15" s="3" t="s">
        <v>2</v>
      </c>
      <c r="T15" s="3" t="s">
        <v>58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76</v>
      </c>
      <c r="AC15" s="26" t="s">
        <v>57</v>
      </c>
      <c r="AD15" s="3" t="s">
        <v>58</v>
      </c>
      <c r="AE15" s="21" t="s">
        <v>25</v>
      </c>
      <c r="AF15" s="21" t="s">
        <v>25</v>
      </c>
      <c r="AG15" s="21" t="s">
        <v>18</v>
      </c>
      <c r="AH15" s="21" t="s">
        <v>5</v>
      </c>
      <c r="AI15" s="3" t="s">
        <v>76</v>
      </c>
      <c r="AK15" s="3" t="s">
        <v>6</v>
      </c>
      <c r="AL15" s="3"/>
      <c r="AM15" s="3" t="s">
        <v>8</v>
      </c>
    </row>
    <row r="16" spans="1:39" x14ac:dyDescent="0.25">
      <c r="A16" s="3" t="s">
        <v>26</v>
      </c>
      <c r="C16" s="3" t="s">
        <v>24</v>
      </c>
      <c r="E16" s="3" t="s">
        <v>0</v>
      </c>
      <c r="F16" s="3"/>
      <c r="G16" s="202" t="s">
        <v>4</v>
      </c>
      <c r="H16" s="202" t="s">
        <v>4</v>
      </c>
      <c r="I16" s="202" t="s">
        <v>75</v>
      </c>
      <c r="J16" s="202" t="s">
        <v>75</v>
      </c>
      <c r="K16" s="202" t="s">
        <v>421</v>
      </c>
      <c r="L16" s="202" t="s">
        <v>73</v>
      </c>
      <c r="M16" s="202" t="s">
        <v>72</v>
      </c>
      <c r="N16" s="202" t="s">
        <v>4</v>
      </c>
      <c r="O16" s="202" t="s">
        <v>4</v>
      </c>
      <c r="P16" s="202" t="s">
        <v>75</v>
      </c>
      <c r="Q16" s="3"/>
      <c r="R16" s="3"/>
      <c r="S16" s="26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6" t="s">
        <v>3</v>
      </c>
      <c r="AD16" s="3" t="s">
        <v>3</v>
      </c>
      <c r="AE16" s="21" t="s">
        <v>3</v>
      </c>
      <c r="AF16" s="21" t="s">
        <v>3</v>
      </c>
      <c r="AG16" s="21" t="s">
        <v>3</v>
      </c>
      <c r="AH16" s="21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5">
      <c r="A17" s="3"/>
      <c r="C17" s="3"/>
      <c r="E17" s="3"/>
      <c r="F17" s="3"/>
      <c r="G17" s="202"/>
      <c r="H17" s="202"/>
      <c r="I17" s="202" t="s">
        <v>69</v>
      </c>
      <c r="J17" s="203" t="s">
        <v>70</v>
      </c>
      <c r="K17" s="204"/>
      <c r="L17" s="204"/>
      <c r="M17" s="205"/>
      <c r="N17" s="202" t="s">
        <v>69</v>
      </c>
      <c r="O17" s="202" t="s">
        <v>69</v>
      </c>
      <c r="P17" s="203" t="s">
        <v>70</v>
      </c>
      <c r="Q17" s="3"/>
      <c r="R17" s="3"/>
      <c r="S17" s="26"/>
      <c r="T17" s="43">
        <f>+INPUT!$K$6</f>
        <v>3.7109999999999997E-2</v>
      </c>
      <c r="U17" s="44">
        <f>+INPUT!$K$14</f>
        <v>4.8499999999999996</v>
      </c>
      <c r="V17" s="44">
        <f>+INPUT!$K$15</f>
        <v>3.3</v>
      </c>
      <c r="W17" s="44">
        <f>+INPUT!$K$16</f>
        <v>3.05</v>
      </c>
      <c r="X17" s="3"/>
      <c r="Y17" s="3"/>
      <c r="Z17" s="43"/>
      <c r="AC17" s="26"/>
      <c r="AD17" s="43">
        <f>+INPUT!$K$27</f>
        <v>3.7109999999999997E-2</v>
      </c>
      <c r="AE17" s="44">
        <f>+INPUT!$K$35</f>
        <v>6.98</v>
      </c>
      <c r="AF17" s="44">
        <f>+INPUT!$K$36</f>
        <v>5.12</v>
      </c>
      <c r="AG17" s="44">
        <f>+INPUT!$K$37</f>
        <v>1.52</v>
      </c>
      <c r="AH17" s="21"/>
      <c r="AI17" s="43"/>
      <c r="AK17" s="3"/>
      <c r="AL17" s="3"/>
      <c r="AM17" s="3"/>
    </row>
    <row r="18" spans="1:39" x14ac:dyDescent="0.25">
      <c r="A18" s="16"/>
      <c r="B18" s="16"/>
      <c r="C18" s="81"/>
      <c r="D18" s="16"/>
      <c r="E18" s="81"/>
      <c r="F18" s="81"/>
      <c r="G18" s="325"/>
      <c r="H18" s="325"/>
      <c r="I18" s="325" t="str">
        <f>("[ "&amp;H13&amp;" - "&amp;G13&amp;" ]")</f>
        <v>[ B - A ]</v>
      </c>
      <c r="J18" s="325" t="str">
        <f>("[ "&amp;I13&amp;" / "&amp;G13&amp;" ]")</f>
        <v>[ C / A ]</v>
      </c>
      <c r="K18" s="353"/>
      <c r="L18" s="353"/>
      <c r="M18" s="353"/>
      <c r="N18" s="325" t="str">
        <f>("["&amp;G13&amp;"+"&amp;$K$13&amp;"+"&amp;$L$13&amp;"+"&amp;$M$13&amp;"]")</f>
        <v>[A+E+F+G]</v>
      </c>
      <c r="O18" s="325" t="str">
        <f>("["&amp;H13&amp;"+"&amp;$K$13&amp;"+"&amp;$L$13&amp;"+"&amp;$M$13&amp;"]")</f>
        <v>[B+E+F+G]</v>
      </c>
      <c r="P18" s="325" t="str">
        <f>("[("&amp;O13&amp;" - "&amp;N13&amp;")/"&amp;N13&amp;"]")</f>
        <v>[(I - H)/H]</v>
      </c>
      <c r="Q18" s="3"/>
      <c r="R18" s="3"/>
      <c r="T18" s="3" t="s">
        <v>14</v>
      </c>
      <c r="U18" s="3" t="s">
        <v>60</v>
      </c>
      <c r="V18" s="3" t="s">
        <v>60</v>
      </c>
      <c r="W18" s="3" t="s">
        <v>60</v>
      </c>
      <c r="X18" s="3"/>
      <c r="Y18" s="3"/>
      <c r="Z18" s="3" t="s">
        <v>14</v>
      </c>
      <c r="AC18" s="26"/>
      <c r="AD18" s="3" t="s">
        <v>14</v>
      </c>
      <c r="AE18" s="3" t="s">
        <v>60</v>
      </c>
      <c r="AF18" s="3" t="s">
        <v>60</v>
      </c>
      <c r="AG18" s="3" t="s">
        <v>60</v>
      </c>
      <c r="AH18" s="21"/>
      <c r="AI18" s="3" t="s">
        <v>14</v>
      </c>
      <c r="AK18" s="3"/>
      <c r="AL18" s="3"/>
      <c r="AM18" s="3"/>
    </row>
    <row r="19" spans="1:39" x14ac:dyDescent="0.25">
      <c r="C19" s="3"/>
      <c r="E19" s="3"/>
      <c r="F19" s="3"/>
      <c r="G19" s="3"/>
      <c r="H19" s="3"/>
      <c r="I19" s="202"/>
      <c r="J19" s="202"/>
      <c r="K19" s="3"/>
      <c r="L19" s="3"/>
      <c r="M19" s="3"/>
      <c r="N19" s="202"/>
      <c r="O19" s="3"/>
      <c r="P19" s="202"/>
      <c r="Q19" s="3"/>
      <c r="R19" s="3"/>
      <c r="U19" s="3"/>
      <c r="V19" s="3"/>
      <c r="W19" s="3"/>
      <c r="X19" s="3"/>
      <c r="Y19" s="3"/>
      <c r="AC19" s="26"/>
      <c r="AD19" s="3"/>
      <c r="AE19" s="21"/>
      <c r="AF19" s="21"/>
      <c r="AG19" s="21"/>
      <c r="AH19" s="21"/>
      <c r="AK19" s="3"/>
      <c r="AL19" s="3"/>
      <c r="AM19" s="3"/>
    </row>
    <row r="20" spans="1:39" x14ac:dyDescent="0.25">
      <c r="A20" s="1">
        <v>1000</v>
      </c>
      <c r="B20" s="1"/>
      <c r="C20" s="13">
        <v>0.3</v>
      </c>
      <c r="E20" s="1">
        <f>C20*($A$20*730)</f>
        <v>219000</v>
      </c>
      <c r="F20" s="1"/>
      <c r="G20" s="29">
        <f>+X20</f>
        <v>20327.09</v>
      </c>
      <c r="H20" s="29">
        <f>+AH20</f>
        <v>23147.09</v>
      </c>
      <c r="I20" s="29">
        <f>+H20-G20</f>
        <v>2820</v>
      </c>
      <c r="J20" s="55">
        <f>ROUND(+I20/G20,4)</f>
        <v>0.13869999999999999</v>
      </c>
      <c r="K20" s="29">
        <f>ROUND($T$10*$E20,2)</f>
        <v>-834.34</v>
      </c>
      <c r="L20" s="29">
        <f>ROUND($T$11*$E20,2)</f>
        <v>0</v>
      </c>
      <c r="M20" s="29">
        <f>ROUND($T$12*$E20,2)</f>
        <v>935.86</v>
      </c>
      <c r="N20" s="29">
        <f>+G20+K20+L20+M20</f>
        <v>20428.61</v>
      </c>
      <c r="O20" s="29">
        <f>+H20+K20+L20+M20</f>
        <v>23248.61</v>
      </c>
      <c r="P20" s="55">
        <f>(O20-N20)/N20</f>
        <v>0.13804169740378811</v>
      </c>
      <c r="Q20" s="1"/>
      <c r="S20" s="7">
        <f>+INPUT!$K$4</f>
        <v>1000</v>
      </c>
      <c r="T20" s="20">
        <f>$T$17*E20</f>
        <v>8127.0899999999992</v>
      </c>
      <c r="U20" s="20">
        <f>$U$17*$A$20</f>
        <v>4850</v>
      </c>
      <c r="V20" s="20">
        <f>$V$17*$A$20</f>
        <v>3300</v>
      </c>
      <c r="W20" s="20">
        <f>$W$17*$A$20</f>
        <v>3050</v>
      </c>
      <c r="X20" s="25">
        <f>S20+T20+U20+V20+W20</f>
        <v>20327.09</v>
      </c>
      <c r="Y20" s="25"/>
      <c r="Z20" s="20"/>
      <c r="AC20" s="7">
        <f>INPUT!$K$25</f>
        <v>1400</v>
      </c>
      <c r="AD20" s="20">
        <f>$AD$17*E20</f>
        <v>8127.0899999999992</v>
      </c>
      <c r="AE20" s="20">
        <f>$A$20*$AE$17</f>
        <v>6980</v>
      </c>
      <c r="AF20" s="20">
        <f>$A$20*$AF$17</f>
        <v>5120</v>
      </c>
      <c r="AG20" s="20">
        <f>$A$20*$AG$17</f>
        <v>1520</v>
      </c>
      <c r="AH20" s="25">
        <f>AC20+AD20+AE20+AF20+AG20</f>
        <v>23147.09</v>
      </c>
      <c r="AI20" s="20"/>
      <c r="AJ20" s="17"/>
      <c r="AK20" s="7">
        <f>AH20-X20</f>
        <v>2820</v>
      </c>
      <c r="AM20" s="18">
        <f>AH20/X20-1</f>
        <v>0.1387311218674192</v>
      </c>
    </row>
    <row r="21" spans="1:39" x14ac:dyDescent="0.25">
      <c r="C21" s="13">
        <v>0.5</v>
      </c>
      <c r="E21" s="1">
        <f>C21*($A$20*730)</f>
        <v>365000</v>
      </c>
      <c r="F21" s="1"/>
      <c r="G21" s="29">
        <f t="shared" ref="G21:G38" si="0">+X21</f>
        <v>25745.15</v>
      </c>
      <c r="H21" s="29">
        <f>+AH21</f>
        <v>28565.15</v>
      </c>
      <c r="I21" s="29">
        <f>+H21-G21</f>
        <v>2820</v>
      </c>
      <c r="J21" s="55">
        <f>ROUND(+I21/G21,4)</f>
        <v>0.1095</v>
      </c>
      <c r="K21" s="29">
        <f>ROUND($T$10*$E21,2)</f>
        <v>-1390.57</v>
      </c>
      <c r="L21" s="29">
        <f>ROUND($T$11*$E21,2)</f>
        <v>0</v>
      </c>
      <c r="M21" s="29">
        <f>ROUND($T$12*$E21,2)</f>
        <v>1559.77</v>
      </c>
      <c r="N21" s="29">
        <f>+G21+K21+L21+M21</f>
        <v>25914.350000000002</v>
      </c>
      <c r="O21" s="29">
        <f>+H21+K21+L21+M21</f>
        <v>28734.350000000002</v>
      </c>
      <c r="P21" s="55">
        <f>(O21-N21)/N21</f>
        <v>0.10882001670888908</v>
      </c>
      <c r="Q21" s="1"/>
      <c r="S21" s="7">
        <f>$S$20</f>
        <v>1000</v>
      </c>
      <c r="T21" s="20">
        <f>$T$17*E21</f>
        <v>13545.15</v>
      </c>
      <c r="U21" s="20">
        <f>$U$17*$A$20</f>
        <v>4850</v>
      </c>
      <c r="V21" s="20">
        <f>$V$17*$A$20</f>
        <v>3300</v>
      </c>
      <c r="W21" s="20">
        <f>$W$17*$A$20</f>
        <v>3050</v>
      </c>
      <c r="X21" s="25">
        <f>S21+T21+U21+V21+W21</f>
        <v>25745.15</v>
      </c>
      <c r="Y21" s="25"/>
      <c r="Z21" s="20"/>
      <c r="AC21" s="7">
        <f>$AC$20</f>
        <v>1400</v>
      </c>
      <c r="AD21" s="20">
        <f>$AD$17*E21</f>
        <v>13545.15</v>
      </c>
      <c r="AE21" s="20">
        <f>$A$20*$AE$17</f>
        <v>6980</v>
      </c>
      <c r="AF21" s="20">
        <f>$A$20*$AF$17</f>
        <v>5120</v>
      </c>
      <c r="AG21" s="20">
        <f>$A$20*$AG$17</f>
        <v>1520</v>
      </c>
      <c r="AH21" s="25">
        <f>AC21+AD21+AE21+AF21+AG21</f>
        <v>28565.15</v>
      </c>
      <c r="AI21" s="20"/>
      <c r="AJ21" s="17"/>
      <c r="AK21" s="7">
        <f>AH21-X21</f>
        <v>2820</v>
      </c>
      <c r="AM21" s="18">
        <f>AH21/X21-1</f>
        <v>0.10953519400741496</v>
      </c>
    </row>
    <row r="22" spans="1:39" x14ac:dyDescent="0.25">
      <c r="C22" s="13">
        <v>0.7</v>
      </c>
      <c r="E22" s="1">
        <f>C22*($A$20*730)</f>
        <v>510999.99999999994</v>
      </c>
      <c r="F22" s="1"/>
      <c r="G22" s="29">
        <f t="shared" si="0"/>
        <v>31163.209999999995</v>
      </c>
      <c r="H22" s="29">
        <f>+AH22</f>
        <v>33983.209999999992</v>
      </c>
      <c r="I22" s="29">
        <f>+H22-G22</f>
        <v>2819.9999999999964</v>
      </c>
      <c r="J22" s="55">
        <f>ROUND(+I22/G22,4)</f>
        <v>9.0499999999999997E-2</v>
      </c>
      <c r="K22" s="29">
        <f>ROUND($T$10*$E22,2)</f>
        <v>-1946.8</v>
      </c>
      <c r="L22" s="29">
        <f>ROUND($T$11*$E22,2)</f>
        <v>0</v>
      </c>
      <c r="M22" s="29">
        <f>ROUND($T$12*$E22,2)</f>
        <v>2183.67</v>
      </c>
      <c r="N22" s="29">
        <f>+G22+K22+L22+M22</f>
        <v>31400.079999999994</v>
      </c>
      <c r="O22" s="29">
        <f>+H22+K22+L22+M22</f>
        <v>34220.079999999994</v>
      </c>
      <c r="P22" s="55">
        <f>(O22-N22)/N22</f>
        <v>8.9808688385507318E-2</v>
      </c>
      <c r="Q22" s="1"/>
      <c r="S22" s="7">
        <f>$S$20</f>
        <v>1000</v>
      </c>
      <c r="T22" s="20">
        <f>$T$17*E22</f>
        <v>18963.209999999995</v>
      </c>
      <c r="U22" s="20">
        <f>$U$17*$A$20</f>
        <v>4850</v>
      </c>
      <c r="V22" s="20">
        <f>$V$17*$A$20</f>
        <v>3300</v>
      </c>
      <c r="W22" s="20">
        <f>$W$17*$A$20</f>
        <v>3050</v>
      </c>
      <c r="X22" s="25">
        <f>S22+T22+U22+V22+W22</f>
        <v>31163.209999999995</v>
      </c>
      <c r="Y22" s="25"/>
      <c r="Z22" s="20"/>
      <c r="AC22" s="7">
        <f>$AC$20</f>
        <v>1400</v>
      </c>
      <c r="AD22" s="20">
        <f>$AD$17*E22</f>
        <v>18963.209999999995</v>
      </c>
      <c r="AE22" s="20">
        <f>$A$20*$AE$17</f>
        <v>6980</v>
      </c>
      <c r="AF22" s="20">
        <f>$A$20*$AF$17</f>
        <v>5120</v>
      </c>
      <c r="AG22" s="20">
        <f>$A$20*$AG$17</f>
        <v>1520</v>
      </c>
      <c r="AH22" s="25">
        <f>AC22+AD22+AE22+AF22+AG22</f>
        <v>33983.209999999992</v>
      </c>
      <c r="AI22" s="20"/>
      <c r="AJ22" s="17"/>
      <c r="AK22" s="7">
        <f>AH22-X22</f>
        <v>2819.9999999999964</v>
      </c>
      <c r="AM22" s="18">
        <f>AH22/X22-1</f>
        <v>9.049131973246638E-2</v>
      </c>
    </row>
    <row r="23" spans="1:39" x14ac:dyDescent="0.25">
      <c r="C23" s="13"/>
      <c r="E23" s="1"/>
      <c r="F23" s="1"/>
      <c r="G23" s="29"/>
      <c r="H23" s="29"/>
      <c r="J23" s="5"/>
      <c r="K23" s="1"/>
      <c r="L23" s="1"/>
      <c r="M23" s="1"/>
      <c r="P23" s="55"/>
      <c r="Q23" s="1"/>
      <c r="S23" s="7"/>
      <c r="T23" s="20"/>
      <c r="U23" s="20"/>
      <c r="V23" s="20"/>
      <c r="W23" s="20"/>
      <c r="X23" s="25"/>
      <c r="Y23" s="25"/>
      <c r="AC23" s="7"/>
      <c r="AD23" s="20"/>
      <c r="AE23" s="20"/>
      <c r="AF23" s="20"/>
      <c r="AG23" s="20"/>
      <c r="AH23" s="25"/>
      <c r="AJ23" s="17"/>
      <c r="AK23" s="6"/>
      <c r="AM23" s="6"/>
    </row>
    <row r="24" spans="1:39" x14ac:dyDescent="0.25">
      <c r="A24" s="1">
        <v>10000</v>
      </c>
      <c r="B24" s="1"/>
      <c r="C24" s="13">
        <v>0.3</v>
      </c>
      <c r="E24" s="1">
        <f>C24*($A$24*730)</f>
        <v>2190000</v>
      </c>
      <c r="F24" s="1"/>
      <c r="G24" s="29">
        <f t="shared" si="0"/>
        <v>194270.9</v>
      </c>
      <c r="H24" s="29">
        <f>+AH24</f>
        <v>218870.9</v>
      </c>
      <c r="I24" s="29">
        <f>+H24-G24</f>
        <v>24600</v>
      </c>
      <c r="J24" s="55">
        <f>ROUND(+I24/G24,4)</f>
        <v>0.12659999999999999</v>
      </c>
      <c r="K24" s="29">
        <f>ROUND($T$10*$E24,2)</f>
        <v>-8343.43</v>
      </c>
      <c r="L24" s="29">
        <f>ROUND($T$11*$E24,2)</f>
        <v>0</v>
      </c>
      <c r="M24" s="29">
        <f>ROUND($T$12*$E24,2)</f>
        <v>9358.61</v>
      </c>
      <c r="N24" s="29">
        <f>+G24+K24+L24+M24</f>
        <v>195286.08000000002</v>
      </c>
      <c r="O24" s="29">
        <f>+H24+K24+L24+M24</f>
        <v>219886.08000000002</v>
      </c>
      <c r="P24" s="55">
        <f>(O24-N24)/N24</f>
        <v>0.12596903988241251</v>
      </c>
      <c r="Q24" s="1"/>
      <c r="S24" s="7">
        <f>$S$20</f>
        <v>1000</v>
      </c>
      <c r="T24" s="20">
        <f>$T$17*E24</f>
        <v>81270.899999999994</v>
      </c>
      <c r="U24" s="20">
        <f>$U$17*$A$24</f>
        <v>48500</v>
      </c>
      <c r="V24" s="20">
        <f>$V$17*$A$24</f>
        <v>33000</v>
      </c>
      <c r="W24" s="20">
        <f>$W$17*$A$24</f>
        <v>30500</v>
      </c>
      <c r="X24" s="25">
        <f>S24+T24+U24+V24+W24</f>
        <v>194270.9</v>
      </c>
      <c r="Y24" s="25"/>
      <c r="Z24" s="20"/>
      <c r="AC24" s="7">
        <f>$AC$20</f>
        <v>1400</v>
      </c>
      <c r="AD24" s="20">
        <f>$AD$17*E24</f>
        <v>81270.899999999994</v>
      </c>
      <c r="AE24" s="20">
        <f>$A$24*$AE$17</f>
        <v>69800</v>
      </c>
      <c r="AF24" s="20">
        <f>$A$24*$AF$17</f>
        <v>51200</v>
      </c>
      <c r="AG24" s="20">
        <f>$A$24*$AG$17</f>
        <v>15200</v>
      </c>
      <c r="AH24" s="25">
        <f>AC24+AD24+AE24+AF24+AG24</f>
        <v>218870.9</v>
      </c>
      <c r="AI24" s="20"/>
      <c r="AJ24" s="17"/>
      <c r="AK24" s="7">
        <f>AH24-X24</f>
        <v>24600</v>
      </c>
      <c r="AL24" s="10"/>
      <c r="AM24" s="18">
        <f>AH24/X24-1</f>
        <v>0.1266273023906308</v>
      </c>
    </row>
    <row r="25" spans="1:39" x14ac:dyDescent="0.25">
      <c r="C25" s="13">
        <v>0.5</v>
      </c>
      <c r="E25" s="1">
        <f>C25*($A$24*730)</f>
        <v>3650000</v>
      </c>
      <c r="F25" s="1"/>
      <c r="G25" s="29">
        <f t="shared" si="0"/>
        <v>248451.5</v>
      </c>
      <c r="H25" s="29">
        <f>+AH25</f>
        <v>273051.5</v>
      </c>
      <c r="I25" s="29">
        <f>+H25-G25</f>
        <v>24600</v>
      </c>
      <c r="J25" s="55">
        <f>ROUND(+I25/G25,4)</f>
        <v>9.9000000000000005E-2</v>
      </c>
      <c r="K25" s="29">
        <f>ROUND($T$10*$E25,2)</f>
        <v>-13905.71</v>
      </c>
      <c r="L25" s="29">
        <f>ROUND($T$11*$E25,2)</f>
        <v>0</v>
      </c>
      <c r="M25" s="29">
        <f>ROUND($T$12*$E25,2)</f>
        <v>15597.68</v>
      </c>
      <c r="N25" s="29">
        <f>+G25+K25+L25+M25</f>
        <v>250143.47</v>
      </c>
      <c r="O25" s="29">
        <f>+H25+K25+L25+M25</f>
        <v>274743.47000000003</v>
      </c>
      <c r="P25" s="55">
        <f>(O25-N25)/N25</f>
        <v>9.8343562596297354E-2</v>
      </c>
      <c r="Q25" s="1"/>
      <c r="S25" s="7">
        <f>$S$20</f>
        <v>1000</v>
      </c>
      <c r="T25" s="20">
        <f>$T$17*E25</f>
        <v>135451.5</v>
      </c>
      <c r="U25" s="20">
        <f>$U$17*$A$24</f>
        <v>48500</v>
      </c>
      <c r="V25" s="20">
        <f>$V$17*$A$24</f>
        <v>33000</v>
      </c>
      <c r="W25" s="20">
        <f>$W$17*$A$24</f>
        <v>30500</v>
      </c>
      <c r="X25" s="25">
        <f>S25+T25+U25+V25+W25</f>
        <v>248451.5</v>
      </c>
      <c r="Y25" s="25"/>
      <c r="Z25" s="20"/>
      <c r="AC25" s="7">
        <f>$AC$20</f>
        <v>1400</v>
      </c>
      <c r="AD25" s="20">
        <f>$AD$17*E25</f>
        <v>135451.5</v>
      </c>
      <c r="AE25" s="20">
        <f>$A$24*$AE$17</f>
        <v>69800</v>
      </c>
      <c r="AF25" s="20">
        <f>$A$24*$AF$17</f>
        <v>51200</v>
      </c>
      <c r="AG25" s="20">
        <f>$A$24*$AG$17</f>
        <v>15200</v>
      </c>
      <c r="AH25" s="25">
        <f>AC25+AD25+AE25+AF25+AG25</f>
        <v>273051.5</v>
      </c>
      <c r="AI25" s="20"/>
      <c r="AJ25" s="17"/>
      <c r="AK25" s="7">
        <f>AH25-X25</f>
        <v>24600</v>
      </c>
      <c r="AL25" s="10"/>
      <c r="AM25" s="18">
        <f>AH25/X25-1</f>
        <v>9.9013288307778335E-2</v>
      </c>
    </row>
    <row r="26" spans="1:39" x14ac:dyDescent="0.25">
      <c r="C26" s="13">
        <v>0.7</v>
      </c>
      <c r="E26" s="1">
        <f>C26*($A$24*730)</f>
        <v>5110000</v>
      </c>
      <c r="F26" s="1"/>
      <c r="G26" s="29">
        <f t="shared" si="0"/>
        <v>302632.09999999998</v>
      </c>
      <c r="H26" s="29">
        <f>+AH26</f>
        <v>327232.09999999998</v>
      </c>
      <c r="I26" s="29">
        <f>+H26-G26</f>
        <v>24600</v>
      </c>
      <c r="J26" s="55">
        <f>ROUND(+I26/G26,4)</f>
        <v>8.1299999999999997E-2</v>
      </c>
      <c r="K26" s="29">
        <f>ROUND($T$10*$E26,2)</f>
        <v>-19468</v>
      </c>
      <c r="L26" s="29">
        <f>ROUND($T$11*$E26,2)</f>
        <v>0</v>
      </c>
      <c r="M26" s="29">
        <f>ROUND($T$12*$E26,2)</f>
        <v>21836.75</v>
      </c>
      <c r="N26" s="29">
        <f>+G26+K26+L26+M26</f>
        <v>305000.84999999998</v>
      </c>
      <c r="O26" s="29">
        <f>+H26+K26+L26+M26</f>
        <v>329600.84999999998</v>
      </c>
      <c r="P26" s="55">
        <f>(O26-N26)/N26</f>
        <v>8.065551292725906E-2</v>
      </c>
      <c r="Q26" s="1"/>
      <c r="S26" s="7">
        <f>$S$20</f>
        <v>1000</v>
      </c>
      <c r="T26" s="20">
        <f>$T$17*E26</f>
        <v>189632.09999999998</v>
      </c>
      <c r="U26" s="20">
        <f>$U$17*$A$24</f>
        <v>48500</v>
      </c>
      <c r="V26" s="20">
        <f>$V$17*$A$24</f>
        <v>33000</v>
      </c>
      <c r="W26" s="20">
        <f>$W$17*$A$24</f>
        <v>30500</v>
      </c>
      <c r="X26" s="25">
        <f>S26+T26+U26+V26+W26</f>
        <v>302632.09999999998</v>
      </c>
      <c r="Y26" s="25"/>
      <c r="Z26" s="20"/>
      <c r="AC26" s="7">
        <f>$AC$20</f>
        <v>1400</v>
      </c>
      <c r="AD26" s="20">
        <f>$AD$17*E26</f>
        <v>189632.09999999998</v>
      </c>
      <c r="AE26" s="20">
        <f>$A$24*$AE$17</f>
        <v>69800</v>
      </c>
      <c r="AF26" s="20">
        <f>$A$24*$AF$17</f>
        <v>51200</v>
      </c>
      <c r="AG26" s="20">
        <f>$A$24*$AG$17</f>
        <v>15200</v>
      </c>
      <c r="AH26" s="25">
        <f>AC26+AD26+AE26+AF26+AG26</f>
        <v>327232.09999999998</v>
      </c>
      <c r="AI26" s="20"/>
      <c r="AJ26" s="17"/>
      <c r="AK26" s="7">
        <f>AH26-X26</f>
        <v>24600</v>
      </c>
      <c r="AM26" s="18">
        <f>AH26/X26-1</f>
        <v>8.1286816567046172E-2</v>
      </c>
    </row>
    <row r="27" spans="1:39" x14ac:dyDescent="0.25">
      <c r="C27" s="13"/>
      <c r="E27" s="1"/>
      <c r="F27" s="1"/>
      <c r="G27" s="29"/>
      <c r="H27" s="29"/>
      <c r="J27" s="5"/>
      <c r="K27" s="1"/>
      <c r="L27" s="1"/>
      <c r="M27" s="1"/>
      <c r="P27" s="55"/>
      <c r="Q27" s="1"/>
      <c r="S27" s="7"/>
      <c r="T27" s="20"/>
      <c r="U27" s="20"/>
      <c r="V27" s="20"/>
      <c r="W27" s="20"/>
      <c r="X27" s="25"/>
      <c r="Y27" s="25"/>
      <c r="AC27" s="7"/>
      <c r="AD27" s="20"/>
      <c r="AE27" s="20"/>
      <c r="AF27" s="20"/>
      <c r="AG27" s="20"/>
      <c r="AH27" s="25"/>
      <c r="AJ27" s="17"/>
      <c r="AK27" s="6"/>
      <c r="AM27" s="6"/>
    </row>
    <row r="28" spans="1:39" x14ac:dyDescent="0.25">
      <c r="A28" s="1">
        <v>25000</v>
      </c>
      <c r="B28" s="1"/>
      <c r="C28" s="13">
        <v>0.3</v>
      </c>
      <c r="E28" s="1">
        <f>C28*($A$28*730)</f>
        <v>5475000</v>
      </c>
      <c r="F28" s="1"/>
      <c r="G28" s="29">
        <f t="shared" si="0"/>
        <v>484177.24999999994</v>
      </c>
      <c r="H28" s="29">
        <f>+AH28</f>
        <v>545077.25</v>
      </c>
      <c r="I28" s="29">
        <f>+H28-G28</f>
        <v>60900.000000000058</v>
      </c>
      <c r="J28" s="55">
        <f>ROUND(+I28/G28,4)</f>
        <v>0.1258</v>
      </c>
      <c r="K28" s="29">
        <f>ROUND($T$10*$E28,2)</f>
        <v>-20858.57</v>
      </c>
      <c r="L28" s="29">
        <f>ROUND($T$11*$E28,2)</f>
        <v>0</v>
      </c>
      <c r="M28" s="29">
        <f>ROUND($T$12*$E28,2)</f>
        <v>23396.52</v>
      </c>
      <c r="N28" s="29">
        <f>+G28+K28+L28+M28</f>
        <v>486715.19999999995</v>
      </c>
      <c r="O28" s="29">
        <f>+H28+K28+L28+M28</f>
        <v>547615.19999999995</v>
      </c>
      <c r="P28" s="55">
        <f>(O28-N28)/N28</f>
        <v>0.1251245081312439</v>
      </c>
      <c r="Q28" s="1"/>
      <c r="S28" s="7">
        <f>$S$20</f>
        <v>1000</v>
      </c>
      <c r="T28" s="20">
        <f>$T$17*E28</f>
        <v>203177.24999999997</v>
      </c>
      <c r="U28" s="20">
        <f>$U$17*$A$28</f>
        <v>121249.99999999999</v>
      </c>
      <c r="V28" s="20">
        <f>$V$17*$A$28</f>
        <v>82500</v>
      </c>
      <c r="W28" s="20">
        <f>$W$17*$A$28</f>
        <v>76250</v>
      </c>
      <c r="X28" s="25">
        <f>S28+T28+U28+V28+W28</f>
        <v>484177.24999999994</v>
      </c>
      <c r="Y28" s="25"/>
      <c r="Z28" s="20"/>
      <c r="AC28" s="7">
        <f>$AC$20</f>
        <v>1400</v>
      </c>
      <c r="AD28" s="20">
        <f>$AD$17*E28</f>
        <v>203177.24999999997</v>
      </c>
      <c r="AE28" s="20">
        <f>$A$28*$AE$17</f>
        <v>174500</v>
      </c>
      <c r="AF28" s="20">
        <f>$A$28*$AF$17</f>
        <v>128000</v>
      </c>
      <c r="AG28" s="20">
        <f>$A$28*$AG$17</f>
        <v>38000</v>
      </c>
      <c r="AH28" s="25">
        <f>AC28+AD28+AE28+AF28+AG28</f>
        <v>545077.25</v>
      </c>
      <c r="AI28" s="20"/>
      <c r="AJ28" s="17"/>
      <c r="AK28" s="7">
        <f>AH28-X28</f>
        <v>60900.000000000058</v>
      </c>
      <c r="AM28" s="18">
        <f>AH28/X28-1</f>
        <v>0.12578038311382889</v>
      </c>
    </row>
    <row r="29" spans="1:39" x14ac:dyDescent="0.25">
      <c r="C29" s="13">
        <v>0.5</v>
      </c>
      <c r="E29" s="1">
        <f>C29*($A$28*730)</f>
        <v>9125000</v>
      </c>
      <c r="F29" s="1"/>
      <c r="G29" s="29">
        <f t="shared" si="0"/>
        <v>619628.75</v>
      </c>
      <c r="H29" s="29">
        <f>+AH29</f>
        <v>680528.75</v>
      </c>
      <c r="I29" s="29">
        <f>+H29-G29</f>
        <v>60900</v>
      </c>
      <c r="J29" s="55">
        <f>ROUND(+I29/G29,4)</f>
        <v>9.8299999999999998E-2</v>
      </c>
      <c r="K29" s="29">
        <f>ROUND($T$10*$E29,2)</f>
        <v>-34764.29</v>
      </c>
      <c r="L29" s="29">
        <f>ROUND($T$11*$E29,2)</f>
        <v>0</v>
      </c>
      <c r="M29" s="29">
        <f>ROUND($T$12*$E29,2)</f>
        <v>38994.19</v>
      </c>
      <c r="N29" s="29">
        <f>+G29+K29+L29+M29</f>
        <v>623858.64999999991</v>
      </c>
      <c r="O29" s="29">
        <f>+H29+K29+L29+M29</f>
        <v>684758.64999999991</v>
      </c>
      <c r="P29" s="55">
        <f>(O29-N29)/N29</f>
        <v>9.7618266573686219E-2</v>
      </c>
      <c r="Q29" s="1"/>
      <c r="S29" s="7">
        <f>$S$20</f>
        <v>1000</v>
      </c>
      <c r="T29" s="20">
        <f>$T$17*E29</f>
        <v>338628.75</v>
      </c>
      <c r="U29" s="20">
        <f>$U$17*$A$28</f>
        <v>121249.99999999999</v>
      </c>
      <c r="V29" s="20">
        <f>$V$17*$A$28</f>
        <v>82500</v>
      </c>
      <c r="W29" s="20">
        <f>$W$17*$A$28</f>
        <v>76250</v>
      </c>
      <c r="X29" s="25">
        <f>S29+T29+U29+V29+W29</f>
        <v>619628.75</v>
      </c>
      <c r="Y29" s="25"/>
      <c r="Z29" s="20"/>
      <c r="AC29" s="7">
        <f>$AC$20</f>
        <v>1400</v>
      </c>
      <c r="AD29" s="20">
        <f>$AD$17*E29</f>
        <v>338628.75</v>
      </c>
      <c r="AE29" s="20">
        <f>$A$28*$AE$17</f>
        <v>174500</v>
      </c>
      <c r="AF29" s="20">
        <f>$A$28*$AF$17</f>
        <v>128000</v>
      </c>
      <c r="AG29" s="20">
        <f>$A$28*$AG$17</f>
        <v>38000</v>
      </c>
      <c r="AH29" s="25">
        <f>AC29+AD29+AE29+AF29+AG29</f>
        <v>680528.75</v>
      </c>
      <c r="AI29" s="20"/>
      <c r="AJ29" s="17"/>
      <c r="AK29" s="7">
        <f>AH29-X29</f>
        <v>60900</v>
      </c>
      <c r="AM29" s="18">
        <f>AH29/X29-1</f>
        <v>9.8284658353893439E-2</v>
      </c>
    </row>
    <row r="30" spans="1:39" x14ac:dyDescent="0.25">
      <c r="C30" s="13">
        <v>0.7</v>
      </c>
      <c r="E30" s="1">
        <f>C30*($A$28*730)</f>
        <v>12775000</v>
      </c>
      <c r="F30" s="1"/>
      <c r="G30" s="29">
        <f t="shared" si="0"/>
        <v>755080.24999999988</v>
      </c>
      <c r="H30" s="29">
        <f>+AH30</f>
        <v>815980.25</v>
      </c>
      <c r="I30" s="29">
        <f>+H30-G30</f>
        <v>60900.000000000116</v>
      </c>
      <c r="J30" s="55">
        <f>ROUND(+I30/G30,4)</f>
        <v>8.0699999999999994E-2</v>
      </c>
      <c r="K30" s="29">
        <f>ROUND($T$10*$E30,2)</f>
        <v>-48670</v>
      </c>
      <c r="L30" s="29">
        <f>ROUND($T$11*$E30,2)</f>
        <v>0</v>
      </c>
      <c r="M30" s="29">
        <f>ROUND($T$12*$E30,2)</f>
        <v>54591.87</v>
      </c>
      <c r="N30" s="29">
        <f>+G30+K30+L30+M30</f>
        <v>761002.11999999988</v>
      </c>
      <c r="O30" s="29">
        <f>+H30+K30+L30+M30</f>
        <v>821902.12</v>
      </c>
      <c r="P30" s="55">
        <f>(O30-N30)/N30</f>
        <v>8.0026058271690653E-2</v>
      </c>
      <c r="Q30" s="1"/>
      <c r="S30" s="7">
        <f>$S$20</f>
        <v>1000</v>
      </c>
      <c r="T30" s="20">
        <f>$T$17*E30</f>
        <v>474080.24999999994</v>
      </c>
      <c r="U30" s="20">
        <f>$U$17*$A$28</f>
        <v>121249.99999999999</v>
      </c>
      <c r="V30" s="20">
        <f>$V$17*$A$28</f>
        <v>82500</v>
      </c>
      <c r="W30" s="20">
        <f>$W$17*$A$28</f>
        <v>76250</v>
      </c>
      <c r="X30" s="25">
        <f>S30+T30+U30+V30+W30</f>
        <v>755080.24999999988</v>
      </c>
      <c r="Y30" s="25"/>
      <c r="Z30" s="20"/>
      <c r="AC30" s="7">
        <f>$AC$20</f>
        <v>1400</v>
      </c>
      <c r="AD30" s="20">
        <f>$AD$17*E30</f>
        <v>474080.24999999994</v>
      </c>
      <c r="AE30" s="20">
        <f>$A$28*$AE$17</f>
        <v>174500</v>
      </c>
      <c r="AF30" s="20">
        <f>$A$28*$AF$17</f>
        <v>128000</v>
      </c>
      <c r="AG30" s="20">
        <f>$A$28*$AG$17</f>
        <v>38000</v>
      </c>
      <c r="AH30" s="25">
        <f>AC30+AD30+AE30+AF30+AG30</f>
        <v>815980.25</v>
      </c>
      <c r="AI30" s="20"/>
      <c r="AJ30" s="17"/>
      <c r="AK30" s="7">
        <f>AH30-X30</f>
        <v>60900.000000000116</v>
      </c>
      <c r="AM30" s="18">
        <f>AH30/X30-1</f>
        <v>8.0653678863935596E-2</v>
      </c>
    </row>
    <row r="31" spans="1:39" x14ac:dyDescent="0.25">
      <c r="C31" s="13"/>
      <c r="E31" s="1"/>
      <c r="F31" s="1"/>
      <c r="G31" s="29"/>
      <c r="H31" s="29"/>
      <c r="J31" s="5"/>
      <c r="K31" s="1"/>
      <c r="L31" s="1"/>
      <c r="M31" s="1"/>
      <c r="P31" s="55"/>
      <c r="Q31" s="1"/>
      <c r="S31" s="7"/>
      <c r="T31" s="20"/>
      <c r="U31" s="20"/>
      <c r="V31" s="20"/>
      <c r="W31" s="20"/>
      <c r="X31" s="25"/>
      <c r="Y31" s="25"/>
      <c r="AC31" s="7"/>
      <c r="AD31" s="20"/>
      <c r="AE31" s="20"/>
      <c r="AF31" s="20"/>
      <c r="AG31" s="20"/>
      <c r="AH31" s="25"/>
      <c r="AJ31" s="17"/>
      <c r="AK31" s="6"/>
      <c r="AM31" s="6"/>
    </row>
    <row r="32" spans="1:39" x14ac:dyDescent="0.25">
      <c r="A32" s="1">
        <v>50000</v>
      </c>
      <c r="B32" s="1"/>
      <c r="C32" s="13">
        <v>0.3</v>
      </c>
      <c r="E32" s="1">
        <f>C32*($A$32*730)</f>
        <v>10950000</v>
      </c>
      <c r="F32" s="1"/>
      <c r="G32" s="29">
        <f t="shared" si="0"/>
        <v>967354.49999999988</v>
      </c>
      <c r="H32" s="29">
        <f>+AH32</f>
        <v>1088754.5</v>
      </c>
      <c r="I32" s="29">
        <f>+H32-G32</f>
        <v>121400.00000000012</v>
      </c>
      <c r="J32" s="55">
        <f>ROUND(+I32/G32,4)</f>
        <v>0.1255</v>
      </c>
      <c r="K32" s="29">
        <f>ROUND($T$10*$E32,2)</f>
        <v>-41717.14</v>
      </c>
      <c r="L32" s="29">
        <f>ROUND($T$11*$E32,2)</f>
        <v>0</v>
      </c>
      <c r="M32" s="29">
        <f>ROUND($T$12*$E32,2)</f>
        <v>46793.03</v>
      </c>
      <c r="N32" s="29">
        <f>+G32+K32+L32+M32</f>
        <v>972430.3899999999</v>
      </c>
      <c r="O32" s="29">
        <f>+H32+K32+L32+M32</f>
        <v>1093830.3899999999</v>
      </c>
      <c r="P32" s="55">
        <f>(O32-N32)/N32</f>
        <v>0.12484184086431113</v>
      </c>
      <c r="Q32" s="1"/>
      <c r="S32" s="7">
        <f>$S$20</f>
        <v>1000</v>
      </c>
      <c r="T32" s="20">
        <f>$T$17*E32</f>
        <v>406354.49999999994</v>
      </c>
      <c r="U32" s="20">
        <f>$U$17*$A$32</f>
        <v>242499.99999999997</v>
      </c>
      <c r="V32" s="20">
        <f>$V$17*$A$32</f>
        <v>165000</v>
      </c>
      <c r="W32" s="20">
        <f>$W$17*$A$32</f>
        <v>152500</v>
      </c>
      <c r="X32" s="25">
        <f>S32+T32+U32+V32+W32</f>
        <v>967354.49999999988</v>
      </c>
      <c r="Y32" s="25"/>
      <c r="Z32" s="20"/>
      <c r="AC32" s="7">
        <f>$AC$20</f>
        <v>1400</v>
      </c>
      <c r="AD32" s="20">
        <f>$AD$17*E32</f>
        <v>406354.49999999994</v>
      </c>
      <c r="AE32" s="20">
        <f>$A$32*$AE$17</f>
        <v>349000</v>
      </c>
      <c r="AF32" s="20">
        <f>$A$32*$AF$17</f>
        <v>256000</v>
      </c>
      <c r="AG32" s="20">
        <f>$A$32*$AG$17</f>
        <v>76000</v>
      </c>
      <c r="AH32" s="25">
        <f>AC32+AD32+AE32+AF32+AG32</f>
        <v>1088754.5</v>
      </c>
      <c r="AI32" s="20"/>
      <c r="AJ32" s="17"/>
      <c r="AK32" s="7">
        <f>AH32-X32</f>
        <v>121400.00000000012</v>
      </c>
      <c r="AM32" s="18">
        <f>AH32/X32-1</f>
        <v>0.12549690935432678</v>
      </c>
    </row>
    <row r="33" spans="1:39" x14ac:dyDescent="0.25">
      <c r="C33" s="13">
        <v>0.5</v>
      </c>
      <c r="E33" s="1">
        <f>C33*($A$32*730)</f>
        <v>18250000</v>
      </c>
      <c r="F33" s="1"/>
      <c r="G33" s="29">
        <f t="shared" si="0"/>
        <v>1238257.5</v>
      </c>
      <c r="H33" s="29">
        <f>+AH33</f>
        <v>1359657.5</v>
      </c>
      <c r="I33" s="29">
        <f>+H33-G33</f>
        <v>121400</v>
      </c>
      <c r="J33" s="55">
        <f>ROUND(+I33/G33,4)</f>
        <v>9.8000000000000004E-2</v>
      </c>
      <c r="K33" s="29">
        <f>ROUND($T$10*$E33,2)</f>
        <v>-69528.570000000007</v>
      </c>
      <c r="L33" s="29">
        <f>ROUND($T$11*$E33,2)</f>
        <v>0</v>
      </c>
      <c r="M33" s="29">
        <f>ROUND($T$12*$E33,2)</f>
        <v>77988.38</v>
      </c>
      <c r="N33" s="29">
        <f>+G33+K33+L33+M33</f>
        <v>1246717.31</v>
      </c>
      <c r="O33" s="29">
        <f>+H33+K33+L33+M33</f>
        <v>1368117.31</v>
      </c>
      <c r="P33" s="55">
        <f>(O33-N33)/N33</f>
        <v>9.7375723450892002E-2</v>
      </c>
      <c r="Q33" s="1"/>
      <c r="S33" s="7">
        <f>$S$20</f>
        <v>1000</v>
      </c>
      <c r="T33" s="20">
        <f>$T$17*E33</f>
        <v>677257.5</v>
      </c>
      <c r="U33" s="20">
        <f>$U$17*$A$32</f>
        <v>242499.99999999997</v>
      </c>
      <c r="V33" s="20">
        <f>$V$17*$A$32</f>
        <v>165000</v>
      </c>
      <c r="W33" s="20">
        <f>$W$17*$A$32</f>
        <v>152500</v>
      </c>
      <c r="X33" s="25">
        <f>S33+T33+U33+V33+W33</f>
        <v>1238257.5</v>
      </c>
      <c r="Y33" s="25"/>
      <c r="Z33" s="20"/>
      <c r="AC33" s="7">
        <f>$AC$20</f>
        <v>1400</v>
      </c>
      <c r="AD33" s="20">
        <f>$AD$17*E33</f>
        <v>677257.5</v>
      </c>
      <c r="AE33" s="20">
        <f>$A$32*$AE$17</f>
        <v>349000</v>
      </c>
      <c r="AF33" s="20">
        <f>$A$32*$AF$17</f>
        <v>256000</v>
      </c>
      <c r="AG33" s="20">
        <f>$A$32*$AG$17</f>
        <v>76000</v>
      </c>
      <c r="AH33" s="25">
        <f>AC33+AD33+AE33+AF33+AG33</f>
        <v>1359657.5</v>
      </c>
      <c r="AI33" s="20"/>
      <c r="AJ33" s="17"/>
      <c r="AK33" s="7">
        <f>AH33-X33</f>
        <v>121400</v>
      </c>
      <c r="AM33" s="18">
        <f>AH33/X33-1</f>
        <v>9.8040997127011087E-2</v>
      </c>
    </row>
    <row r="34" spans="1:39" x14ac:dyDescent="0.25">
      <c r="C34" s="13">
        <v>0.7</v>
      </c>
      <c r="E34" s="1">
        <f>C34*($A$32*730)</f>
        <v>25550000</v>
      </c>
      <c r="F34" s="1"/>
      <c r="G34" s="29">
        <f t="shared" si="0"/>
        <v>1509160.4999999998</v>
      </c>
      <c r="H34" s="29">
        <f>+AH34</f>
        <v>1630560.5</v>
      </c>
      <c r="I34" s="29">
        <f>+H34-G34</f>
        <v>121400.00000000023</v>
      </c>
      <c r="J34" s="55">
        <f>ROUND(+I34/G34,4)</f>
        <v>8.0399999999999999E-2</v>
      </c>
      <c r="K34" s="29">
        <f>ROUND($T$10*$E34,2)</f>
        <v>-97340</v>
      </c>
      <c r="L34" s="29">
        <f>ROUND($T$11*$E34,2)</f>
        <v>0</v>
      </c>
      <c r="M34" s="29">
        <f>ROUND($T$12*$E34,2)</f>
        <v>109183.74</v>
      </c>
      <c r="N34" s="29">
        <f>+G34+K34+L34+M34</f>
        <v>1521004.2399999998</v>
      </c>
      <c r="O34" s="29">
        <f>+H34+K34+L34+M34</f>
        <v>1642404.24</v>
      </c>
      <c r="P34" s="55">
        <f>(O34-N34)/N34</f>
        <v>7.9815688087759865E-2</v>
      </c>
      <c r="Q34" s="1"/>
      <c r="S34" s="7">
        <f>$S$20</f>
        <v>1000</v>
      </c>
      <c r="T34" s="20">
        <f>$T$17*E34</f>
        <v>948160.49999999988</v>
      </c>
      <c r="U34" s="20">
        <f>$U$17*$A$32</f>
        <v>242499.99999999997</v>
      </c>
      <c r="V34" s="20">
        <f>$V$17*$A$32</f>
        <v>165000</v>
      </c>
      <c r="W34" s="20">
        <f>$W$17*$A$32</f>
        <v>152500</v>
      </c>
      <c r="X34" s="25">
        <f>S34+T34+U34+V34+W34</f>
        <v>1509160.4999999998</v>
      </c>
      <c r="Y34" s="25"/>
      <c r="Z34" s="20"/>
      <c r="AC34" s="7">
        <f>$AC$20</f>
        <v>1400</v>
      </c>
      <c r="AD34" s="20">
        <f>$AD$17*E34</f>
        <v>948160.49999999988</v>
      </c>
      <c r="AE34" s="20">
        <f>$A$32*$AE$17</f>
        <v>349000</v>
      </c>
      <c r="AF34" s="20">
        <f>$A$32*$AF$17</f>
        <v>256000</v>
      </c>
      <c r="AG34" s="20">
        <f>$A$32*$AG$17</f>
        <v>76000</v>
      </c>
      <c r="AH34" s="25">
        <f>AC34+AD34+AE34+AF34+AG34</f>
        <v>1630560.5</v>
      </c>
      <c r="AI34" s="20"/>
      <c r="AJ34" s="17"/>
      <c r="AK34" s="7">
        <f>AH34-X34</f>
        <v>121400.00000000023</v>
      </c>
      <c r="AM34" s="18">
        <f>AH34/X34-1</f>
        <v>8.0442073589919838E-2</v>
      </c>
    </row>
    <row r="35" spans="1:39" x14ac:dyDescent="0.25">
      <c r="C35" s="13"/>
      <c r="E35" s="1"/>
      <c r="F35" s="1"/>
      <c r="G35" s="29"/>
      <c r="H35" s="29"/>
      <c r="J35" s="5"/>
      <c r="K35" s="1"/>
      <c r="L35" s="1"/>
      <c r="M35" s="1"/>
      <c r="P35" s="55"/>
      <c r="Q35" s="1"/>
      <c r="S35" s="7"/>
      <c r="T35" s="20"/>
      <c r="U35" s="20"/>
      <c r="V35" s="20"/>
      <c r="W35" s="20"/>
      <c r="X35" s="25"/>
      <c r="Y35" s="25"/>
      <c r="AC35" s="7"/>
      <c r="AD35" s="20"/>
      <c r="AE35" s="20"/>
      <c r="AF35" s="20"/>
      <c r="AG35" s="20"/>
      <c r="AH35" s="25"/>
      <c r="AJ35" s="17"/>
      <c r="AK35" s="6"/>
      <c r="AM35" s="6"/>
    </row>
    <row r="36" spans="1:39" x14ac:dyDescent="0.25">
      <c r="A36" s="1">
        <v>75000</v>
      </c>
      <c r="B36" s="1"/>
      <c r="C36" s="13">
        <v>0.3</v>
      </c>
      <c r="E36" s="1">
        <f>C36*($A$36*730)</f>
        <v>16425000</v>
      </c>
      <c r="F36" s="1"/>
      <c r="G36" s="29">
        <f t="shared" si="0"/>
        <v>1450531.75</v>
      </c>
      <c r="H36" s="29">
        <f>+AH36</f>
        <v>1632431.75</v>
      </c>
      <c r="I36" s="29">
        <f>+H36-G36</f>
        <v>181900</v>
      </c>
      <c r="J36" s="55">
        <f>ROUND(+I36/G36,4)</f>
        <v>0.12540000000000001</v>
      </c>
      <c r="K36" s="29">
        <f>ROUND($T$10*$E36,2)</f>
        <v>-62575.71</v>
      </c>
      <c r="L36" s="29">
        <f>ROUND($T$11*$E36,2)</f>
        <v>0</v>
      </c>
      <c r="M36" s="29">
        <f>ROUND($T$12*$E36,2)</f>
        <v>70189.55</v>
      </c>
      <c r="N36" s="29">
        <f>+G36+K36+L36+M36</f>
        <v>1458145.59</v>
      </c>
      <c r="O36" s="29">
        <f>+H36+K36+L36+M36</f>
        <v>1640045.59</v>
      </c>
      <c r="P36" s="55">
        <f>(O36-N36)/N36</f>
        <v>0.1247474883492258</v>
      </c>
      <c r="Q36" s="1"/>
      <c r="S36" s="7">
        <f>$S$20</f>
        <v>1000</v>
      </c>
      <c r="T36" s="20">
        <f>$T$17*E36</f>
        <v>609531.75</v>
      </c>
      <c r="U36" s="20">
        <f>$U$17*$A$36</f>
        <v>363750</v>
      </c>
      <c r="V36" s="20">
        <f>$V$17*$A$36</f>
        <v>247500</v>
      </c>
      <c r="W36" s="20">
        <f>$W$17*$A$36</f>
        <v>228750</v>
      </c>
      <c r="X36" s="25">
        <f>S36+T36+U36+V36+W36</f>
        <v>1450531.75</v>
      </c>
      <c r="Y36" s="25"/>
      <c r="Z36" s="20"/>
      <c r="AC36" s="7">
        <f>$AC$20</f>
        <v>1400</v>
      </c>
      <c r="AD36" s="20">
        <f>$AD$17*E36</f>
        <v>609531.75</v>
      </c>
      <c r="AE36" s="20">
        <f>$A$36*$AE$17</f>
        <v>523500.00000000006</v>
      </c>
      <c r="AF36" s="20">
        <f>$A$36*$AF$17</f>
        <v>384000</v>
      </c>
      <c r="AG36" s="20">
        <f>$A$36*$AG$17</f>
        <v>114000</v>
      </c>
      <c r="AH36" s="25">
        <f>AC36+AD36+AE36+AF36+AG36</f>
        <v>1632431.75</v>
      </c>
      <c r="AI36" s="20"/>
      <c r="AJ36" s="17"/>
      <c r="AK36" s="7">
        <f>AH36-X36</f>
        <v>181900</v>
      </c>
      <c r="AM36" s="18">
        <f>AH36/X36-1</f>
        <v>0.12540228781617491</v>
      </c>
    </row>
    <row r="37" spans="1:39" x14ac:dyDescent="0.25">
      <c r="C37" s="13">
        <v>0.5</v>
      </c>
      <c r="E37" s="1">
        <f>C37*($A$36*730)</f>
        <v>27375000</v>
      </c>
      <c r="F37" s="1"/>
      <c r="G37" s="29">
        <f t="shared" si="0"/>
        <v>1856886.25</v>
      </c>
      <c r="H37" s="29">
        <f>+AH37</f>
        <v>2038786.25</v>
      </c>
      <c r="I37" s="29">
        <f>+H37-G37</f>
        <v>181900</v>
      </c>
      <c r="J37" s="55">
        <f>ROUND(+I37/G37,4)</f>
        <v>9.8000000000000004E-2</v>
      </c>
      <c r="K37" s="29">
        <f>ROUND($T$10*$E37,2)</f>
        <v>-104292.86</v>
      </c>
      <c r="L37" s="29">
        <f>ROUND($T$11*$E37,2)</f>
        <v>0</v>
      </c>
      <c r="M37" s="29">
        <f>ROUND($T$12*$E37,2)</f>
        <v>116982.58</v>
      </c>
      <c r="N37" s="29">
        <f>+G37+K37+L37+M37</f>
        <v>1869575.97</v>
      </c>
      <c r="O37" s="29">
        <f>+H37+K37+L37+M37</f>
        <v>2051475.97</v>
      </c>
      <c r="P37" s="55">
        <f>(O37-N37)/N37</f>
        <v>9.7294789256410913E-2</v>
      </c>
      <c r="Q37" s="1"/>
      <c r="S37" s="7">
        <f>$S$20</f>
        <v>1000</v>
      </c>
      <c r="T37" s="20">
        <f>$T$17*E37</f>
        <v>1015886.2499999999</v>
      </c>
      <c r="U37" s="20">
        <f>$U$17*$A$36</f>
        <v>363750</v>
      </c>
      <c r="V37" s="20">
        <f>$V$17*$A$36</f>
        <v>247500</v>
      </c>
      <c r="W37" s="20">
        <f>$W$17*$A$36</f>
        <v>228750</v>
      </c>
      <c r="X37" s="25">
        <f>S37+T37+U37+V37+W37</f>
        <v>1856886.25</v>
      </c>
      <c r="Y37" s="25"/>
      <c r="Z37" s="20"/>
      <c r="AC37" s="7">
        <f>$AC$20</f>
        <v>1400</v>
      </c>
      <c r="AD37" s="20">
        <f>$AD$17*E37</f>
        <v>1015886.2499999999</v>
      </c>
      <c r="AE37" s="20">
        <f>$A$36*$AE$17</f>
        <v>523500.00000000006</v>
      </c>
      <c r="AF37" s="20">
        <f>$A$36*$AF$17</f>
        <v>384000</v>
      </c>
      <c r="AG37" s="20">
        <f>$A$36*$AG$17</f>
        <v>114000</v>
      </c>
      <c r="AH37" s="25">
        <f>AC37+AD37+AE37+AF37+AG37</f>
        <v>2038786.25</v>
      </c>
      <c r="AI37" s="20"/>
      <c r="AJ37" s="17"/>
      <c r="AK37" s="7">
        <f>AH37-X37</f>
        <v>181900</v>
      </c>
      <c r="AM37" s="18">
        <f>AH37/X37-1</f>
        <v>9.7959689237830272E-2</v>
      </c>
    </row>
    <row r="38" spans="1:39" x14ac:dyDescent="0.25">
      <c r="C38" s="13">
        <v>0.7</v>
      </c>
      <c r="E38" s="1">
        <f>C38*($A$36*730)</f>
        <v>38325000</v>
      </c>
      <c r="F38" s="1"/>
      <c r="G38" s="29">
        <f t="shared" si="0"/>
        <v>2263240.75</v>
      </c>
      <c r="H38" s="29">
        <f>+AH38</f>
        <v>2445140.75</v>
      </c>
      <c r="I38" s="29">
        <f>+H38-G38</f>
        <v>181900</v>
      </c>
      <c r="J38" s="55">
        <f>ROUND(+I38/G38,4)</f>
        <v>8.0399999999999999E-2</v>
      </c>
      <c r="K38" s="29">
        <f>ROUND($T$10*$E38,2)</f>
        <v>-146010</v>
      </c>
      <c r="L38" s="29">
        <f>ROUND($T$11*$E38,2)</f>
        <v>0</v>
      </c>
      <c r="M38" s="29">
        <f>ROUND($T$12*$E38,2)</f>
        <v>163775.60999999999</v>
      </c>
      <c r="N38" s="29">
        <f>+G38+K38+L38+M38</f>
        <v>2281006.36</v>
      </c>
      <c r="O38" s="29">
        <f>+H38+K38+L38+M38</f>
        <v>2462906.36</v>
      </c>
      <c r="P38" s="55">
        <f>(O38-N38)/N38</f>
        <v>7.9745503208504862E-2</v>
      </c>
      <c r="Q38" s="1"/>
      <c r="S38" s="7">
        <f>$S$20</f>
        <v>1000</v>
      </c>
      <c r="T38" s="20">
        <f>$T$17*E38</f>
        <v>1422240.75</v>
      </c>
      <c r="U38" s="20">
        <f>$U$17*$A$36</f>
        <v>363750</v>
      </c>
      <c r="V38" s="20">
        <f>$V$17*$A$36</f>
        <v>247500</v>
      </c>
      <c r="W38" s="20">
        <f>$W$17*$A$36</f>
        <v>228750</v>
      </c>
      <c r="X38" s="25">
        <f>S38+T38+U38+V38+W38</f>
        <v>2263240.75</v>
      </c>
      <c r="Y38" s="25"/>
      <c r="Z38" s="20"/>
      <c r="AC38" s="7">
        <f>$AC$20</f>
        <v>1400</v>
      </c>
      <c r="AD38" s="20">
        <f>$AD$17*E38</f>
        <v>1422240.75</v>
      </c>
      <c r="AE38" s="20">
        <f>$A$36*$AE$17</f>
        <v>523500.00000000006</v>
      </c>
      <c r="AF38" s="20">
        <f>$A$36*$AF$17</f>
        <v>384000</v>
      </c>
      <c r="AG38" s="20">
        <f>$A$36*$AG$17</f>
        <v>114000</v>
      </c>
      <c r="AH38" s="25">
        <f>AC38+AD38+AE38+AF38+AG38</f>
        <v>2445140.75</v>
      </c>
      <c r="AI38" s="20"/>
      <c r="AJ38" s="17"/>
      <c r="AK38" s="7">
        <f>AH38-X38</f>
        <v>181900</v>
      </c>
      <c r="AM38" s="18">
        <f>AH38/X38-1</f>
        <v>8.037147616752649E-2</v>
      </c>
    </row>
    <row r="39" spans="1:39" x14ac:dyDescent="0.25">
      <c r="T39" s="20"/>
      <c r="U39" s="20"/>
      <c r="V39" s="20"/>
      <c r="W39" s="20"/>
      <c r="X39" s="20"/>
      <c r="Y39" s="20"/>
    </row>
    <row r="40" spans="1:39" x14ac:dyDescent="0.25">
      <c r="A40" s="17" t="s">
        <v>336</v>
      </c>
      <c r="T40" s="20"/>
      <c r="U40" s="20"/>
      <c r="V40" s="20"/>
      <c r="W40" s="20"/>
      <c r="X40" s="20"/>
      <c r="Y40" s="20"/>
    </row>
    <row r="41" spans="1:39" x14ac:dyDescent="0.25">
      <c r="A41" s="208" t="str">
        <f>("Average usage = "&amp;TEXT(INPUT!K19*1,"0,000")&amp;" kWh per month")</f>
        <v>Average usage = 7,356,472 kWh per month</v>
      </c>
      <c r="T41" s="20"/>
      <c r="U41" s="20"/>
      <c r="V41" s="20"/>
      <c r="W41" s="20"/>
      <c r="X41" s="20"/>
      <c r="Y41" s="20"/>
    </row>
    <row r="42" spans="1:39" x14ac:dyDescent="0.25">
      <c r="A42" s="210" t="s">
        <v>337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1"/>
      <c r="AF42" s="20"/>
      <c r="AG42" s="20"/>
      <c r="AH42" s="20"/>
      <c r="AI42" s="20"/>
      <c r="AJ42" s="20"/>
      <c r="AK42" s="6"/>
    </row>
    <row r="43" spans="1:39" x14ac:dyDescent="0.25">
      <c r="A43" s="211" t="s">
        <v>97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5">
      <c r="A44" s="213" t="s">
        <v>131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5">
      <c r="A45" s="213" t="str">
        <f>+'Rate Case Constants'!C26</f>
        <v>Calculations may vary from other schedules due to rounding</v>
      </c>
      <c r="AE45" s="9"/>
    </row>
    <row r="46" spans="1:39" x14ac:dyDescent="0.25">
      <c r="S46" s="3"/>
      <c r="W46" s="3"/>
      <c r="AA46" s="3"/>
      <c r="AE46" s="9"/>
    </row>
    <row r="47" spans="1:39" x14ac:dyDescent="0.25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5:31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5:31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5:31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5:31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5:31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5:31" ht="6.75" customHeight="1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5:31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5:31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5:31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5:31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5:31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5:31" ht="6.75" customHeight="1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5:31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5:31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5:31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5:31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5">
      <c r="AH68" s="4"/>
      <c r="AI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8"/>
  <sheetViews>
    <sheetView view="pageBreakPreview" zoomScaleNormal="100" zoomScaleSheetLayoutView="100" workbookViewId="0">
      <selection activeCell="E44" sqref="E44"/>
    </sheetView>
  </sheetViews>
  <sheetFormatPr defaultColWidth="9.109375" defaultRowHeight="13.2" x14ac:dyDescent="0.25"/>
  <cols>
    <col min="1" max="1" width="10.44140625" style="17" customWidth="1"/>
    <col min="2" max="2" width="3.6640625" style="17" customWidth="1"/>
    <col min="3" max="3" width="6.5546875" style="17" customWidth="1"/>
    <col min="4" max="4" width="1.88671875" style="17" customWidth="1"/>
    <col min="5" max="5" width="12" style="17" bestFit="1" customWidth="1"/>
    <col min="6" max="6" width="2" style="17" customWidth="1"/>
    <col min="7" max="7" width="15.109375" style="17" bestFit="1" customWidth="1"/>
    <col min="8" max="8" width="14.6640625" style="17" customWidth="1"/>
    <col min="9" max="9" width="12.33203125" style="17" bestFit="1" customWidth="1"/>
    <col min="10" max="10" width="9.88671875" style="17" customWidth="1"/>
    <col min="11" max="12" width="13.44140625" style="17" bestFit="1" customWidth="1"/>
    <col min="13" max="13" width="15.109375" style="17" customWidth="1"/>
    <col min="14" max="15" width="15.109375" style="17" bestFit="1" customWidth="1"/>
    <col min="16" max="18" width="9.88671875" style="17" customWidth="1"/>
    <col min="19" max="19" width="10" style="17" customWidth="1"/>
    <col min="20" max="20" width="14.44140625" style="17" bestFit="1" customWidth="1"/>
    <col min="21" max="21" width="12.6640625" style="17" bestFit="1" customWidth="1"/>
    <col min="22" max="22" width="13.88671875" style="17" bestFit="1" customWidth="1"/>
    <col min="23" max="23" width="12.6640625" style="17" bestFit="1" customWidth="1"/>
    <col min="24" max="24" width="14.44140625" style="17" bestFit="1" customWidth="1"/>
    <col min="25" max="25" width="3.109375" style="17" customWidth="1"/>
    <col min="26" max="26" width="14.44140625" style="17" customWidth="1"/>
    <col min="27" max="27" width="3.88671875" style="17" customWidth="1"/>
    <col min="28" max="28" width="2.44140625" style="17" customWidth="1"/>
    <col min="29" max="30" width="14.44140625" style="17" bestFit="1" customWidth="1"/>
    <col min="31" max="31" width="12.6640625" style="17" bestFit="1" customWidth="1"/>
    <col min="32" max="32" width="13.88671875" style="17" bestFit="1" customWidth="1"/>
    <col min="33" max="33" width="12.6640625" style="17" bestFit="1" customWidth="1"/>
    <col min="34" max="35" width="14.44140625" style="17" bestFit="1" customWidth="1"/>
    <col min="36" max="36" width="11.109375" style="17" customWidth="1"/>
    <col min="37" max="37" width="11.44140625" style="17" bestFit="1" customWidth="1"/>
    <col min="38" max="38" width="10.6640625" style="17" customWidth="1"/>
    <col min="39" max="39" width="11.44140625" style="17" bestFit="1" customWidth="1"/>
    <col min="40" max="16384" width="9.109375" style="17"/>
  </cols>
  <sheetData>
    <row r="1" spans="1:39" x14ac:dyDescent="0.25">
      <c r="A1" s="443" t="str">
        <f>+'Rate Case Constants'!C9</f>
        <v>LOUISVILLE GAS AND ELECTRIC COMPANY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</row>
    <row r="2" spans="1:39" x14ac:dyDescent="0.25">
      <c r="A2" s="443" t="str">
        <f>+'Rate Case Constants'!C10</f>
        <v>CASE NO. 2016-00371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</row>
    <row r="3" spans="1:39" x14ac:dyDescent="0.25">
      <c r="A3" s="445" t="str">
        <f>+'Rate Case Constants'!C24</f>
        <v>Typical Electric Bill Comparison under Present &amp; Proposed Rates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39" x14ac:dyDescent="0.25">
      <c r="A4" s="443" t="str">
        <f>+'Rate Case Constants'!C21</f>
        <v>FORECAST PERIOD FOR THE 12 MONTHS ENDED JUNE 30, 2018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</row>
    <row r="5" spans="1:39" x14ac:dyDescent="0.25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</row>
    <row r="6" spans="1:39" x14ac:dyDescent="0.25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</row>
    <row r="7" spans="1:39" x14ac:dyDescent="0.25">
      <c r="A7" s="345" t="str">
        <f>+'Rate Case Constants'!C33</f>
        <v>DATA: ____BASE PERIOD__X___FORECASTED PERIOD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6" t="str">
        <f>+'Rate Case Constants'!C25</f>
        <v>SCHEDULE N (Electric)</v>
      </c>
    </row>
    <row r="8" spans="1:39" x14ac:dyDescent="0.25">
      <c r="A8" s="345" t="str">
        <f>+'Rate Case Constants'!C29</f>
        <v>TYPE OF FILING: __X__ ORIGINAL  _____ UPDATED  _____ REVISED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7"/>
      <c r="M8" s="345"/>
      <c r="N8" s="345"/>
      <c r="O8" s="345"/>
      <c r="P8" s="347" t="str">
        <f>+'Rate Case Constants'!L18</f>
        <v>PAGE 11 of 21</v>
      </c>
    </row>
    <row r="9" spans="1:39" x14ac:dyDescent="0.25">
      <c r="A9" s="345" t="str">
        <f>+'Rate Case Constants'!C34</f>
        <v>WORKPAPER REFERENCE NO(S):________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7" t="str">
        <f>+'Rate Case Constants'!C36</f>
        <v>WITNESS:   C. M. GARRETT</v>
      </c>
    </row>
    <row r="10" spans="1:39" x14ac:dyDescent="0.25">
      <c r="A10" s="345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S10" s="84" t="s">
        <v>71</v>
      </c>
      <c r="T10" s="17">
        <f>+INPUT!G57</f>
        <v>0</v>
      </c>
    </row>
    <row r="11" spans="1:39" x14ac:dyDescent="0.25">
      <c r="A11" s="221" t="s">
        <v>369</v>
      </c>
      <c r="S11" s="84" t="s">
        <v>73</v>
      </c>
      <c r="T11" s="17">
        <f>+INPUT!H57</f>
        <v>0</v>
      </c>
      <c r="V11" s="170" t="s">
        <v>132</v>
      </c>
      <c r="AD11" s="170" t="s">
        <v>132</v>
      </c>
    </row>
    <row r="12" spans="1:39" x14ac:dyDescent="0.25"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 t="s">
        <v>72</v>
      </c>
      <c r="T12" s="17">
        <f>+INPUT!I57</f>
        <v>0</v>
      </c>
    </row>
    <row r="13" spans="1:39" x14ac:dyDescent="0.25">
      <c r="A13" s="86"/>
      <c r="G13" s="202" t="s">
        <v>326</v>
      </c>
      <c r="H13" s="203" t="s">
        <v>327</v>
      </c>
      <c r="I13" s="203" t="s">
        <v>328</v>
      </c>
      <c r="J13" s="202" t="s">
        <v>329</v>
      </c>
      <c r="K13" s="202" t="s">
        <v>330</v>
      </c>
      <c r="L13" s="202" t="s">
        <v>331</v>
      </c>
      <c r="M13" s="203" t="s">
        <v>332</v>
      </c>
      <c r="N13" s="202" t="s">
        <v>333</v>
      </c>
      <c r="O13" s="202" t="s">
        <v>334</v>
      </c>
      <c r="P13" s="202" t="s">
        <v>335</v>
      </c>
      <c r="U13" s="87" t="s">
        <v>1</v>
      </c>
      <c r="V13" s="87" t="s">
        <v>1</v>
      </c>
      <c r="W13" s="87" t="s">
        <v>1</v>
      </c>
      <c r="Z13" s="87" t="s">
        <v>72</v>
      </c>
      <c r="AD13" s="25"/>
      <c r="AE13" s="171" t="s">
        <v>9</v>
      </c>
      <c r="AF13" s="171" t="s">
        <v>9</v>
      </c>
      <c r="AG13" s="171" t="s">
        <v>9</v>
      </c>
      <c r="AH13" s="25"/>
      <c r="AI13" s="87" t="s">
        <v>72</v>
      </c>
    </row>
    <row r="14" spans="1:39" x14ac:dyDescent="0.25">
      <c r="G14" s="313" t="s">
        <v>366</v>
      </c>
      <c r="H14" s="313" t="s">
        <v>366</v>
      </c>
      <c r="I14" s="206"/>
      <c r="J14" s="206"/>
      <c r="K14" s="206"/>
      <c r="L14" s="206"/>
      <c r="M14" s="206"/>
      <c r="N14" s="202" t="s">
        <v>5</v>
      </c>
      <c r="O14" s="202" t="s">
        <v>5</v>
      </c>
      <c r="P14" s="206"/>
      <c r="S14" s="87" t="s">
        <v>1</v>
      </c>
      <c r="T14" s="87" t="s">
        <v>1</v>
      </c>
      <c r="U14" s="87" t="s">
        <v>34</v>
      </c>
      <c r="V14" s="87" t="s">
        <v>30</v>
      </c>
      <c r="W14" s="87" t="s">
        <v>22</v>
      </c>
      <c r="X14" s="87" t="s">
        <v>1</v>
      </c>
      <c r="Y14" s="87"/>
      <c r="Z14" s="87" t="s">
        <v>1</v>
      </c>
      <c r="AC14" s="87" t="s">
        <v>9</v>
      </c>
      <c r="AD14" s="87" t="s">
        <v>9</v>
      </c>
      <c r="AE14" s="171" t="s">
        <v>34</v>
      </c>
      <c r="AF14" s="171" t="s">
        <v>30</v>
      </c>
      <c r="AG14" s="171" t="s">
        <v>22</v>
      </c>
      <c r="AH14" s="171" t="s">
        <v>9</v>
      </c>
      <c r="AI14" s="87" t="s">
        <v>1</v>
      </c>
      <c r="AK14" s="87"/>
    </row>
    <row r="15" spans="1:39" x14ac:dyDescent="0.25">
      <c r="C15" s="87" t="s">
        <v>23</v>
      </c>
      <c r="E15" s="87"/>
      <c r="F15" s="87"/>
      <c r="G15" s="202" t="s">
        <v>1</v>
      </c>
      <c r="H15" s="202" t="s">
        <v>74</v>
      </c>
      <c r="I15" s="202"/>
      <c r="J15" s="202"/>
      <c r="K15" s="436" t="s">
        <v>130</v>
      </c>
      <c r="L15" s="436"/>
      <c r="M15" s="437"/>
      <c r="N15" s="202" t="s">
        <v>1</v>
      </c>
      <c r="O15" s="202" t="s">
        <v>74</v>
      </c>
      <c r="P15" s="202"/>
      <c r="Q15" s="87"/>
      <c r="R15" s="87"/>
      <c r="S15" s="87" t="s">
        <v>2</v>
      </c>
      <c r="T15" s="87" t="s">
        <v>58</v>
      </c>
      <c r="U15" s="87" t="s">
        <v>25</v>
      </c>
      <c r="V15" s="87" t="s">
        <v>25</v>
      </c>
      <c r="W15" s="87" t="s">
        <v>18</v>
      </c>
      <c r="X15" s="87" t="s">
        <v>5</v>
      </c>
      <c r="Y15" s="87"/>
      <c r="Z15" s="87" t="s">
        <v>76</v>
      </c>
      <c r="AC15" s="88" t="s">
        <v>57</v>
      </c>
      <c r="AD15" s="87" t="s">
        <v>58</v>
      </c>
      <c r="AE15" s="171" t="s">
        <v>25</v>
      </c>
      <c r="AF15" s="171" t="s">
        <v>25</v>
      </c>
      <c r="AG15" s="171" t="s">
        <v>18</v>
      </c>
      <c r="AH15" s="171" t="s">
        <v>5</v>
      </c>
      <c r="AI15" s="87" t="s">
        <v>76</v>
      </c>
      <c r="AK15" s="87" t="s">
        <v>6</v>
      </c>
      <c r="AL15" s="87"/>
      <c r="AM15" s="87" t="s">
        <v>8</v>
      </c>
    </row>
    <row r="16" spans="1:39" x14ac:dyDescent="0.25">
      <c r="A16" s="87" t="s">
        <v>26</v>
      </c>
      <c r="C16" s="87" t="s">
        <v>24</v>
      </c>
      <c r="E16" s="87" t="s">
        <v>0</v>
      </c>
      <c r="F16" s="87"/>
      <c r="G16" s="202" t="s">
        <v>4</v>
      </c>
      <c r="H16" s="202" t="s">
        <v>4</v>
      </c>
      <c r="I16" s="202" t="s">
        <v>75</v>
      </c>
      <c r="J16" s="202" t="s">
        <v>75</v>
      </c>
      <c r="K16" s="202" t="s">
        <v>421</v>
      </c>
      <c r="L16" s="202" t="s">
        <v>73</v>
      </c>
      <c r="M16" s="202" t="s">
        <v>72</v>
      </c>
      <c r="N16" s="202" t="s">
        <v>4</v>
      </c>
      <c r="O16" s="202" t="s">
        <v>4</v>
      </c>
      <c r="P16" s="202" t="s">
        <v>75</v>
      </c>
      <c r="Q16" s="87"/>
      <c r="R16" s="87"/>
      <c r="S16" s="88" t="s">
        <v>3</v>
      </c>
      <c r="T16" s="87" t="s">
        <v>3</v>
      </c>
      <c r="U16" s="87" t="s">
        <v>3</v>
      </c>
      <c r="V16" s="87" t="s">
        <v>3</v>
      </c>
      <c r="W16" s="87" t="s">
        <v>3</v>
      </c>
      <c r="X16" s="87" t="s">
        <v>4</v>
      </c>
      <c r="Y16" s="87"/>
      <c r="Z16" s="87" t="s">
        <v>3</v>
      </c>
      <c r="AC16" s="88" t="s">
        <v>3</v>
      </c>
      <c r="AD16" s="87" t="s">
        <v>3</v>
      </c>
      <c r="AE16" s="171" t="s">
        <v>3</v>
      </c>
      <c r="AF16" s="171" t="s">
        <v>3</v>
      </c>
      <c r="AG16" s="171" t="s">
        <v>3</v>
      </c>
      <c r="AH16" s="171" t="s">
        <v>4</v>
      </c>
      <c r="AI16" s="87" t="s">
        <v>3</v>
      </c>
      <c r="AK16" s="87" t="s">
        <v>7</v>
      </c>
      <c r="AL16" s="87"/>
      <c r="AM16" s="87" t="s">
        <v>7</v>
      </c>
    </row>
    <row r="17" spans="1:39" x14ac:dyDescent="0.25">
      <c r="A17" s="87"/>
      <c r="C17" s="87"/>
      <c r="E17" s="87"/>
      <c r="F17" s="87"/>
      <c r="G17" s="202"/>
      <c r="H17" s="202"/>
      <c r="I17" s="202" t="s">
        <v>69</v>
      </c>
      <c r="J17" s="203" t="s">
        <v>70</v>
      </c>
      <c r="K17" s="204"/>
      <c r="L17" s="204"/>
      <c r="M17" s="205"/>
      <c r="N17" s="202" t="s">
        <v>69</v>
      </c>
      <c r="O17" s="202" t="s">
        <v>69</v>
      </c>
      <c r="P17" s="203" t="s">
        <v>70</v>
      </c>
      <c r="Q17" s="87"/>
      <c r="R17" s="87"/>
      <c r="S17" s="88"/>
      <c r="T17" s="172">
        <f>+INPUT!$L$6</f>
        <v>3.6119999999999999E-2</v>
      </c>
      <c r="U17" s="173">
        <f>+INPUT!$L$14</f>
        <v>3.42</v>
      </c>
      <c r="V17" s="173">
        <f>+INPUT!$L$15</f>
        <v>2.37</v>
      </c>
      <c r="W17" s="173">
        <f>+INPUT!$L$16</f>
        <v>1.62</v>
      </c>
      <c r="X17" s="87"/>
      <c r="Y17" s="87"/>
      <c r="Z17" s="172"/>
      <c r="AC17" s="88"/>
      <c r="AD17" s="172">
        <f>+INPUT!$L$27</f>
        <v>3.7109999999999997E-2</v>
      </c>
      <c r="AE17" s="173">
        <f>+INPUT!$L$35</f>
        <v>6.41</v>
      </c>
      <c r="AF17" s="173">
        <f>+INPUT!$L$36</f>
        <v>4.5599999999999996</v>
      </c>
      <c r="AG17" s="173">
        <f>+INPUT!$L$37</f>
        <v>1.35</v>
      </c>
      <c r="AH17" s="171"/>
      <c r="AI17" s="172"/>
      <c r="AK17" s="87"/>
      <c r="AL17" s="87"/>
      <c r="AM17" s="87"/>
    </row>
    <row r="18" spans="1:39" x14ac:dyDescent="0.25">
      <c r="A18" s="188"/>
      <c r="B18" s="188"/>
      <c r="C18" s="110"/>
      <c r="D18" s="188"/>
      <c r="E18" s="110"/>
      <c r="F18" s="110"/>
      <c r="G18" s="325"/>
      <c r="H18" s="325"/>
      <c r="I18" s="325" t="str">
        <f>("[ "&amp;H13&amp;" - "&amp;G13&amp;" ]")</f>
        <v>[ B - A ]</v>
      </c>
      <c r="J18" s="325" t="str">
        <f>("[ "&amp;I13&amp;" / "&amp;G13&amp;" ]")</f>
        <v>[ C / A ]</v>
      </c>
      <c r="K18" s="353"/>
      <c r="L18" s="353"/>
      <c r="M18" s="353"/>
      <c r="N18" s="325" t="str">
        <f>("["&amp;G13&amp;"+"&amp;$K$13&amp;"+"&amp;$L$13&amp;"+"&amp;$M$13&amp;"]")</f>
        <v>[A+E+F+G]</v>
      </c>
      <c r="O18" s="325" t="str">
        <f>("["&amp;H13&amp;"+"&amp;$K$13&amp;"+"&amp;$L$13&amp;"+"&amp;$M$13&amp;"]")</f>
        <v>[B+E+F+G]</v>
      </c>
      <c r="P18" s="325" t="str">
        <f>("[("&amp;O13&amp;" - "&amp;N13&amp;")/"&amp;N13&amp;"]")</f>
        <v>[(I - H)/H]</v>
      </c>
      <c r="Q18" s="87"/>
      <c r="R18" s="87"/>
      <c r="T18" s="87" t="s">
        <v>14</v>
      </c>
      <c r="U18" s="87" t="s">
        <v>60</v>
      </c>
      <c r="V18" s="87" t="s">
        <v>60</v>
      </c>
      <c r="W18" s="87" t="s">
        <v>60</v>
      </c>
      <c r="X18" s="87"/>
      <c r="Y18" s="87"/>
      <c r="Z18" s="87" t="s">
        <v>14</v>
      </c>
      <c r="AC18" s="88"/>
      <c r="AD18" s="87" t="s">
        <v>14</v>
      </c>
      <c r="AE18" s="87" t="s">
        <v>60</v>
      </c>
      <c r="AF18" s="87" t="s">
        <v>60</v>
      </c>
      <c r="AG18" s="87" t="s">
        <v>60</v>
      </c>
      <c r="AH18" s="171"/>
      <c r="AI18" s="87" t="s">
        <v>14</v>
      </c>
      <c r="AK18" s="87"/>
      <c r="AL18" s="87"/>
      <c r="AM18" s="87"/>
    </row>
    <row r="19" spans="1:39" x14ac:dyDescent="0.25">
      <c r="C19" s="87"/>
      <c r="E19" s="87"/>
      <c r="F19" s="87"/>
      <c r="G19" s="3"/>
      <c r="H19" s="3"/>
      <c r="I19" s="202"/>
      <c r="J19" s="202"/>
      <c r="K19" s="3"/>
      <c r="L19" s="3"/>
      <c r="M19" s="3"/>
      <c r="N19" s="202"/>
      <c r="O19" s="3"/>
      <c r="P19" s="202"/>
      <c r="Q19" s="87"/>
      <c r="R19" s="87"/>
      <c r="U19" s="87"/>
      <c r="V19" s="87"/>
      <c r="W19" s="87"/>
      <c r="X19" s="87"/>
      <c r="Y19" s="87"/>
      <c r="AC19" s="88"/>
      <c r="AD19" s="87"/>
      <c r="AE19" s="171"/>
      <c r="AF19" s="171"/>
      <c r="AG19" s="171"/>
      <c r="AH19" s="171"/>
      <c r="AK19" s="87"/>
      <c r="AL19" s="87"/>
      <c r="AM19" s="87"/>
    </row>
    <row r="20" spans="1:39" x14ac:dyDescent="0.25">
      <c r="A20" s="83">
        <v>50000</v>
      </c>
      <c r="B20" s="83"/>
      <c r="C20" s="174">
        <v>0.3</v>
      </c>
      <c r="E20" s="83">
        <f>C20*($A$20*730)</f>
        <v>10950000</v>
      </c>
      <c r="F20" s="83"/>
      <c r="G20" s="90">
        <f>+X20</f>
        <v>681514</v>
      </c>
      <c r="H20" s="90">
        <f>+AH20</f>
        <v>863504.5</v>
      </c>
      <c r="I20" s="90">
        <f>+H20-G20</f>
        <v>181990.5</v>
      </c>
      <c r="J20" s="91">
        <f>ROUND(+I20/G20,4)</f>
        <v>0.26700000000000002</v>
      </c>
      <c r="K20" s="90">
        <f>ROUND($T$10*$E20,2)</f>
        <v>0</v>
      </c>
      <c r="L20" s="90">
        <f>ROUND($T$11*$E20,2)</f>
        <v>0</v>
      </c>
      <c r="M20" s="90">
        <f>ROUND($T$12*$E20,2)</f>
        <v>0</v>
      </c>
      <c r="N20" s="90">
        <f>+G20+K20+L20+M20</f>
        <v>681514</v>
      </c>
      <c r="O20" s="90">
        <f>+H20+K20+L20+M20</f>
        <v>863504.5</v>
      </c>
      <c r="P20" s="91">
        <f>(O20-N20)/N20</f>
        <v>0.26703853479165507</v>
      </c>
      <c r="Q20" s="83"/>
      <c r="S20" s="41">
        <f>+INPUT!$L$4</f>
        <v>1000</v>
      </c>
      <c r="T20" s="25">
        <f>$T$17*E20</f>
        <v>395514</v>
      </c>
      <c r="U20" s="25">
        <f>$U$17*($A$20*0.5)</f>
        <v>85500</v>
      </c>
      <c r="V20" s="25">
        <f>$V$17*$A$20</f>
        <v>118500</v>
      </c>
      <c r="W20" s="25">
        <f>$W$17*$A$20</f>
        <v>81000</v>
      </c>
      <c r="X20" s="25">
        <f>S20+T20+U20+V20+W20</f>
        <v>681514</v>
      </c>
      <c r="Y20" s="25"/>
      <c r="Z20" s="25"/>
      <c r="AC20" s="41">
        <f>INPUT!$L$25</f>
        <v>1400</v>
      </c>
      <c r="AD20" s="25">
        <f>$AD$17*E20</f>
        <v>406354.49999999994</v>
      </c>
      <c r="AE20" s="25">
        <f>$AE$17*($A$20*0.5)</f>
        <v>160250</v>
      </c>
      <c r="AF20" s="25">
        <f>$A$20*$AF$17</f>
        <v>227999.99999999997</v>
      </c>
      <c r="AG20" s="25">
        <f>$A$20*$AG$17</f>
        <v>67500</v>
      </c>
      <c r="AH20" s="25">
        <f>AC20+AD20+AE20+AF20+AG20</f>
        <v>863504.5</v>
      </c>
      <c r="AI20" s="25"/>
      <c r="AK20" s="41">
        <f>AH20-X20</f>
        <v>181990.5</v>
      </c>
      <c r="AM20" s="175">
        <f>AH20/X20-1</f>
        <v>0.26703853479165507</v>
      </c>
    </row>
    <row r="21" spans="1:39" x14ac:dyDescent="0.25">
      <c r="C21" s="174">
        <v>0.5</v>
      </c>
      <c r="E21" s="83">
        <f>C21*($A$20*730)</f>
        <v>18250000</v>
      </c>
      <c r="F21" s="83"/>
      <c r="G21" s="90">
        <f t="shared" ref="G21:G38" si="0">+X21</f>
        <v>945190</v>
      </c>
      <c r="H21" s="90">
        <f>+AH21</f>
        <v>1134407.5</v>
      </c>
      <c r="I21" s="90">
        <f>+H21-G21</f>
        <v>189217.5</v>
      </c>
      <c r="J21" s="91">
        <f>ROUND(+I21/G21,4)</f>
        <v>0.20019999999999999</v>
      </c>
      <c r="K21" s="90">
        <f>ROUND($T$10*$E21,2)</f>
        <v>0</v>
      </c>
      <c r="L21" s="90">
        <f>ROUND($T$11*$E21,2)</f>
        <v>0</v>
      </c>
      <c r="M21" s="90">
        <f>ROUND($T$12*$E21,2)</f>
        <v>0</v>
      </c>
      <c r="N21" s="90">
        <f>+G21+K21+L21+M21</f>
        <v>945190</v>
      </c>
      <c r="O21" s="90">
        <f>+H21+K21+L21+M21</f>
        <v>1134407.5</v>
      </c>
      <c r="P21" s="91">
        <f>(O21-N21)/N21</f>
        <v>0.20018990890720384</v>
      </c>
      <c r="Q21" s="83"/>
      <c r="S21" s="41">
        <f>$S$20</f>
        <v>1000</v>
      </c>
      <c r="T21" s="25">
        <f>$T$17*E21</f>
        <v>659190</v>
      </c>
      <c r="U21" s="25">
        <f>$U$17*($A$20*0.5)</f>
        <v>85500</v>
      </c>
      <c r="V21" s="25">
        <f>$V$17*$A$20</f>
        <v>118500</v>
      </c>
      <c r="W21" s="25">
        <f>$W$17*$A$20</f>
        <v>81000</v>
      </c>
      <c r="X21" s="25">
        <f>S21+T21+U21+V21+W21</f>
        <v>945190</v>
      </c>
      <c r="Y21" s="25"/>
      <c r="Z21" s="25"/>
      <c r="AC21" s="41">
        <f>$AC$20</f>
        <v>1400</v>
      </c>
      <c r="AD21" s="25">
        <f>$AD$17*E21</f>
        <v>677257.5</v>
      </c>
      <c r="AE21" s="25">
        <f>$AE$17*($A$20*0.5)</f>
        <v>160250</v>
      </c>
      <c r="AF21" s="25">
        <f>$A$20*$AF$17</f>
        <v>227999.99999999997</v>
      </c>
      <c r="AG21" s="25">
        <f>$A$20*$AG$17</f>
        <v>67500</v>
      </c>
      <c r="AH21" s="25">
        <f>AC21+AD21+AE21+AF21+AG21</f>
        <v>1134407.5</v>
      </c>
      <c r="AI21" s="25"/>
      <c r="AK21" s="41">
        <f>AH21-X21</f>
        <v>189217.5</v>
      </c>
      <c r="AM21" s="175">
        <f>AH21/X21-1</f>
        <v>0.2001899089072039</v>
      </c>
    </row>
    <row r="22" spans="1:39" x14ac:dyDescent="0.25">
      <c r="C22" s="174">
        <v>0.7</v>
      </c>
      <c r="E22" s="83">
        <f>C22*($A$20*730)</f>
        <v>25550000</v>
      </c>
      <c r="F22" s="83"/>
      <c r="G22" s="90">
        <f t="shared" si="0"/>
        <v>1208866</v>
      </c>
      <c r="H22" s="90">
        <f>+AH22</f>
        <v>1405310.5</v>
      </c>
      <c r="I22" s="90">
        <f>+H22-G22</f>
        <v>196444.5</v>
      </c>
      <c r="J22" s="91">
        <f>ROUND(+I22/G22,4)</f>
        <v>0.16250000000000001</v>
      </c>
      <c r="K22" s="90">
        <f>ROUND($T$10*$E22,2)</f>
        <v>0</v>
      </c>
      <c r="L22" s="90">
        <f>ROUND($T$11*$E22,2)</f>
        <v>0</v>
      </c>
      <c r="M22" s="90">
        <f>ROUND($T$12*$E22,2)</f>
        <v>0</v>
      </c>
      <c r="N22" s="90">
        <f>+G22+K22+L22+M22</f>
        <v>1208866</v>
      </c>
      <c r="O22" s="90">
        <f>+H22+K22+L22+M22</f>
        <v>1405310.5</v>
      </c>
      <c r="P22" s="91">
        <f>(O22-N22)/N22</f>
        <v>0.16250312276133169</v>
      </c>
      <c r="Q22" s="83"/>
      <c r="S22" s="41">
        <f>$S$20</f>
        <v>1000</v>
      </c>
      <c r="T22" s="25">
        <f>$T$17*E22</f>
        <v>922866</v>
      </c>
      <c r="U22" s="25">
        <f>$U$17*($A$20*0.5)</f>
        <v>85500</v>
      </c>
      <c r="V22" s="25">
        <f>$V$17*$A$20</f>
        <v>118500</v>
      </c>
      <c r="W22" s="25">
        <f>$W$17*$A$20</f>
        <v>81000</v>
      </c>
      <c r="X22" s="25">
        <f>S22+T22+U22+V22+W22</f>
        <v>1208866</v>
      </c>
      <c r="Y22" s="25"/>
      <c r="Z22" s="25"/>
      <c r="AC22" s="41">
        <f>$AC$20</f>
        <v>1400</v>
      </c>
      <c r="AD22" s="25">
        <f>$AD$17*E22</f>
        <v>948160.49999999988</v>
      </c>
      <c r="AE22" s="25">
        <f>$AE$17*($A$20*0.5)</f>
        <v>160250</v>
      </c>
      <c r="AF22" s="25">
        <f>$A$20*$AF$17</f>
        <v>227999.99999999997</v>
      </c>
      <c r="AG22" s="25">
        <f>$A$20*$AG$17</f>
        <v>67500</v>
      </c>
      <c r="AH22" s="25">
        <f>AC22+AD22+AE22+AF22+AG22</f>
        <v>1405310.5</v>
      </c>
      <c r="AI22" s="25"/>
      <c r="AK22" s="41">
        <f>AH22-X22</f>
        <v>196444.5</v>
      </c>
      <c r="AM22" s="175">
        <f>AH22/X22-1</f>
        <v>0.16250312276133161</v>
      </c>
    </row>
    <row r="23" spans="1:39" x14ac:dyDescent="0.25">
      <c r="C23" s="174"/>
      <c r="E23" s="83"/>
      <c r="F23" s="83"/>
      <c r="G23" s="90"/>
      <c r="H23" s="90"/>
      <c r="J23" s="322"/>
      <c r="K23" s="83"/>
      <c r="L23" s="83"/>
      <c r="M23" s="83"/>
      <c r="P23" s="91"/>
      <c r="Q23" s="83"/>
      <c r="S23" s="41"/>
      <c r="T23" s="25"/>
      <c r="U23" s="25"/>
      <c r="V23" s="25"/>
      <c r="W23" s="25"/>
      <c r="X23" s="25"/>
      <c r="Y23" s="25"/>
      <c r="AC23" s="41"/>
      <c r="AD23" s="25"/>
      <c r="AE23" s="25"/>
      <c r="AF23" s="25"/>
      <c r="AG23" s="25"/>
      <c r="AH23" s="25"/>
      <c r="AK23" s="85"/>
      <c r="AM23" s="85"/>
    </row>
    <row r="24" spans="1:39" x14ac:dyDescent="0.25">
      <c r="A24" s="83">
        <v>75000</v>
      </c>
      <c r="B24" s="83"/>
      <c r="C24" s="174">
        <v>0.3</v>
      </c>
      <c r="E24" s="83">
        <f>C24*($A$24*730)</f>
        <v>16425000</v>
      </c>
      <c r="F24" s="83"/>
      <c r="G24" s="90">
        <f t="shared" si="0"/>
        <v>1021771</v>
      </c>
      <c r="H24" s="90">
        <f>+AH24</f>
        <v>1294556.75</v>
      </c>
      <c r="I24" s="90">
        <f>+H24-G24</f>
        <v>272785.75</v>
      </c>
      <c r="J24" s="91">
        <f>ROUND(+I24/G24,4)</f>
        <v>0.26700000000000002</v>
      </c>
      <c r="K24" s="90">
        <f>ROUND($T$10*$E24,2)</f>
        <v>0</v>
      </c>
      <c r="L24" s="90">
        <f>ROUND($T$11*$E24,2)</f>
        <v>0</v>
      </c>
      <c r="M24" s="90">
        <f>ROUND($T$12*$E24,2)</f>
        <v>0</v>
      </c>
      <c r="N24" s="90">
        <f>+G24+K24+L24+M24</f>
        <v>1021771</v>
      </c>
      <c r="O24" s="90">
        <f>+H24+K24+L24+M24</f>
        <v>1294556.75</v>
      </c>
      <c r="P24" s="91">
        <f>(O24-N24)/N24</f>
        <v>0.26697347057217324</v>
      </c>
      <c r="Q24" s="83"/>
      <c r="S24" s="41">
        <f>$S$20</f>
        <v>1000</v>
      </c>
      <c r="T24" s="25">
        <f>$T$17*E24</f>
        <v>593271</v>
      </c>
      <c r="U24" s="25">
        <f>$U$17*($A$24*0.5)</f>
        <v>128250</v>
      </c>
      <c r="V24" s="25">
        <f>$V$17*$A$24</f>
        <v>177750</v>
      </c>
      <c r="W24" s="25">
        <f>$W$17*$A$24</f>
        <v>121500.00000000001</v>
      </c>
      <c r="X24" s="25">
        <f>S24+T24+U24+V24+W24</f>
        <v>1021771</v>
      </c>
      <c r="Y24" s="25"/>
      <c r="Z24" s="25"/>
      <c r="AC24" s="41">
        <f>$AC$20</f>
        <v>1400</v>
      </c>
      <c r="AD24" s="25">
        <f>$AD$17*E24</f>
        <v>609531.75</v>
      </c>
      <c r="AE24" s="25">
        <f>$AE$17*($A$24*0.5)</f>
        <v>240375</v>
      </c>
      <c r="AF24" s="25">
        <f>$A$24*$AF$17</f>
        <v>341999.99999999994</v>
      </c>
      <c r="AG24" s="25">
        <f>$A$24*$AG$17</f>
        <v>101250</v>
      </c>
      <c r="AH24" s="25">
        <f>AC24+AD24+AE24+AF24+AG24</f>
        <v>1294556.75</v>
      </c>
      <c r="AI24" s="25"/>
      <c r="AK24" s="41">
        <f>AH24-X24</f>
        <v>272785.75</v>
      </c>
      <c r="AL24" s="120"/>
      <c r="AM24" s="175">
        <f>AH24/X24-1</f>
        <v>0.26697347057217313</v>
      </c>
    </row>
    <row r="25" spans="1:39" x14ac:dyDescent="0.25">
      <c r="C25" s="174">
        <v>0.5</v>
      </c>
      <c r="E25" s="83">
        <f>C25*($A$24*730)</f>
        <v>27375000</v>
      </c>
      <c r="F25" s="83"/>
      <c r="G25" s="90">
        <f t="shared" si="0"/>
        <v>1417285</v>
      </c>
      <c r="H25" s="90">
        <f>+AH25</f>
        <v>1700911.25</v>
      </c>
      <c r="I25" s="90">
        <f>+H25-G25</f>
        <v>283626.25</v>
      </c>
      <c r="J25" s="91">
        <f>ROUND(+I25/G25,4)</f>
        <v>0.2001</v>
      </c>
      <c r="K25" s="90">
        <f>ROUND($T$10*$E25,2)</f>
        <v>0</v>
      </c>
      <c r="L25" s="90">
        <f>ROUND($T$11*$E25,2)</f>
        <v>0</v>
      </c>
      <c r="M25" s="90">
        <f>ROUND($T$12*$E25,2)</f>
        <v>0</v>
      </c>
      <c r="N25" s="90">
        <f>+G25+K25+L25+M25</f>
        <v>1417285</v>
      </c>
      <c r="O25" s="90">
        <f>+H25+K25+L25+M25</f>
        <v>1700911.25</v>
      </c>
      <c r="P25" s="91">
        <f>(O25-N25)/N25</f>
        <v>0.20011941846558737</v>
      </c>
      <c r="Q25" s="83"/>
      <c r="S25" s="41">
        <f>$S$20</f>
        <v>1000</v>
      </c>
      <c r="T25" s="25">
        <f>$T$17*E25</f>
        <v>988785</v>
      </c>
      <c r="U25" s="25">
        <f>$U$17*($A$24*0.5)</f>
        <v>128250</v>
      </c>
      <c r="V25" s="25">
        <f>$V$17*$A$24</f>
        <v>177750</v>
      </c>
      <c r="W25" s="25">
        <f>$W$17*$A$24</f>
        <v>121500.00000000001</v>
      </c>
      <c r="X25" s="25">
        <f>S25+T25+U25+V25+W25</f>
        <v>1417285</v>
      </c>
      <c r="Y25" s="25"/>
      <c r="Z25" s="25"/>
      <c r="AC25" s="41">
        <f>$AC$20</f>
        <v>1400</v>
      </c>
      <c r="AD25" s="25">
        <f>$AD$17*E25</f>
        <v>1015886.2499999999</v>
      </c>
      <c r="AE25" s="25">
        <f>$AE$17*($A$24*0.5)</f>
        <v>240375</v>
      </c>
      <c r="AF25" s="25">
        <f>$A$24*$AF$17</f>
        <v>341999.99999999994</v>
      </c>
      <c r="AG25" s="25">
        <f>$A$24*$AG$17</f>
        <v>101250</v>
      </c>
      <c r="AH25" s="25">
        <f>AC25+AD25+AE25+AF25+AG25</f>
        <v>1700911.25</v>
      </c>
      <c r="AI25" s="25"/>
      <c r="AK25" s="41">
        <f>AH25-X25</f>
        <v>283626.25</v>
      </c>
      <c r="AL25" s="120"/>
      <c r="AM25" s="175">
        <f>AH25/X25-1</f>
        <v>0.20011941846558745</v>
      </c>
    </row>
    <row r="26" spans="1:39" x14ac:dyDescent="0.25">
      <c r="C26" s="174">
        <v>0.7</v>
      </c>
      <c r="E26" s="83">
        <f>C26*($A$24*730)</f>
        <v>38325000</v>
      </c>
      <c r="F26" s="83"/>
      <c r="G26" s="90">
        <f t="shared" si="0"/>
        <v>1812799</v>
      </c>
      <c r="H26" s="90">
        <f>+AH26</f>
        <v>2107265.75</v>
      </c>
      <c r="I26" s="90">
        <f>+H26-G26</f>
        <v>294466.75</v>
      </c>
      <c r="J26" s="91">
        <f>ROUND(+I26/G26,4)</f>
        <v>0.16239999999999999</v>
      </c>
      <c r="K26" s="90">
        <f>ROUND($T$10*$E26,2)</f>
        <v>0</v>
      </c>
      <c r="L26" s="90">
        <f>ROUND($T$11*$E26,2)</f>
        <v>0</v>
      </c>
      <c r="M26" s="90">
        <f>ROUND($T$12*$E26,2)</f>
        <v>0</v>
      </c>
      <c r="N26" s="90">
        <f>+G26+K26+L26+M26</f>
        <v>1812799</v>
      </c>
      <c r="O26" s="90">
        <f>+H26+K26+L26+M26</f>
        <v>2107265.75</v>
      </c>
      <c r="P26" s="91">
        <f>(O26-N26)/N26</f>
        <v>0.16243761718756464</v>
      </c>
      <c r="Q26" s="83"/>
      <c r="S26" s="41">
        <f>$S$20</f>
        <v>1000</v>
      </c>
      <c r="T26" s="25">
        <f>$T$17*E26</f>
        <v>1384299</v>
      </c>
      <c r="U26" s="25">
        <f>$U$17*($A$24*0.5)</f>
        <v>128250</v>
      </c>
      <c r="V26" s="25">
        <f>$V$17*$A$24</f>
        <v>177750</v>
      </c>
      <c r="W26" s="25">
        <f>$W$17*$A$24</f>
        <v>121500.00000000001</v>
      </c>
      <c r="X26" s="25">
        <f>S26+T26+U26+V26+W26</f>
        <v>1812799</v>
      </c>
      <c r="Y26" s="25"/>
      <c r="Z26" s="25"/>
      <c r="AC26" s="41">
        <f>$AC$20</f>
        <v>1400</v>
      </c>
      <c r="AD26" s="25">
        <f>$AD$17*E26</f>
        <v>1422240.75</v>
      </c>
      <c r="AE26" s="25">
        <f>$AE$17*($A$24*0.5)</f>
        <v>240375</v>
      </c>
      <c r="AF26" s="25">
        <f>$A$24*$AF$17</f>
        <v>341999.99999999994</v>
      </c>
      <c r="AG26" s="25">
        <f>$A$24*$AG$17</f>
        <v>101250</v>
      </c>
      <c r="AH26" s="25">
        <f>AC26+AD26+AE26+AF26+AG26</f>
        <v>2107265.75</v>
      </c>
      <c r="AI26" s="25"/>
      <c r="AK26" s="41">
        <f>AH26-X26</f>
        <v>294466.75</v>
      </c>
      <c r="AM26" s="175">
        <f>AH26/X26-1</f>
        <v>0.16243761718756455</v>
      </c>
    </row>
    <row r="27" spans="1:39" x14ac:dyDescent="0.25">
      <c r="C27" s="174"/>
      <c r="E27" s="83"/>
      <c r="F27" s="83"/>
      <c r="G27" s="90"/>
      <c r="H27" s="90"/>
      <c r="J27" s="322"/>
      <c r="K27" s="83"/>
      <c r="L27" s="83"/>
      <c r="M27" s="83"/>
      <c r="P27" s="91"/>
      <c r="Q27" s="83"/>
      <c r="S27" s="41"/>
      <c r="T27" s="25"/>
      <c r="U27" s="25"/>
      <c r="V27" s="25"/>
      <c r="W27" s="25"/>
      <c r="X27" s="25"/>
      <c r="Y27" s="25"/>
      <c r="AC27" s="41"/>
      <c r="AD27" s="25"/>
      <c r="AE27" s="25"/>
      <c r="AF27" s="25"/>
      <c r="AG27" s="25"/>
      <c r="AH27" s="25"/>
      <c r="AK27" s="85"/>
      <c r="AM27" s="85"/>
    </row>
    <row r="28" spans="1:39" x14ac:dyDescent="0.25">
      <c r="A28" s="83">
        <v>100000</v>
      </c>
      <c r="B28" s="83"/>
      <c r="C28" s="174">
        <v>0.3</v>
      </c>
      <c r="E28" s="83">
        <f>C28*($A$28*730)</f>
        <v>21900000</v>
      </c>
      <c r="F28" s="83"/>
      <c r="G28" s="90">
        <f t="shared" si="0"/>
        <v>1362028</v>
      </c>
      <c r="H28" s="90">
        <f>+AH28</f>
        <v>1725609</v>
      </c>
      <c r="I28" s="90">
        <f>+H28-G28</f>
        <v>363581</v>
      </c>
      <c r="J28" s="91">
        <f>ROUND(+I28/G28,4)</f>
        <v>0.26690000000000003</v>
      </c>
      <c r="K28" s="90">
        <f>ROUND($T$10*$E28,2)</f>
        <v>0</v>
      </c>
      <c r="L28" s="90">
        <f>ROUND($T$11*$E28,2)</f>
        <v>0</v>
      </c>
      <c r="M28" s="90">
        <f>ROUND($T$12*$E28,2)</f>
        <v>0</v>
      </c>
      <c r="N28" s="90">
        <f>+G28+K28+L28+M28</f>
        <v>1362028</v>
      </c>
      <c r="O28" s="90">
        <f>+H28+K28+L28+M28</f>
        <v>1725609</v>
      </c>
      <c r="P28" s="91">
        <f>(O28-N28)/N28</f>
        <v>0.26694091457738023</v>
      </c>
      <c r="Q28" s="83"/>
      <c r="S28" s="41">
        <f>$S$20</f>
        <v>1000</v>
      </c>
      <c r="T28" s="25">
        <f>$T$17*E28</f>
        <v>791028</v>
      </c>
      <c r="U28" s="25">
        <f>$U$17*($A$28*0.5)</f>
        <v>171000</v>
      </c>
      <c r="V28" s="25">
        <f>$V$17*$A$28</f>
        <v>237000</v>
      </c>
      <c r="W28" s="25">
        <f>$W$17*$A$28</f>
        <v>162000</v>
      </c>
      <c r="X28" s="25">
        <f>S28+T28+U28+V28+W28</f>
        <v>1362028</v>
      </c>
      <c r="Y28" s="25"/>
      <c r="Z28" s="25"/>
      <c r="AC28" s="41">
        <f>$AC$20</f>
        <v>1400</v>
      </c>
      <c r="AD28" s="25">
        <f>$AD$17*E28</f>
        <v>812708.99999999988</v>
      </c>
      <c r="AE28" s="25">
        <f>$AE$17*($A$28*0.5)</f>
        <v>320500</v>
      </c>
      <c r="AF28" s="25">
        <f>$A$28*$AF$17</f>
        <v>455999.99999999994</v>
      </c>
      <c r="AG28" s="25">
        <f>$A$28*$AG$17</f>
        <v>135000</v>
      </c>
      <c r="AH28" s="25">
        <f>AC28+AD28+AE28+AF28+AG28</f>
        <v>1725609</v>
      </c>
      <c r="AI28" s="25"/>
      <c r="AK28" s="41">
        <f>AH28-X28</f>
        <v>363581</v>
      </c>
      <c r="AM28" s="175">
        <f>AH28/X28-1</f>
        <v>0.26694091457738023</v>
      </c>
    </row>
    <row r="29" spans="1:39" x14ac:dyDescent="0.25">
      <c r="C29" s="174">
        <v>0.5</v>
      </c>
      <c r="E29" s="83">
        <f>C29*($A$28*730)</f>
        <v>36500000</v>
      </c>
      <c r="F29" s="83"/>
      <c r="G29" s="90">
        <f t="shared" si="0"/>
        <v>1889380</v>
      </c>
      <c r="H29" s="90">
        <f>+AH29</f>
        <v>2267415</v>
      </c>
      <c r="I29" s="90">
        <f>+H29-G29</f>
        <v>378035</v>
      </c>
      <c r="J29" s="91">
        <f>ROUND(+I29/G29,4)</f>
        <v>0.2001</v>
      </c>
      <c r="K29" s="90">
        <f>ROUND($T$10*$E29,2)</f>
        <v>0</v>
      </c>
      <c r="L29" s="90">
        <f>ROUND($T$11*$E29,2)</f>
        <v>0</v>
      </c>
      <c r="M29" s="90">
        <f>ROUND($T$12*$E29,2)</f>
        <v>0</v>
      </c>
      <c r="N29" s="90">
        <f>+G29+K29+L29+M29</f>
        <v>1889380</v>
      </c>
      <c r="O29" s="90">
        <f>+H29+K29+L29+M29</f>
        <v>2267415</v>
      </c>
      <c r="P29" s="91">
        <f>(O29-N29)/N29</f>
        <v>0.20008415459039472</v>
      </c>
      <c r="Q29" s="83"/>
      <c r="S29" s="41">
        <f>$S$20</f>
        <v>1000</v>
      </c>
      <c r="T29" s="25">
        <f>$T$17*E29</f>
        <v>1318380</v>
      </c>
      <c r="U29" s="25">
        <f>$U$17*($A$28*0.5)</f>
        <v>171000</v>
      </c>
      <c r="V29" s="25">
        <f>$V$17*$A$28</f>
        <v>237000</v>
      </c>
      <c r="W29" s="25">
        <f>$W$17*$A$28</f>
        <v>162000</v>
      </c>
      <c r="X29" s="25">
        <f>S29+T29+U29+V29+W29</f>
        <v>1889380</v>
      </c>
      <c r="Y29" s="25"/>
      <c r="Z29" s="25"/>
      <c r="AC29" s="41">
        <f>$AC$20</f>
        <v>1400</v>
      </c>
      <c r="AD29" s="25">
        <f>$AD$17*E29</f>
        <v>1354515</v>
      </c>
      <c r="AE29" s="25">
        <f>$AE$17*($A$28*0.5)</f>
        <v>320500</v>
      </c>
      <c r="AF29" s="25">
        <f>$A$28*$AF$17</f>
        <v>455999.99999999994</v>
      </c>
      <c r="AG29" s="25">
        <f>$A$28*$AG$17</f>
        <v>135000</v>
      </c>
      <c r="AH29" s="25">
        <f>AC29+AD29+AE29+AF29+AG29</f>
        <v>2267415</v>
      </c>
      <c r="AI29" s="25"/>
      <c r="AK29" s="41">
        <f>AH29-X29</f>
        <v>378035</v>
      </c>
      <c r="AM29" s="175">
        <f>AH29/X29-1</f>
        <v>0.20008415459039464</v>
      </c>
    </row>
    <row r="30" spans="1:39" x14ac:dyDescent="0.25">
      <c r="C30" s="174">
        <v>0.7</v>
      </c>
      <c r="E30" s="83">
        <f>C30*($A$28*730)</f>
        <v>51100000</v>
      </c>
      <c r="F30" s="83"/>
      <c r="G30" s="90">
        <f t="shared" si="0"/>
        <v>2416732</v>
      </c>
      <c r="H30" s="90">
        <f>+AH30</f>
        <v>2809221</v>
      </c>
      <c r="I30" s="90">
        <f>+H30-G30</f>
        <v>392489</v>
      </c>
      <c r="J30" s="91">
        <f>ROUND(+I30/G30,4)</f>
        <v>0.16239999999999999</v>
      </c>
      <c r="K30" s="90">
        <f>ROUND($T$10*$E30,2)</f>
        <v>0</v>
      </c>
      <c r="L30" s="90">
        <f>ROUND($T$11*$E30,2)</f>
        <v>0</v>
      </c>
      <c r="M30" s="90">
        <f>ROUND($T$12*$E30,2)</f>
        <v>0</v>
      </c>
      <c r="N30" s="90">
        <f>+G30+K30+L30+M30</f>
        <v>2416732</v>
      </c>
      <c r="O30" s="90">
        <f>+H30+K30+L30+M30</f>
        <v>2809221</v>
      </c>
      <c r="P30" s="91">
        <f>(O30-N30)/N30</f>
        <v>0.16240485084817016</v>
      </c>
      <c r="Q30" s="83"/>
      <c r="S30" s="41">
        <f>$S$20</f>
        <v>1000</v>
      </c>
      <c r="T30" s="25">
        <f>$T$17*E30</f>
        <v>1845732</v>
      </c>
      <c r="U30" s="25">
        <f>$U$17*($A$28*0.5)</f>
        <v>171000</v>
      </c>
      <c r="V30" s="25">
        <f>$V$17*$A$28</f>
        <v>237000</v>
      </c>
      <c r="W30" s="25">
        <f>$W$17*$A$28</f>
        <v>162000</v>
      </c>
      <c r="X30" s="25">
        <f>S30+T30+U30+V30+W30</f>
        <v>2416732</v>
      </c>
      <c r="Y30" s="25"/>
      <c r="Z30" s="25"/>
      <c r="AC30" s="41">
        <f>$AC$20</f>
        <v>1400</v>
      </c>
      <c r="AD30" s="25">
        <f>$AD$17*E30</f>
        <v>1896320.9999999998</v>
      </c>
      <c r="AE30" s="25">
        <f>$AE$17*($A$28*0.5)</f>
        <v>320500</v>
      </c>
      <c r="AF30" s="25">
        <f>$A$28*$AF$17</f>
        <v>455999.99999999994</v>
      </c>
      <c r="AG30" s="25">
        <f>$A$28*$AG$17</f>
        <v>135000</v>
      </c>
      <c r="AH30" s="25">
        <f>AC30+AD30+AE30+AF30+AG30</f>
        <v>2809221</v>
      </c>
      <c r="AI30" s="25"/>
      <c r="AK30" s="41">
        <f>AH30-X30</f>
        <v>392489</v>
      </c>
      <c r="AM30" s="175">
        <f>AH30/X30-1</f>
        <v>0.16240485084817013</v>
      </c>
    </row>
    <row r="31" spans="1:39" x14ac:dyDescent="0.25">
      <c r="C31" s="174"/>
      <c r="E31" s="83"/>
      <c r="F31" s="83"/>
      <c r="G31" s="90"/>
      <c r="H31" s="90"/>
      <c r="J31" s="322"/>
      <c r="K31" s="83"/>
      <c r="L31" s="83"/>
      <c r="M31" s="83"/>
      <c r="P31" s="91"/>
      <c r="Q31" s="83"/>
      <c r="S31" s="41"/>
      <c r="T31" s="25"/>
      <c r="U31" s="25"/>
      <c r="V31" s="25"/>
      <c r="W31" s="25"/>
      <c r="X31" s="25"/>
      <c r="Y31" s="25"/>
      <c r="AC31" s="41"/>
      <c r="AD31" s="25"/>
      <c r="AE31" s="25"/>
      <c r="AF31" s="25"/>
      <c r="AG31" s="25"/>
      <c r="AH31" s="25"/>
      <c r="AK31" s="85"/>
      <c r="AM31" s="85"/>
    </row>
    <row r="32" spans="1:39" x14ac:dyDescent="0.25">
      <c r="A32" s="83">
        <v>150000</v>
      </c>
      <c r="B32" s="83"/>
      <c r="C32" s="174">
        <v>0.3</v>
      </c>
      <c r="E32" s="83">
        <f>C32*($A$32*730)</f>
        <v>32850000</v>
      </c>
      <c r="F32" s="83"/>
      <c r="G32" s="90">
        <f t="shared" si="0"/>
        <v>2042542</v>
      </c>
      <c r="H32" s="90">
        <f>+AH32</f>
        <v>2587713.5</v>
      </c>
      <c r="I32" s="90">
        <f>+H32-G32</f>
        <v>545171.5</v>
      </c>
      <c r="J32" s="91">
        <f>ROUND(+I32/G32,4)</f>
        <v>0.26690000000000003</v>
      </c>
      <c r="K32" s="90">
        <f>ROUND($T$10*$E32,2)</f>
        <v>0</v>
      </c>
      <c r="L32" s="90">
        <f>ROUND($T$11*$E32,2)</f>
        <v>0</v>
      </c>
      <c r="M32" s="90">
        <f>ROUND($T$12*$E32,2)</f>
        <v>0</v>
      </c>
      <c r="N32" s="90">
        <f>+G32+K32+L32+M32</f>
        <v>2042542</v>
      </c>
      <c r="O32" s="90">
        <f>+H32+K32+L32+M32</f>
        <v>2587713.5</v>
      </c>
      <c r="P32" s="91">
        <f>(O32-N32)/N32</f>
        <v>0.26690834264362739</v>
      </c>
      <c r="Q32" s="83"/>
      <c r="S32" s="41">
        <f>$S$20</f>
        <v>1000</v>
      </c>
      <c r="T32" s="25">
        <f>$T$17*E32</f>
        <v>1186542</v>
      </c>
      <c r="U32" s="25">
        <f>$U$17*($A$32*0.5)</f>
        <v>256500</v>
      </c>
      <c r="V32" s="25">
        <f>$V$17*$A$32</f>
        <v>355500</v>
      </c>
      <c r="W32" s="25">
        <f>$W$17*$A$32</f>
        <v>243000.00000000003</v>
      </c>
      <c r="X32" s="25">
        <f>S32+T32+U32+V32+W32</f>
        <v>2042542</v>
      </c>
      <c r="Y32" s="25"/>
      <c r="Z32" s="25"/>
      <c r="AC32" s="41">
        <f>$AC$20</f>
        <v>1400</v>
      </c>
      <c r="AD32" s="25">
        <f>$AD$17*E32</f>
        <v>1219063.5</v>
      </c>
      <c r="AE32" s="25">
        <f>$AE$17*($A$32*0.5)</f>
        <v>480750</v>
      </c>
      <c r="AF32" s="25">
        <f>$A$32*$AF$17</f>
        <v>683999.99999999988</v>
      </c>
      <c r="AG32" s="25">
        <f>$A$32*$AG$17</f>
        <v>202500</v>
      </c>
      <c r="AH32" s="25">
        <f>AC32+AD32+AE32+AF32+AG32</f>
        <v>2587713.5</v>
      </c>
      <c r="AI32" s="25"/>
      <c r="AK32" s="41">
        <f>AH32-X32</f>
        <v>545171.5</v>
      </c>
      <c r="AM32" s="175">
        <f>AH32/X32-1</f>
        <v>0.26690834264362739</v>
      </c>
    </row>
    <row r="33" spans="1:39" x14ac:dyDescent="0.25">
      <c r="C33" s="174">
        <v>0.5</v>
      </c>
      <c r="E33" s="83">
        <f>C33*($A$32*730)</f>
        <v>54750000</v>
      </c>
      <c r="F33" s="83"/>
      <c r="G33" s="90">
        <f t="shared" si="0"/>
        <v>2833570</v>
      </c>
      <c r="H33" s="90">
        <f>+AH33</f>
        <v>3400422.5</v>
      </c>
      <c r="I33" s="90">
        <f>+H33-G33</f>
        <v>566852.5</v>
      </c>
      <c r="J33" s="91">
        <f>ROUND(+I33/G33,4)</f>
        <v>0.2</v>
      </c>
      <c r="K33" s="90">
        <f>ROUND($T$10*$E33,2)</f>
        <v>0</v>
      </c>
      <c r="L33" s="90">
        <f>ROUND($T$11*$E33,2)</f>
        <v>0</v>
      </c>
      <c r="M33" s="90">
        <f>ROUND($T$12*$E33,2)</f>
        <v>0</v>
      </c>
      <c r="N33" s="90">
        <f>+G33+K33+L33+M33</f>
        <v>2833570</v>
      </c>
      <c r="O33" s="90">
        <f>+H33+K33+L33+M33</f>
        <v>3400422.5</v>
      </c>
      <c r="P33" s="91">
        <f>(O33-N33)/N33</f>
        <v>0.20004887827016801</v>
      </c>
      <c r="Q33" s="83"/>
      <c r="S33" s="41">
        <f>$S$20</f>
        <v>1000</v>
      </c>
      <c r="T33" s="25">
        <f>$T$17*E33</f>
        <v>1977570</v>
      </c>
      <c r="U33" s="25">
        <f>$U$17*($A$32*0.5)</f>
        <v>256500</v>
      </c>
      <c r="V33" s="25">
        <f>$V$17*$A$32</f>
        <v>355500</v>
      </c>
      <c r="W33" s="25">
        <f>$W$17*$A$32</f>
        <v>243000.00000000003</v>
      </c>
      <c r="X33" s="25">
        <f>S33+T33+U33+V33+W33</f>
        <v>2833570</v>
      </c>
      <c r="Y33" s="25"/>
      <c r="Z33" s="25"/>
      <c r="AC33" s="41">
        <f>$AC$20</f>
        <v>1400</v>
      </c>
      <c r="AD33" s="25">
        <f>$AD$17*E33</f>
        <v>2031772.4999999998</v>
      </c>
      <c r="AE33" s="25">
        <f>$AE$17*($A$32*0.5)</f>
        <v>480750</v>
      </c>
      <c r="AF33" s="25">
        <f>$A$32*$AF$17</f>
        <v>683999.99999999988</v>
      </c>
      <c r="AG33" s="25">
        <f>$A$32*$AG$17</f>
        <v>202500</v>
      </c>
      <c r="AH33" s="25">
        <f>AC33+AD33+AE33+AF33+AG33</f>
        <v>3400422.5</v>
      </c>
      <c r="AI33" s="25"/>
      <c r="AK33" s="41">
        <f>AH33-X33</f>
        <v>566852.5</v>
      </c>
      <c r="AM33" s="175">
        <f>AH33/X33-1</f>
        <v>0.20004887827016793</v>
      </c>
    </row>
    <row r="34" spans="1:39" x14ac:dyDescent="0.25">
      <c r="C34" s="174">
        <v>0.7</v>
      </c>
      <c r="E34" s="83">
        <f>C34*($A$32*730)</f>
        <v>76650000</v>
      </c>
      <c r="F34" s="83"/>
      <c r="G34" s="90">
        <f t="shared" si="0"/>
        <v>3624598</v>
      </c>
      <c r="H34" s="90">
        <f>+AH34</f>
        <v>4213131.5</v>
      </c>
      <c r="I34" s="90">
        <f>+H34-G34</f>
        <v>588533.5</v>
      </c>
      <c r="J34" s="91">
        <f>ROUND(+I34/G34,4)</f>
        <v>0.16239999999999999</v>
      </c>
      <c r="K34" s="90">
        <f>ROUND($T$10*$E34,2)</f>
        <v>0</v>
      </c>
      <c r="L34" s="90">
        <f>ROUND($T$11*$E34,2)</f>
        <v>0</v>
      </c>
      <c r="M34" s="90">
        <f>ROUND($T$12*$E34,2)</f>
        <v>0</v>
      </c>
      <c r="N34" s="90">
        <f>+G34+K34+L34+M34</f>
        <v>3624598</v>
      </c>
      <c r="O34" s="90">
        <f>+H34+K34+L34+M34</f>
        <v>4213131.5</v>
      </c>
      <c r="P34" s="91">
        <f>(O34-N34)/N34</f>
        <v>0.16237207546878302</v>
      </c>
      <c r="Q34" s="83"/>
      <c r="S34" s="41">
        <f>$S$20</f>
        <v>1000</v>
      </c>
      <c r="T34" s="25">
        <f>$T$17*E34</f>
        <v>2768598</v>
      </c>
      <c r="U34" s="25">
        <f>$U$17*($A$32*0.5)</f>
        <v>256500</v>
      </c>
      <c r="V34" s="25">
        <f>$V$17*$A$32</f>
        <v>355500</v>
      </c>
      <c r="W34" s="25">
        <f>$W$17*$A$32</f>
        <v>243000.00000000003</v>
      </c>
      <c r="X34" s="25">
        <f>S34+T34+U34+V34+W34</f>
        <v>3624598</v>
      </c>
      <c r="Y34" s="25"/>
      <c r="Z34" s="25"/>
      <c r="AC34" s="41">
        <f>$AC$20</f>
        <v>1400</v>
      </c>
      <c r="AD34" s="25">
        <f>$AD$17*E34</f>
        <v>2844481.5</v>
      </c>
      <c r="AE34" s="25">
        <f>$AE$17*($A$32*0.5)</f>
        <v>480750</v>
      </c>
      <c r="AF34" s="25">
        <f>$A$32*$AF$17</f>
        <v>683999.99999999988</v>
      </c>
      <c r="AG34" s="25">
        <f>$A$32*$AG$17</f>
        <v>202500</v>
      </c>
      <c r="AH34" s="25">
        <f>AC34+AD34+AE34+AF34+AG34</f>
        <v>4213131.5</v>
      </c>
      <c r="AI34" s="25"/>
      <c r="AK34" s="41">
        <f>AH34-X34</f>
        <v>588533.5</v>
      </c>
      <c r="AM34" s="175">
        <f>AH34/X34-1</f>
        <v>0.16237207546878296</v>
      </c>
    </row>
    <row r="35" spans="1:39" x14ac:dyDescent="0.25">
      <c r="C35" s="174"/>
      <c r="E35" s="83"/>
      <c r="F35" s="83"/>
      <c r="G35" s="90"/>
      <c r="H35" s="90"/>
      <c r="J35" s="322"/>
      <c r="K35" s="83"/>
      <c r="L35" s="83"/>
      <c r="M35" s="83"/>
      <c r="P35" s="91"/>
      <c r="Q35" s="83"/>
      <c r="S35" s="41"/>
      <c r="T35" s="25"/>
      <c r="U35" s="25"/>
      <c r="V35" s="25"/>
      <c r="W35" s="25"/>
      <c r="X35" s="25"/>
      <c r="Y35" s="25"/>
      <c r="AC35" s="41"/>
      <c r="AD35" s="25"/>
      <c r="AE35" s="25"/>
      <c r="AF35" s="25"/>
      <c r="AG35" s="25"/>
      <c r="AH35" s="25"/>
      <c r="AK35" s="85"/>
      <c r="AM35" s="85"/>
    </row>
    <row r="36" spans="1:39" x14ac:dyDescent="0.25">
      <c r="A36" s="83">
        <v>200000</v>
      </c>
      <c r="B36" s="83"/>
      <c r="C36" s="174">
        <v>0.3</v>
      </c>
      <c r="E36" s="83">
        <f>C36*($A$36*730)</f>
        <v>43800000</v>
      </c>
      <c r="F36" s="83"/>
      <c r="G36" s="90">
        <f t="shared" si="0"/>
        <v>2723056</v>
      </c>
      <c r="H36" s="90">
        <f>+AH36</f>
        <v>3449818</v>
      </c>
      <c r="I36" s="90">
        <f>+H36-G36</f>
        <v>726762</v>
      </c>
      <c r="J36" s="91">
        <f>ROUND(+I36/G36,4)</f>
        <v>0.26690000000000003</v>
      </c>
      <c r="K36" s="90">
        <f>ROUND($T$10*$E36,2)</f>
        <v>0</v>
      </c>
      <c r="L36" s="90">
        <f>ROUND($T$11*$E36,2)</f>
        <v>0</v>
      </c>
      <c r="M36" s="90">
        <f>ROUND($T$12*$E36,2)</f>
        <v>0</v>
      </c>
      <c r="N36" s="90">
        <f>+G36+K36+L36+M36</f>
        <v>2723056</v>
      </c>
      <c r="O36" s="90">
        <f>+H36+K36+L36+M36</f>
        <v>3449818</v>
      </c>
      <c r="P36" s="91">
        <f>(O36-N36)/N36</f>
        <v>0.26689205069598276</v>
      </c>
      <c r="Q36" s="83"/>
      <c r="S36" s="41">
        <f>$S$20</f>
        <v>1000</v>
      </c>
      <c r="T36" s="25">
        <f>$T$17*E36</f>
        <v>1582056</v>
      </c>
      <c r="U36" s="25">
        <f>$U$17*($A$36*0.5)</f>
        <v>342000</v>
      </c>
      <c r="V36" s="25">
        <f>$V$17*$A$36</f>
        <v>474000</v>
      </c>
      <c r="W36" s="25">
        <f>$W$17*$A$36</f>
        <v>324000</v>
      </c>
      <c r="X36" s="25">
        <f>S36+T36+U36+V36+W36</f>
        <v>2723056</v>
      </c>
      <c r="Y36" s="25"/>
      <c r="Z36" s="25"/>
      <c r="AC36" s="41">
        <f>$AC$20</f>
        <v>1400</v>
      </c>
      <c r="AD36" s="25">
        <f>$AD$17*E36</f>
        <v>1625417.9999999998</v>
      </c>
      <c r="AE36" s="25">
        <f>$AE$17*($A$36*0.5)</f>
        <v>641000</v>
      </c>
      <c r="AF36" s="25">
        <f>$A$36*$AF$17</f>
        <v>911999.99999999988</v>
      </c>
      <c r="AG36" s="25">
        <f>$A$36*$AG$17</f>
        <v>270000</v>
      </c>
      <c r="AH36" s="25">
        <f>AC36+AD36+AE36+AF36+AG36</f>
        <v>3449818</v>
      </c>
      <c r="AI36" s="25"/>
      <c r="AK36" s="41">
        <f>AH36-X36</f>
        <v>726762</v>
      </c>
      <c r="AM36" s="175">
        <f>AH36/X36-1</f>
        <v>0.26689205069598265</v>
      </c>
    </row>
    <row r="37" spans="1:39" x14ac:dyDescent="0.25">
      <c r="C37" s="174">
        <v>0.5</v>
      </c>
      <c r="E37" s="83">
        <f>C37*($A$36*730)</f>
        <v>73000000</v>
      </c>
      <c r="F37" s="83"/>
      <c r="G37" s="90">
        <f t="shared" si="0"/>
        <v>3777760</v>
      </c>
      <c r="H37" s="90">
        <f>+AH37</f>
        <v>4533430</v>
      </c>
      <c r="I37" s="90">
        <f>+H37-G37</f>
        <v>755670</v>
      </c>
      <c r="J37" s="91">
        <f>ROUND(+I37/G37,4)</f>
        <v>0.2</v>
      </c>
      <c r="K37" s="90">
        <f>ROUND($T$10*$E37,2)</f>
        <v>0</v>
      </c>
      <c r="L37" s="90">
        <f>ROUND($T$11*$E37,2)</f>
        <v>0</v>
      </c>
      <c r="M37" s="90">
        <f>ROUND($T$12*$E37,2)</f>
        <v>0</v>
      </c>
      <c r="N37" s="90">
        <f>+G37+K37+L37+M37</f>
        <v>3777760</v>
      </c>
      <c r="O37" s="90">
        <f>+H37+K37+L37+M37</f>
        <v>4533430</v>
      </c>
      <c r="P37" s="91">
        <f>(O37-N37)/N37</f>
        <v>0.20003123544110796</v>
      </c>
      <c r="Q37" s="83"/>
      <c r="S37" s="41">
        <f>$S$20</f>
        <v>1000</v>
      </c>
      <c r="T37" s="25">
        <f>$T$17*E37</f>
        <v>2636760</v>
      </c>
      <c r="U37" s="25">
        <f>$U$17*($A$36*0.5)</f>
        <v>342000</v>
      </c>
      <c r="V37" s="25">
        <f>$V$17*$A$36</f>
        <v>474000</v>
      </c>
      <c r="W37" s="25">
        <f>$W$17*$A$36</f>
        <v>324000</v>
      </c>
      <c r="X37" s="25">
        <f>S37+T37+U37+V37+W37</f>
        <v>3777760</v>
      </c>
      <c r="Y37" s="25"/>
      <c r="Z37" s="25"/>
      <c r="AC37" s="41">
        <f>$AC$20</f>
        <v>1400</v>
      </c>
      <c r="AD37" s="25">
        <f>$AD$17*E37</f>
        <v>2709030</v>
      </c>
      <c r="AE37" s="25">
        <f>$AE$17*($A$36*0.5)</f>
        <v>641000</v>
      </c>
      <c r="AF37" s="25">
        <f>$A$36*$AF$17</f>
        <v>911999.99999999988</v>
      </c>
      <c r="AG37" s="25">
        <f>$A$36*$AG$17</f>
        <v>270000</v>
      </c>
      <c r="AH37" s="25">
        <f>AC37+AD37+AE37+AF37+AG37</f>
        <v>4533430</v>
      </c>
      <c r="AI37" s="25"/>
      <c r="AK37" s="41">
        <f>AH37-X37</f>
        <v>755670</v>
      </c>
      <c r="AM37" s="175">
        <f>AH37/X37-1</f>
        <v>0.20003123544110801</v>
      </c>
    </row>
    <row r="38" spans="1:39" x14ac:dyDescent="0.25">
      <c r="C38" s="174">
        <v>0.7</v>
      </c>
      <c r="E38" s="83">
        <f>C38*($A$36*730)</f>
        <v>102200000</v>
      </c>
      <c r="F38" s="83"/>
      <c r="G38" s="90">
        <f t="shared" si="0"/>
        <v>4832464</v>
      </c>
      <c r="H38" s="90">
        <f>+AH38</f>
        <v>5617042</v>
      </c>
      <c r="I38" s="90">
        <f>+H38-G38</f>
        <v>784578</v>
      </c>
      <c r="J38" s="91">
        <f>ROUND(+I38/G38,4)</f>
        <v>0.16239999999999999</v>
      </c>
      <c r="K38" s="90">
        <f>ROUND($T$10*$E38,2)</f>
        <v>0</v>
      </c>
      <c r="L38" s="90">
        <f>ROUND($T$11*$E38,2)</f>
        <v>0</v>
      </c>
      <c r="M38" s="90">
        <f>ROUND($T$12*$E38,2)</f>
        <v>0</v>
      </c>
      <c r="N38" s="90">
        <f>+G38+K38+L38+M38</f>
        <v>4832464</v>
      </c>
      <c r="O38" s="90">
        <f>+H38+K38+L38+M38</f>
        <v>5617042</v>
      </c>
      <c r="P38" s="91">
        <f>(O38-N38)/N38</f>
        <v>0.16235568438792303</v>
      </c>
      <c r="Q38" s="83"/>
      <c r="S38" s="41">
        <f>$S$20</f>
        <v>1000</v>
      </c>
      <c r="T38" s="25">
        <f>$T$17*E38</f>
        <v>3691464</v>
      </c>
      <c r="U38" s="25">
        <f>$U$17*($A$36*0.5)</f>
        <v>342000</v>
      </c>
      <c r="V38" s="25">
        <f>$V$17*$A$36</f>
        <v>474000</v>
      </c>
      <c r="W38" s="25">
        <f>$W$17*$A$36</f>
        <v>324000</v>
      </c>
      <c r="X38" s="25">
        <f>S38+T38+U38+V38+W38</f>
        <v>4832464</v>
      </c>
      <c r="Y38" s="25"/>
      <c r="Z38" s="25"/>
      <c r="AC38" s="41">
        <f>$AC$20</f>
        <v>1400</v>
      </c>
      <c r="AD38" s="25">
        <f>$AD$17*E38</f>
        <v>3792641.9999999995</v>
      </c>
      <c r="AE38" s="25">
        <f>$AE$17*($A$36*0.5)</f>
        <v>641000</v>
      </c>
      <c r="AF38" s="25">
        <f>$A$36*$AF$17</f>
        <v>911999.99999999988</v>
      </c>
      <c r="AG38" s="25">
        <f>$A$36*$AG$17</f>
        <v>270000</v>
      </c>
      <c r="AH38" s="25">
        <f>AC38+AD38+AE38+AF38+AG38</f>
        <v>5617042</v>
      </c>
      <c r="AI38" s="25"/>
      <c r="AK38" s="41">
        <f>AH38-X38</f>
        <v>784578</v>
      </c>
      <c r="AM38" s="175">
        <f>AH38/X38-1</f>
        <v>0.16235568438792303</v>
      </c>
    </row>
    <row r="39" spans="1:39" x14ac:dyDescent="0.25">
      <c r="T39" s="25"/>
      <c r="U39" s="25"/>
      <c r="V39" s="25"/>
      <c r="W39" s="25"/>
      <c r="X39" s="25"/>
      <c r="Y39" s="25"/>
      <c r="AE39" s="25"/>
    </row>
    <row r="40" spans="1:39" x14ac:dyDescent="0.25">
      <c r="A40" s="17" t="s">
        <v>336</v>
      </c>
      <c r="T40" s="25"/>
      <c r="U40" s="25"/>
      <c r="V40" s="25"/>
      <c r="W40" s="25"/>
      <c r="X40" s="25"/>
      <c r="Y40" s="25"/>
    </row>
    <row r="41" spans="1:39" x14ac:dyDescent="0.25">
      <c r="A41" s="208" t="str">
        <f>("Average usage = "&amp;INPUT!L19&amp;" kWh per month")</f>
        <v>Average usage = 0 kWh per month</v>
      </c>
      <c r="G41" s="89" t="s">
        <v>339</v>
      </c>
      <c r="T41" s="25"/>
      <c r="U41" s="25"/>
      <c r="V41" s="25"/>
      <c r="W41" s="25"/>
      <c r="X41" s="25"/>
      <c r="Y41" s="25"/>
    </row>
    <row r="42" spans="1:39" x14ac:dyDescent="0.25">
      <c r="A42" s="210" t="s">
        <v>337</v>
      </c>
      <c r="C42" s="174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AE42" s="176"/>
      <c r="AF42" s="25"/>
      <c r="AG42" s="25"/>
      <c r="AH42" s="25"/>
      <c r="AI42" s="25"/>
      <c r="AJ42" s="25"/>
      <c r="AK42" s="85"/>
    </row>
    <row r="43" spans="1:39" x14ac:dyDescent="0.25">
      <c r="A43" s="209" t="s">
        <v>340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T43" s="177"/>
      <c r="AE43" s="178"/>
    </row>
    <row r="44" spans="1:39" x14ac:dyDescent="0.25">
      <c r="A44" s="213" t="s">
        <v>131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AA44" s="87"/>
      <c r="AB44" s="84"/>
      <c r="AC44" s="87"/>
      <c r="AE44" s="87"/>
    </row>
    <row r="45" spans="1:39" x14ac:dyDescent="0.25">
      <c r="A45" s="213" t="str">
        <f>+'Rate Case Constants'!C26</f>
        <v>Calculations may vary from other schedules due to rounding</v>
      </c>
      <c r="AE45" s="178"/>
    </row>
    <row r="46" spans="1:39" x14ac:dyDescent="0.25">
      <c r="A46" s="213" t="s">
        <v>132</v>
      </c>
      <c r="S46" s="87"/>
      <c r="W46" s="87"/>
      <c r="AA46" s="87"/>
      <c r="AE46" s="178"/>
    </row>
    <row r="47" spans="1:39" x14ac:dyDescent="0.25"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AA47" s="87"/>
      <c r="AB47" s="84"/>
      <c r="AC47" s="87"/>
      <c r="AE47" s="87"/>
    </row>
    <row r="48" spans="1:39" x14ac:dyDescent="0.25"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AA48" s="87"/>
      <c r="AB48" s="84"/>
      <c r="AC48" s="87"/>
      <c r="AE48" s="87"/>
    </row>
    <row r="49" spans="5:31" x14ac:dyDescent="0.25"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T49" s="87"/>
      <c r="U49" s="87"/>
      <c r="V49" s="87"/>
      <c r="W49" s="87"/>
      <c r="X49" s="87"/>
      <c r="Y49" s="87"/>
    </row>
    <row r="50" spans="5:31" x14ac:dyDescent="0.25"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S50" s="41"/>
      <c r="T50" s="177"/>
      <c r="W50" s="177"/>
      <c r="X50" s="177"/>
      <c r="Y50" s="177"/>
      <c r="AA50" s="85"/>
      <c r="AC50" s="85"/>
      <c r="AE50" s="178"/>
    </row>
    <row r="51" spans="5:31" x14ac:dyDescent="0.25"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S51" s="41"/>
      <c r="T51" s="177"/>
      <c r="W51" s="177"/>
      <c r="X51" s="177"/>
      <c r="Y51" s="177"/>
      <c r="AA51" s="85"/>
      <c r="AC51" s="85"/>
      <c r="AE51" s="178"/>
    </row>
    <row r="52" spans="5:31" x14ac:dyDescent="0.25"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S52" s="41"/>
      <c r="T52" s="177"/>
      <c r="W52" s="177"/>
      <c r="X52" s="177"/>
      <c r="Y52" s="177"/>
      <c r="AA52" s="85"/>
      <c r="AC52" s="85"/>
      <c r="AE52" s="178"/>
    </row>
    <row r="53" spans="5:31" x14ac:dyDescent="0.25"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S53" s="41"/>
      <c r="T53" s="177"/>
      <c r="W53" s="177"/>
      <c r="X53" s="177"/>
      <c r="Y53" s="177"/>
      <c r="AA53" s="85"/>
      <c r="AB53" s="120"/>
      <c r="AC53" s="85"/>
      <c r="AD53" s="120"/>
      <c r="AE53" s="178"/>
    </row>
    <row r="54" spans="5:31" ht="6.75" customHeight="1" x14ac:dyDescent="0.25"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S54" s="41"/>
      <c r="T54" s="177"/>
      <c r="W54" s="177"/>
      <c r="X54" s="177"/>
      <c r="Y54" s="177"/>
      <c r="AA54" s="85"/>
      <c r="AB54" s="120"/>
      <c r="AC54" s="85"/>
      <c r="AD54" s="120"/>
      <c r="AE54" s="178"/>
    </row>
    <row r="55" spans="5:31" x14ac:dyDescent="0.25"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S55" s="41"/>
      <c r="T55" s="177"/>
      <c r="W55" s="177"/>
      <c r="X55" s="177"/>
      <c r="Y55" s="177"/>
      <c r="AA55" s="85"/>
      <c r="AC55" s="85"/>
      <c r="AE55" s="178"/>
    </row>
    <row r="56" spans="5:31" x14ac:dyDescent="0.25"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S56" s="41"/>
      <c r="T56" s="177"/>
      <c r="W56" s="177"/>
      <c r="X56" s="177"/>
      <c r="Y56" s="177"/>
      <c r="AA56" s="85"/>
      <c r="AC56" s="85"/>
      <c r="AE56" s="178"/>
    </row>
    <row r="57" spans="5:31" x14ac:dyDescent="0.25"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S57" s="41"/>
      <c r="T57" s="177"/>
      <c r="W57" s="177"/>
      <c r="X57" s="177"/>
      <c r="Y57" s="177"/>
      <c r="AA57" s="85"/>
      <c r="AC57" s="85"/>
      <c r="AE57" s="178"/>
    </row>
    <row r="58" spans="5:31" x14ac:dyDescent="0.25"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S58" s="41"/>
      <c r="T58" s="177"/>
      <c r="W58" s="177"/>
      <c r="X58" s="177"/>
      <c r="Y58" s="177"/>
      <c r="AA58" s="85"/>
      <c r="AC58" s="85"/>
      <c r="AE58" s="178"/>
    </row>
    <row r="59" spans="5:31" x14ac:dyDescent="0.25"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S59" s="41"/>
      <c r="T59" s="177"/>
      <c r="W59" s="177"/>
      <c r="X59" s="177"/>
      <c r="Y59" s="177"/>
      <c r="AA59" s="85"/>
      <c r="AC59" s="85"/>
      <c r="AE59" s="178"/>
    </row>
    <row r="60" spans="5:31" ht="6.75" customHeight="1" x14ac:dyDescent="0.25"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S60" s="41"/>
      <c r="T60" s="177"/>
      <c r="W60" s="177"/>
      <c r="X60" s="177"/>
      <c r="Y60" s="177"/>
      <c r="AA60" s="85"/>
      <c r="AC60" s="85"/>
      <c r="AE60" s="178"/>
    </row>
    <row r="61" spans="5:31" x14ac:dyDescent="0.25"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S61" s="41"/>
      <c r="T61" s="177"/>
      <c r="W61" s="177"/>
      <c r="X61" s="177"/>
      <c r="Y61" s="177"/>
      <c r="AA61" s="85"/>
      <c r="AC61" s="85"/>
      <c r="AE61" s="178"/>
    </row>
    <row r="62" spans="5:31" x14ac:dyDescent="0.25"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S62" s="41"/>
      <c r="T62" s="177"/>
      <c r="W62" s="177"/>
      <c r="X62" s="177"/>
      <c r="Y62" s="177"/>
      <c r="AA62" s="85"/>
      <c r="AC62" s="85"/>
      <c r="AE62" s="178"/>
    </row>
    <row r="63" spans="5:31" x14ac:dyDescent="0.25"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S63" s="41"/>
      <c r="T63" s="177"/>
      <c r="W63" s="177"/>
      <c r="X63" s="177"/>
      <c r="Y63" s="177"/>
      <c r="AA63" s="85"/>
      <c r="AC63" s="85"/>
      <c r="AE63" s="178"/>
    </row>
    <row r="64" spans="5:31" x14ac:dyDescent="0.25"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S64" s="41"/>
      <c r="T64" s="177"/>
      <c r="W64" s="177"/>
      <c r="X64" s="177"/>
      <c r="Y64" s="177"/>
      <c r="AA64" s="85"/>
      <c r="AC64" s="85"/>
      <c r="AE64" s="178"/>
    </row>
    <row r="65" spans="5:35" x14ac:dyDescent="0.25"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T65" s="87"/>
      <c r="U65" s="87"/>
      <c r="V65" s="87"/>
      <c r="W65" s="87"/>
      <c r="X65" s="87"/>
      <c r="Y65" s="87"/>
    </row>
    <row r="66" spans="5:35" x14ac:dyDescent="0.25"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T66" s="87"/>
      <c r="U66" s="87"/>
      <c r="V66" s="87"/>
      <c r="W66" s="87"/>
      <c r="X66" s="87"/>
      <c r="Y66" s="87"/>
    </row>
    <row r="67" spans="5:35" x14ac:dyDescent="0.25"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AE67" s="178"/>
    </row>
    <row r="68" spans="5:35" x14ac:dyDescent="0.25">
      <c r="AH68" s="179"/>
      <c r="AI68" s="179"/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75" right="0.75" top="1.5" bottom="0.5" header="1" footer="0.5"/>
  <pageSetup scale="7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8"/>
  <sheetViews>
    <sheetView view="pageBreakPreview" topLeftCell="O10" zoomScaleNormal="100" zoomScaleSheetLayoutView="100" workbookViewId="0">
      <selection activeCell="E41" sqref="E41"/>
    </sheetView>
  </sheetViews>
  <sheetFormatPr defaultColWidth="9.109375" defaultRowHeight="13.2" x14ac:dyDescent="0.25"/>
  <cols>
    <col min="1" max="1" width="10.44140625" style="17" customWidth="1"/>
    <col min="2" max="2" width="3.6640625" style="17" customWidth="1"/>
    <col min="3" max="3" width="6.5546875" style="17" customWidth="1"/>
    <col min="4" max="4" width="1.88671875" style="17" customWidth="1"/>
    <col min="5" max="5" width="12" style="17" bestFit="1" customWidth="1"/>
    <col min="6" max="6" width="2" style="17" customWidth="1"/>
    <col min="7" max="7" width="15.109375" style="17" bestFit="1" customWidth="1"/>
    <col min="8" max="8" width="14.6640625" style="17" customWidth="1"/>
    <col min="9" max="9" width="14.88671875" style="17" customWidth="1"/>
    <col min="10" max="10" width="9.88671875" style="17" customWidth="1"/>
    <col min="11" max="12" width="13.44140625" style="17" bestFit="1" customWidth="1"/>
    <col min="13" max="13" width="15.109375" style="17" customWidth="1"/>
    <col min="14" max="15" width="15.109375" style="17" bestFit="1" customWidth="1"/>
    <col min="16" max="18" width="9.88671875" style="17" customWidth="1"/>
    <col min="19" max="19" width="10" style="17" customWidth="1"/>
    <col min="20" max="20" width="14.44140625" style="17" bestFit="1" customWidth="1"/>
    <col min="21" max="21" width="12.6640625" style="17" bestFit="1" customWidth="1"/>
    <col min="22" max="22" width="13.88671875" style="17" bestFit="1" customWidth="1"/>
    <col min="23" max="23" width="12.6640625" style="17" bestFit="1" customWidth="1"/>
    <col min="24" max="24" width="14.44140625" style="17" bestFit="1" customWidth="1"/>
    <col min="25" max="25" width="3.109375" style="17" customWidth="1"/>
    <col min="26" max="26" width="14.44140625" style="17" customWidth="1"/>
    <col min="27" max="27" width="3.88671875" style="17" customWidth="1"/>
    <col min="28" max="28" width="2.44140625" style="17" customWidth="1"/>
    <col min="29" max="30" width="14.44140625" style="17" bestFit="1" customWidth="1"/>
    <col min="31" max="31" width="12.6640625" style="17" bestFit="1" customWidth="1"/>
    <col min="32" max="32" width="13.88671875" style="17" bestFit="1" customWidth="1"/>
    <col min="33" max="33" width="12.6640625" style="17" bestFit="1" customWidth="1"/>
    <col min="34" max="35" width="14.44140625" style="17" bestFit="1" customWidth="1"/>
    <col min="36" max="36" width="11.109375" style="17" customWidth="1"/>
    <col min="37" max="37" width="11.44140625" style="17" bestFit="1" customWidth="1"/>
    <col min="38" max="38" width="10.6640625" style="17" customWidth="1"/>
    <col min="39" max="39" width="11.44140625" style="17" bestFit="1" customWidth="1"/>
    <col min="40" max="16384" width="9.109375" style="17"/>
  </cols>
  <sheetData>
    <row r="1" spans="1:39" x14ac:dyDescent="0.25">
      <c r="A1" s="438" t="str">
        <f>+'Rate Case Constants'!C9</f>
        <v>LOUISVILLE GAS AND ELECTRIC COMPANY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39" x14ac:dyDescent="0.25">
      <c r="A2" s="438" t="str">
        <f>+'Rate Case Constants'!C10</f>
        <v>CASE NO. 2016-00371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</row>
    <row r="3" spans="1:39" x14ac:dyDescent="0.25">
      <c r="A3" s="440" t="str">
        <f>+'Rate Case Constants'!C24</f>
        <v>Typical Electric Bill Comparison under Present &amp; Proposed Rates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</row>
    <row r="4" spans="1:39" x14ac:dyDescent="0.25">
      <c r="A4" s="438" t="str">
        <f>+'Rate Case Constants'!C21</f>
        <v>FORECAST PERIOD FOR THE 12 MONTHS ENDED JUNE 30, 2018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</row>
    <row r="5" spans="1:39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39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39" x14ac:dyDescent="0.25">
      <c r="A7" s="84" t="str">
        <f>+'Rate Case Constants'!C33</f>
        <v>DATA: ____BASE PERIOD__X___FORECASTED PERIOD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326" t="str">
        <f>+'Rate Case Constants'!C25</f>
        <v>SCHEDULE N (Electric)</v>
      </c>
    </row>
    <row r="8" spans="1:39" x14ac:dyDescent="0.25">
      <c r="A8" s="84" t="str">
        <f>+'Rate Case Constants'!C29</f>
        <v>TYPE OF FILING: __X__ ORIGINAL  _____ UPDATED  _____ REVISED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327"/>
      <c r="M8" s="84"/>
      <c r="N8" s="84"/>
      <c r="O8" s="84"/>
      <c r="P8" s="327" t="str">
        <f>+'Rate Case Constants'!L19</f>
        <v>PAGE 12 of 21</v>
      </c>
    </row>
    <row r="9" spans="1:39" x14ac:dyDescent="0.25">
      <c r="A9" s="84" t="str">
        <f>+'Rate Case Constants'!C34</f>
        <v>WORKPAPER REFERENCE NO(S):________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327" t="str">
        <f>+'Rate Case Constants'!C36</f>
        <v>WITNESS:   C. M. GARRETT</v>
      </c>
    </row>
    <row r="10" spans="1:39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S10" s="84" t="s">
        <v>71</v>
      </c>
      <c r="T10" s="17">
        <f>+INPUT!G57</f>
        <v>0</v>
      </c>
    </row>
    <row r="11" spans="1:39" x14ac:dyDescent="0.25">
      <c r="A11" s="221" t="s">
        <v>370</v>
      </c>
      <c r="S11" s="84" t="s">
        <v>73</v>
      </c>
      <c r="T11" s="17">
        <f>+INPUT!H57</f>
        <v>0</v>
      </c>
      <c r="V11" s="170" t="s">
        <v>132</v>
      </c>
      <c r="AD11" s="170" t="s">
        <v>132</v>
      </c>
    </row>
    <row r="12" spans="1:39" x14ac:dyDescent="0.25"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 t="s">
        <v>72</v>
      </c>
      <c r="T12" s="17">
        <f>+INPUT!I57</f>
        <v>0</v>
      </c>
    </row>
    <row r="13" spans="1:39" x14ac:dyDescent="0.25">
      <c r="A13" s="86"/>
      <c r="G13" s="202" t="s">
        <v>326</v>
      </c>
      <c r="H13" s="203" t="s">
        <v>327</v>
      </c>
      <c r="I13" s="203" t="s">
        <v>328</v>
      </c>
      <c r="J13" s="202" t="s">
        <v>329</v>
      </c>
      <c r="K13" s="202" t="s">
        <v>330</v>
      </c>
      <c r="L13" s="202" t="s">
        <v>331</v>
      </c>
      <c r="M13" s="203" t="s">
        <v>332</v>
      </c>
      <c r="N13" s="202" t="s">
        <v>333</v>
      </c>
      <c r="O13" s="202" t="s">
        <v>334</v>
      </c>
      <c r="P13" s="202" t="s">
        <v>335</v>
      </c>
      <c r="U13" s="87" t="s">
        <v>1</v>
      </c>
      <c r="V13" s="87" t="s">
        <v>1</v>
      </c>
      <c r="W13" s="87" t="s">
        <v>1</v>
      </c>
      <c r="Z13" s="87" t="s">
        <v>72</v>
      </c>
      <c r="AD13" s="25"/>
      <c r="AE13" s="171" t="s">
        <v>9</v>
      </c>
      <c r="AF13" s="171" t="s">
        <v>9</v>
      </c>
      <c r="AG13" s="171" t="s">
        <v>9</v>
      </c>
      <c r="AH13" s="25"/>
      <c r="AI13" s="87" t="s">
        <v>72</v>
      </c>
    </row>
    <row r="14" spans="1:39" x14ac:dyDescent="0.25">
      <c r="G14" s="313" t="s">
        <v>366</v>
      </c>
      <c r="H14" s="313" t="s">
        <v>366</v>
      </c>
      <c r="I14" s="206"/>
      <c r="J14" s="206"/>
      <c r="K14" s="206"/>
      <c r="L14" s="206"/>
      <c r="M14" s="206"/>
      <c r="N14" s="202" t="s">
        <v>5</v>
      </c>
      <c r="O14" s="202" t="s">
        <v>5</v>
      </c>
      <c r="P14" s="206"/>
      <c r="S14" s="87" t="s">
        <v>1</v>
      </c>
      <c r="T14" s="87" t="s">
        <v>1</v>
      </c>
      <c r="U14" s="87" t="s">
        <v>34</v>
      </c>
      <c r="V14" s="87" t="s">
        <v>30</v>
      </c>
      <c r="W14" s="87" t="s">
        <v>22</v>
      </c>
      <c r="X14" s="87" t="s">
        <v>1</v>
      </c>
      <c r="Y14" s="87"/>
      <c r="Z14" s="87" t="s">
        <v>1</v>
      </c>
      <c r="AC14" s="87" t="s">
        <v>9</v>
      </c>
      <c r="AD14" s="87" t="s">
        <v>9</v>
      </c>
      <c r="AE14" s="171" t="s">
        <v>34</v>
      </c>
      <c r="AF14" s="171" t="s">
        <v>30</v>
      </c>
      <c r="AG14" s="171" t="s">
        <v>22</v>
      </c>
      <c r="AH14" s="171" t="s">
        <v>9</v>
      </c>
      <c r="AI14" s="87" t="s">
        <v>1</v>
      </c>
      <c r="AK14" s="87"/>
    </row>
    <row r="15" spans="1:39" x14ac:dyDescent="0.25">
      <c r="C15" s="87" t="s">
        <v>23</v>
      </c>
      <c r="E15" s="87"/>
      <c r="F15" s="87"/>
      <c r="G15" s="202" t="s">
        <v>1</v>
      </c>
      <c r="H15" s="202" t="s">
        <v>74</v>
      </c>
      <c r="I15" s="202"/>
      <c r="J15" s="202"/>
      <c r="K15" s="436" t="s">
        <v>130</v>
      </c>
      <c r="L15" s="436"/>
      <c r="M15" s="437"/>
      <c r="N15" s="202" t="s">
        <v>1</v>
      </c>
      <c r="O15" s="202" t="s">
        <v>74</v>
      </c>
      <c r="P15" s="202"/>
      <c r="Q15" s="87"/>
      <c r="R15" s="87"/>
      <c r="S15" s="87" t="s">
        <v>2</v>
      </c>
      <c r="T15" s="87" t="s">
        <v>58</v>
      </c>
      <c r="U15" s="87" t="s">
        <v>25</v>
      </c>
      <c r="V15" s="87" t="s">
        <v>25</v>
      </c>
      <c r="W15" s="87" t="s">
        <v>18</v>
      </c>
      <c r="X15" s="87" t="s">
        <v>5</v>
      </c>
      <c r="Y15" s="87"/>
      <c r="Z15" s="87" t="s">
        <v>76</v>
      </c>
      <c r="AC15" s="88" t="s">
        <v>57</v>
      </c>
      <c r="AD15" s="87" t="s">
        <v>58</v>
      </c>
      <c r="AE15" s="171" t="s">
        <v>25</v>
      </c>
      <c r="AF15" s="171" t="s">
        <v>25</v>
      </c>
      <c r="AG15" s="171" t="s">
        <v>18</v>
      </c>
      <c r="AH15" s="171" t="s">
        <v>5</v>
      </c>
      <c r="AI15" s="87" t="s">
        <v>76</v>
      </c>
      <c r="AK15" s="87" t="s">
        <v>6</v>
      </c>
      <c r="AL15" s="87"/>
      <c r="AM15" s="87" t="s">
        <v>8</v>
      </c>
    </row>
    <row r="16" spans="1:39" x14ac:dyDescent="0.25">
      <c r="A16" s="87" t="s">
        <v>26</v>
      </c>
      <c r="C16" s="87" t="s">
        <v>24</v>
      </c>
      <c r="E16" s="87" t="s">
        <v>0</v>
      </c>
      <c r="F16" s="87"/>
      <c r="G16" s="202" t="s">
        <v>4</v>
      </c>
      <c r="H16" s="202" t="s">
        <v>4</v>
      </c>
      <c r="I16" s="202" t="s">
        <v>75</v>
      </c>
      <c r="J16" s="202" t="s">
        <v>75</v>
      </c>
      <c r="K16" s="202" t="s">
        <v>421</v>
      </c>
      <c r="L16" s="202" t="s">
        <v>73</v>
      </c>
      <c r="M16" s="202" t="s">
        <v>72</v>
      </c>
      <c r="N16" s="202" t="s">
        <v>4</v>
      </c>
      <c r="O16" s="202" t="s">
        <v>4</v>
      </c>
      <c r="P16" s="202" t="s">
        <v>75</v>
      </c>
      <c r="Q16" s="87"/>
      <c r="R16" s="87"/>
      <c r="S16" s="88" t="s">
        <v>3</v>
      </c>
      <c r="T16" s="87" t="s">
        <v>3</v>
      </c>
      <c r="U16" s="87" t="s">
        <v>3</v>
      </c>
      <c r="V16" s="87" t="s">
        <v>3</v>
      </c>
      <c r="W16" s="87" t="s">
        <v>3</v>
      </c>
      <c r="X16" s="87" t="s">
        <v>4</v>
      </c>
      <c r="Y16" s="87"/>
      <c r="Z16" s="87" t="s">
        <v>3</v>
      </c>
      <c r="AC16" s="88" t="s">
        <v>3</v>
      </c>
      <c r="AD16" s="87" t="s">
        <v>3</v>
      </c>
      <c r="AE16" s="171" t="s">
        <v>3</v>
      </c>
      <c r="AF16" s="171" t="s">
        <v>3</v>
      </c>
      <c r="AG16" s="171" t="s">
        <v>3</v>
      </c>
      <c r="AH16" s="171" t="s">
        <v>4</v>
      </c>
      <c r="AI16" s="87" t="s">
        <v>3</v>
      </c>
      <c r="AK16" s="87" t="s">
        <v>7</v>
      </c>
      <c r="AL16" s="87"/>
      <c r="AM16" s="87" t="s">
        <v>7</v>
      </c>
    </row>
    <row r="17" spans="1:39" x14ac:dyDescent="0.25">
      <c r="A17" s="87"/>
      <c r="C17" s="87"/>
      <c r="E17" s="87"/>
      <c r="F17" s="87"/>
      <c r="G17" s="202"/>
      <c r="H17" s="202"/>
      <c r="I17" s="202" t="s">
        <v>69</v>
      </c>
      <c r="J17" s="203" t="s">
        <v>70</v>
      </c>
      <c r="K17" s="204"/>
      <c r="L17" s="204"/>
      <c r="M17" s="205"/>
      <c r="N17" s="202" t="s">
        <v>69</v>
      </c>
      <c r="O17" s="202" t="s">
        <v>69</v>
      </c>
      <c r="P17" s="203" t="s">
        <v>70</v>
      </c>
      <c r="Q17" s="87"/>
      <c r="R17" s="87"/>
      <c r="S17" s="88"/>
      <c r="T17" s="172">
        <f>+INPUT!$M$6</f>
        <v>3.6119999999999999E-2</v>
      </c>
      <c r="U17" s="173">
        <f>+INPUT!$M$14</f>
        <v>3.42</v>
      </c>
      <c r="V17" s="173">
        <f>+INPUT!$M$15</f>
        <v>2.37</v>
      </c>
      <c r="W17" s="173">
        <f>+INPUT!$M$16</f>
        <v>2.37</v>
      </c>
      <c r="X17" s="87"/>
      <c r="Y17" s="87"/>
      <c r="Z17" s="172"/>
      <c r="AC17" s="88"/>
      <c r="AD17" s="172">
        <f>+INPUT!$M$27</f>
        <v>3.8240000000000003E-2</v>
      </c>
      <c r="AE17" s="173">
        <f>+INPUT!$M$35</f>
        <v>6.3</v>
      </c>
      <c r="AF17" s="173">
        <f>+INPUT!$M$36</f>
        <v>4.4800000000000004</v>
      </c>
      <c r="AG17" s="173">
        <f>+INPUT!$M$37</f>
        <v>2.83</v>
      </c>
      <c r="AH17" s="171"/>
      <c r="AI17" s="172"/>
      <c r="AK17" s="87"/>
      <c r="AL17" s="87"/>
      <c r="AM17" s="87"/>
    </row>
    <row r="18" spans="1:39" x14ac:dyDescent="0.25">
      <c r="A18" s="216"/>
      <c r="B18" s="216"/>
      <c r="C18" s="110"/>
      <c r="D18" s="216"/>
      <c r="E18" s="110"/>
      <c r="F18" s="110"/>
      <c r="G18" s="325"/>
      <c r="H18" s="325"/>
      <c r="I18" s="325" t="str">
        <f>("[ "&amp;H13&amp;" - "&amp;G13&amp;" ]")</f>
        <v>[ B - A ]</v>
      </c>
      <c r="J18" s="325" t="str">
        <f>("[ "&amp;I13&amp;" / "&amp;G13&amp;" ]")</f>
        <v>[ C / A ]</v>
      </c>
      <c r="K18" s="353"/>
      <c r="L18" s="353"/>
      <c r="M18" s="353"/>
      <c r="N18" s="325" t="str">
        <f>("["&amp;G13&amp;"+"&amp;$K$13&amp;"+"&amp;$L$13&amp;"+"&amp;$M$13&amp;"]")</f>
        <v>[A+E+F+G]</v>
      </c>
      <c r="O18" s="325" t="str">
        <f>("["&amp;H13&amp;"+"&amp;$K$13&amp;"+"&amp;$L$13&amp;"+"&amp;$M$13&amp;"]")</f>
        <v>[B+E+F+G]</v>
      </c>
      <c r="P18" s="325" t="str">
        <f>("[("&amp;O13&amp;" - "&amp;N13&amp;")/"&amp;N13&amp;"]")</f>
        <v>[(I - H)/H]</v>
      </c>
      <c r="Q18" s="87"/>
      <c r="R18" s="87"/>
      <c r="T18" s="87" t="s">
        <v>14</v>
      </c>
      <c r="U18" s="87" t="s">
        <v>60</v>
      </c>
      <c r="V18" s="87" t="s">
        <v>60</v>
      </c>
      <c r="W18" s="87" t="s">
        <v>60</v>
      </c>
      <c r="X18" s="87"/>
      <c r="Y18" s="87"/>
      <c r="Z18" s="87" t="s">
        <v>14</v>
      </c>
      <c r="AC18" s="88"/>
      <c r="AD18" s="87" t="s">
        <v>14</v>
      </c>
      <c r="AE18" s="87" t="s">
        <v>60</v>
      </c>
      <c r="AF18" s="87" t="s">
        <v>60</v>
      </c>
      <c r="AG18" s="87" t="s">
        <v>60</v>
      </c>
      <c r="AH18" s="171"/>
      <c r="AI18" s="87" t="s">
        <v>14</v>
      </c>
      <c r="AK18" s="87"/>
      <c r="AL18" s="87"/>
      <c r="AM18" s="87"/>
    </row>
    <row r="19" spans="1:39" x14ac:dyDescent="0.25">
      <c r="C19" s="87"/>
      <c r="E19" s="87"/>
      <c r="F19" s="87"/>
      <c r="G19" s="3"/>
      <c r="H19" s="3"/>
      <c r="I19" s="202"/>
      <c r="J19" s="202"/>
      <c r="K19" s="3"/>
      <c r="L19" s="3"/>
      <c r="M19" s="3"/>
      <c r="N19" s="202"/>
      <c r="O19" s="3"/>
      <c r="P19" s="202"/>
      <c r="Q19" s="87"/>
      <c r="R19" s="87"/>
      <c r="U19" s="87"/>
      <c r="V19" s="87"/>
      <c r="W19" s="87"/>
      <c r="X19" s="87"/>
      <c r="Y19" s="87"/>
      <c r="AC19" s="88"/>
      <c r="AD19" s="87"/>
      <c r="AE19" s="171"/>
      <c r="AF19" s="171"/>
      <c r="AG19" s="171"/>
      <c r="AH19" s="171"/>
      <c r="AK19" s="87"/>
      <c r="AL19" s="87"/>
      <c r="AM19" s="87"/>
    </row>
    <row r="20" spans="1:39" x14ac:dyDescent="0.25">
      <c r="A20" s="83">
        <v>50000</v>
      </c>
      <c r="B20" s="83"/>
      <c r="C20" s="174">
        <v>0.3</v>
      </c>
      <c r="E20" s="83">
        <f>C20*($A$20*730)</f>
        <v>10950000</v>
      </c>
      <c r="F20" s="83"/>
      <c r="G20" s="90">
        <f>+X20</f>
        <v>719014</v>
      </c>
      <c r="H20" s="90">
        <f>+AH20</f>
        <v>942058</v>
      </c>
      <c r="I20" s="90">
        <f>+H20-G20</f>
        <v>223044</v>
      </c>
      <c r="J20" s="91">
        <f>ROUND(+I20/G20,4)</f>
        <v>0.31019999999999998</v>
      </c>
      <c r="K20" s="90">
        <f>ROUND($T$10*$E20,2)</f>
        <v>0</v>
      </c>
      <c r="L20" s="90">
        <f>ROUND($T$11*$E20,2)</f>
        <v>0</v>
      </c>
      <c r="M20" s="90">
        <f>ROUND($T$12*$E20,2)</f>
        <v>0</v>
      </c>
      <c r="N20" s="90">
        <f>+G20+K20+L20+M20</f>
        <v>719014</v>
      </c>
      <c r="O20" s="90">
        <f>+H20+K20+L20+M20</f>
        <v>942058</v>
      </c>
      <c r="P20" s="91">
        <f>(O20-N20)/N20</f>
        <v>0.31020814615570769</v>
      </c>
      <c r="Q20" s="83"/>
      <c r="S20" s="41">
        <f>+INPUT!$M$4</f>
        <v>1000</v>
      </c>
      <c r="T20" s="25">
        <f>$T$17*E20</f>
        <v>395514</v>
      </c>
      <c r="U20" s="25">
        <f>$U$17*($A$20*0.5)</f>
        <v>85500</v>
      </c>
      <c r="V20" s="25">
        <f>$V$17*$A$20</f>
        <v>118500</v>
      </c>
      <c r="W20" s="25">
        <f>$W$17*$A$20</f>
        <v>118500</v>
      </c>
      <c r="X20" s="25">
        <f>S20+T20+U20+V20+W20</f>
        <v>719014</v>
      </c>
      <c r="Y20" s="25"/>
      <c r="Z20" s="25"/>
      <c r="AC20" s="41">
        <f>INPUT!$M$25</f>
        <v>330</v>
      </c>
      <c r="AD20" s="25">
        <f>$AD$17*E20</f>
        <v>418728.00000000006</v>
      </c>
      <c r="AE20" s="25">
        <f>$AE$17*($A$20*0.5)</f>
        <v>157500</v>
      </c>
      <c r="AF20" s="25">
        <f>$A$20*$AF$17</f>
        <v>224000.00000000003</v>
      </c>
      <c r="AG20" s="25">
        <f>$A$20*$AG$17</f>
        <v>141500</v>
      </c>
      <c r="AH20" s="25">
        <f>AC20+AD20+AE20+AF20+AG20</f>
        <v>942058</v>
      </c>
      <c r="AI20" s="25"/>
      <c r="AK20" s="41">
        <f>AH20-X20</f>
        <v>223044</v>
      </c>
      <c r="AM20" s="175">
        <f>AH20/X20-1</f>
        <v>0.31020814615570758</v>
      </c>
    </row>
    <row r="21" spans="1:39" x14ac:dyDescent="0.25">
      <c r="C21" s="174">
        <v>0.5</v>
      </c>
      <c r="E21" s="83">
        <f>C21*($A$20*730)</f>
        <v>18250000</v>
      </c>
      <c r="F21" s="83"/>
      <c r="G21" s="90">
        <f t="shared" ref="G21:G38" si="0">+X21</f>
        <v>982690</v>
      </c>
      <c r="H21" s="90">
        <f>+AH21</f>
        <v>1221210</v>
      </c>
      <c r="I21" s="90">
        <f>+H21-G21</f>
        <v>238520</v>
      </c>
      <c r="J21" s="91">
        <f>ROUND(+I21/G21,4)</f>
        <v>0.2427</v>
      </c>
      <c r="K21" s="90">
        <f>ROUND($T$10*$E21,2)</f>
        <v>0</v>
      </c>
      <c r="L21" s="90">
        <f>ROUND($T$11*$E21,2)</f>
        <v>0</v>
      </c>
      <c r="M21" s="90">
        <f>ROUND($T$12*$E21,2)</f>
        <v>0</v>
      </c>
      <c r="N21" s="90">
        <f>+G21+K21+L21+M21</f>
        <v>982690</v>
      </c>
      <c r="O21" s="90">
        <f>+H21+K21+L21+M21</f>
        <v>1221210</v>
      </c>
      <c r="P21" s="91">
        <f>(O21-N21)/N21</f>
        <v>0.24272150932644068</v>
      </c>
      <c r="Q21" s="83"/>
      <c r="S21" s="41">
        <f>$S$20</f>
        <v>1000</v>
      </c>
      <c r="T21" s="25">
        <f>$T$17*E21</f>
        <v>659190</v>
      </c>
      <c r="U21" s="25">
        <f>$U$17*($A$20*0.5)</f>
        <v>85500</v>
      </c>
      <c r="V21" s="25">
        <f>$V$17*$A$20</f>
        <v>118500</v>
      </c>
      <c r="W21" s="25">
        <f>$W$17*$A$20</f>
        <v>118500</v>
      </c>
      <c r="X21" s="25">
        <f>S21+T21+U21+V21+W21</f>
        <v>982690</v>
      </c>
      <c r="Y21" s="25"/>
      <c r="Z21" s="25"/>
      <c r="AC21" s="41">
        <f>$AC$20</f>
        <v>330</v>
      </c>
      <c r="AD21" s="25">
        <f>$AD$17*E21</f>
        <v>697880</v>
      </c>
      <c r="AE21" s="25">
        <f>$AE$17*($A$20*0.5)</f>
        <v>157500</v>
      </c>
      <c r="AF21" s="25">
        <f>$A$20*$AF$17</f>
        <v>224000.00000000003</v>
      </c>
      <c r="AG21" s="25">
        <f>$A$20*$AG$17</f>
        <v>141500</v>
      </c>
      <c r="AH21" s="25">
        <f>AC21+AD21+AE21+AF21+AG21</f>
        <v>1221210</v>
      </c>
      <c r="AI21" s="25"/>
      <c r="AK21" s="41">
        <f>AH21-X21</f>
        <v>238520</v>
      </c>
      <c r="AM21" s="175">
        <f>AH21/X21-1</f>
        <v>0.24272150932644077</v>
      </c>
    </row>
    <row r="22" spans="1:39" x14ac:dyDescent="0.25">
      <c r="C22" s="174">
        <v>0.7</v>
      </c>
      <c r="E22" s="83">
        <f>C22*($A$20*730)</f>
        <v>25550000</v>
      </c>
      <c r="F22" s="83"/>
      <c r="G22" s="90">
        <f t="shared" si="0"/>
        <v>1246366</v>
      </c>
      <c r="H22" s="90">
        <f>+AH22</f>
        <v>1500362</v>
      </c>
      <c r="I22" s="90">
        <f>+H22-G22</f>
        <v>253996</v>
      </c>
      <c r="J22" s="91">
        <f>ROUND(+I22/G22,4)</f>
        <v>0.20380000000000001</v>
      </c>
      <c r="K22" s="90">
        <f>ROUND($T$10*$E22,2)</f>
        <v>0</v>
      </c>
      <c r="L22" s="90">
        <f>ROUND($T$11*$E22,2)</f>
        <v>0</v>
      </c>
      <c r="M22" s="90">
        <f>ROUND($T$12*$E22,2)</f>
        <v>0</v>
      </c>
      <c r="N22" s="90">
        <f>+G22+K22+L22+M22</f>
        <v>1246366</v>
      </c>
      <c r="O22" s="90">
        <f>+H22+K22+L22+M22</f>
        <v>1500362</v>
      </c>
      <c r="P22" s="91">
        <f>(O22-N22)/N22</f>
        <v>0.2037892561254078</v>
      </c>
      <c r="Q22" s="83"/>
      <c r="S22" s="41">
        <f>$S$20</f>
        <v>1000</v>
      </c>
      <c r="T22" s="25">
        <f>$T$17*E22</f>
        <v>922866</v>
      </c>
      <c r="U22" s="25">
        <f>$U$17*($A$20*0.5)</f>
        <v>85500</v>
      </c>
      <c r="V22" s="25">
        <f>$V$17*$A$20</f>
        <v>118500</v>
      </c>
      <c r="W22" s="25">
        <f>$W$17*$A$20</f>
        <v>118500</v>
      </c>
      <c r="X22" s="25">
        <f>S22+T22+U22+V22+W22</f>
        <v>1246366</v>
      </c>
      <c r="Y22" s="25"/>
      <c r="Z22" s="25"/>
      <c r="AC22" s="41">
        <f>$AC$20</f>
        <v>330</v>
      </c>
      <c r="AD22" s="25">
        <f>$AD$17*E22</f>
        <v>977032.00000000012</v>
      </c>
      <c r="AE22" s="25">
        <f>$AE$17*($A$20*0.5)</f>
        <v>157500</v>
      </c>
      <c r="AF22" s="25">
        <f>$A$20*$AF$17</f>
        <v>224000.00000000003</v>
      </c>
      <c r="AG22" s="25">
        <f>$A$20*$AG$17</f>
        <v>141500</v>
      </c>
      <c r="AH22" s="25">
        <f>AC22+AD22+AE22+AF22+AG22</f>
        <v>1500362</v>
      </c>
      <c r="AI22" s="25"/>
      <c r="AK22" s="41">
        <f>AH22-X22</f>
        <v>253996</v>
      </c>
      <c r="AM22" s="175">
        <f>AH22/X22-1</f>
        <v>0.20378925612540777</v>
      </c>
    </row>
    <row r="23" spans="1:39" x14ac:dyDescent="0.25">
      <c r="C23" s="174"/>
      <c r="E23" s="83"/>
      <c r="F23" s="83"/>
      <c r="G23" s="90"/>
      <c r="H23" s="90"/>
      <c r="J23" s="38"/>
      <c r="K23" s="83"/>
      <c r="L23" s="83"/>
      <c r="M23" s="83"/>
      <c r="P23" s="91"/>
      <c r="Q23" s="83"/>
      <c r="S23" s="41"/>
      <c r="T23" s="25"/>
      <c r="U23" s="25"/>
      <c r="V23" s="25"/>
      <c r="W23" s="25"/>
      <c r="X23" s="25"/>
      <c r="Y23" s="25"/>
      <c r="AC23" s="41"/>
      <c r="AD23" s="25"/>
      <c r="AE23" s="25"/>
      <c r="AF23" s="25"/>
      <c r="AG23" s="25"/>
      <c r="AH23" s="25"/>
      <c r="AK23" s="85"/>
      <c r="AM23" s="85"/>
    </row>
    <row r="24" spans="1:39" x14ac:dyDescent="0.25">
      <c r="A24" s="83">
        <v>75000</v>
      </c>
      <c r="B24" s="83"/>
      <c r="C24" s="174">
        <v>0.3</v>
      </c>
      <c r="E24" s="83">
        <f>C24*($A$24*730)</f>
        <v>16425000</v>
      </c>
      <c r="F24" s="83"/>
      <c r="G24" s="90">
        <f t="shared" si="0"/>
        <v>1078021</v>
      </c>
      <c r="H24" s="90">
        <f>+AH24</f>
        <v>1412922</v>
      </c>
      <c r="I24" s="90">
        <f>+H24-G24</f>
        <v>334901</v>
      </c>
      <c r="J24" s="91">
        <f>ROUND(+I24/G24,4)</f>
        <v>0.31069999999999998</v>
      </c>
      <c r="K24" s="90">
        <f>ROUND($T$10*$E24,2)</f>
        <v>0</v>
      </c>
      <c r="L24" s="90">
        <f>ROUND($T$11*$E24,2)</f>
        <v>0</v>
      </c>
      <c r="M24" s="90">
        <f>ROUND($T$12*$E24,2)</f>
        <v>0</v>
      </c>
      <c r="N24" s="90">
        <f>+G24+K24+L24+M24</f>
        <v>1078021</v>
      </c>
      <c r="O24" s="90">
        <f>+H24+K24+L24+M24</f>
        <v>1412922</v>
      </c>
      <c r="P24" s="91">
        <f>(O24-N24)/N24</f>
        <v>0.31066277929650721</v>
      </c>
      <c r="Q24" s="83"/>
      <c r="S24" s="41">
        <f>$S$20</f>
        <v>1000</v>
      </c>
      <c r="T24" s="25">
        <f>$T$17*E24</f>
        <v>593271</v>
      </c>
      <c r="U24" s="25">
        <f>$U$17*($A$24*0.5)</f>
        <v>128250</v>
      </c>
      <c r="V24" s="25">
        <f>$V$17*$A$24</f>
        <v>177750</v>
      </c>
      <c r="W24" s="25">
        <f>$W$17*$A$24</f>
        <v>177750</v>
      </c>
      <c r="X24" s="25">
        <f>S24+T24+U24+V24+W24</f>
        <v>1078021</v>
      </c>
      <c r="Y24" s="25"/>
      <c r="Z24" s="25"/>
      <c r="AC24" s="41">
        <f>$AC$20</f>
        <v>330</v>
      </c>
      <c r="AD24" s="25">
        <f>$AD$17*E24</f>
        <v>628092</v>
      </c>
      <c r="AE24" s="25">
        <f>$AE$17*($A$24*0.5)</f>
        <v>236250</v>
      </c>
      <c r="AF24" s="25">
        <f>$A$24*$AF$17</f>
        <v>336000.00000000006</v>
      </c>
      <c r="AG24" s="25">
        <f>$A$24*$AG$17</f>
        <v>212250</v>
      </c>
      <c r="AH24" s="25">
        <f>AC24+AD24+AE24+AF24+AG24</f>
        <v>1412922</v>
      </c>
      <c r="AI24" s="25"/>
      <c r="AK24" s="41">
        <f>AH24-X24</f>
        <v>334901</v>
      </c>
      <c r="AL24" s="120"/>
      <c r="AM24" s="175">
        <f>AH24/X24-1</f>
        <v>0.31066277929650732</v>
      </c>
    </row>
    <row r="25" spans="1:39" x14ac:dyDescent="0.25">
      <c r="C25" s="174">
        <v>0.5</v>
      </c>
      <c r="E25" s="83">
        <f>C25*($A$24*730)</f>
        <v>27375000</v>
      </c>
      <c r="F25" s="83"/>
      <c r="G25" s="90">
        <f t="shared" si="0"/>
        <v>1473535</v>
      </c>
      <c r="H25" s="90">
        <f>+AH25</f>
        <v>1831650</v>
      </c>
      <c r="I25" s="90">
        <f>+H25-G25</f>
        <v>358115</v>
      </c>
      <c r="J25" s="91">
        <f>ROUND(+I25/G25,4)</f>
        <v>0.24299999999999999</v>
      </c>
      <c r="K25" s="90">
        <f>ROUND($T$10*$E25,2)</f>
        <v>0</v>
      </c>
      <c r="L25" s="90">
        <f>ROUND($T$11*$E25,2)</f>
        <v>0</v>
      </c>
      <c r="M25" s="90">
        <f>ROUND($T$12*$E25,2)</f>
        <v>0</v>
      </c>
      <c r="N25" s="90">
        <f>+G25+K25+L25+M25</f>
        <v>1473535</v>
      </c>
      <c r="O25" s="90">
        <f>+H25+K25+L25+M25</f>
        <v>1831650</v>
      </c>
      <c r="P25" s="91">
        <f>(O25-N25)/N25</f>
        <v>0.24303121405328004</v>
      </c>
      <c r="Q25" s="83"/>
      <c r="S25" s="41">
        <f>$S$20</f>
        <v>1000</v>
      </c>
      <c r="T25" s="25">
        <f>$T$17*E25</f>
        <v>988785</v>
      </c>
      <c r="U25" s="25">
        <f>$U$17*($A$24*0.5)</f>
        <v>128250</v>
      </c>
      <c r="V25" s="25">
        <f>$V$17*$A$24</f>
        <v>177750</v>
      </c>
      <c r="W25" s="25">
        <f>$W$17*$A$24</f>
        <v>177750</v>
      </c>
      <c r="X25" s="25">
        <f>S25+T25+U25+V25+W25</f>
        <v>1473535</v>
      </c>
      <c r="Y25" s="25"/>
      <c r="Z25" s="25"/>
      <c r="AC25" s="41">
        <f>$AC$20</f>
        <v>330</v>
      </c>
      <c r="AD25" s="25">
        <f>$AD$17*E25</f>
        <v>1046820.0000000001</v>
      </c>
      <c r="AE25" s="25">
        <f>$AE$17*($A$24*0.5)</f>
        <v>236250</v>
      </c>
      <c r="AF25" s="25">
        <f>$A$24*$AF$17</f>
        <v>336000.00000000006</v>
      </c>
      <c r="AG25" s="25">
        <f>$A$24*$AG$17</f>
        <v>212250</v>
      </c>
      <c r="AH25" s="25">
        <f>AC25+AD25+AE25+AF25+AG25</f>
        <v>1831650</v>
      </c>
      <c r="AI25" s="25"/>
      <c r="AK25" s="41">
        <f>AH25-X25</f>
        <v>358115</v>
      </c>
      <c r="AL25" s="120"/>
      <c r="AM25" s="175">
        <f>AH25/X25-1</f>
        <v>0.24303121405327999</v>
      </c>
    </row>
    <row r="26" spans="1:39" x14ac:dyDescent="0.25">
      <c r="C26" s="174">
        <v>0.7</v>
      </c>
      <c r="E26" s="83">
        <f>C26*($A$24*730)</f>
        <v>38325000</v>
      </c>
      <c r="F26" s="83"/>
      <c r="G26" s="90">
        <f t="shared" si="0"/>
        <v>1869049</v>
      </c>
      <c r="H26" s="90">
        <f>+AH26</f>
        <v>2250378</v>
      </c>
      <c r="I26" s="90">
        <f>+H26-G26</f>
        <v>381329</v>
      </c>
      <c r="J26" s="91">
        <f>ROUND(+I26/G26,4)</f>
        <v>0.20399999999999999</v>
      </c>
      <c r="K26" s="90">
        <f>ROUND($T$10*$E26,2)</f>
        <v>0</v>
      </c>
      <c r="L26" s="90">
        <f>ROUND($T$11*$E26,2)</f>
        <v>0</v>
      </c>
      <c r="M26" s="90">
        <f>ROUND($T$12*$E26,2)</f>
        <v>0</v>
      </c>
      <c r="N26" s="90">
        <f>+G26+K26+L26+M26</f>
        <v>1869049</v>
      </c>
      <c r="O26" s="90">
        <f>+H26+K26+L26+M26</f>
        <v>2250378</v>
      </c>
      <c r="P26" s="91">
        <f>(O26-N26)/N26</f>
        <v>0.20402300849255423</v>
      </c>
      <c r="Q26" s="83"/>
      <c r="S26" s="41">
        <f>$S$20</f>
        <v>1000</v>
      </c>
      <c r="T26" s="25">
        <f>$T$17*E26</f>
        <v>1384299</v>
      </c>
      <c r="U26" s="25">
        <f>$U$17*($A$24*0.5)</f>
        <v>128250</v>
      </c>
      <c r="V26" s="25">
        <f>$V$17*$A$24</f>
        <v>177750</v>
      </c>
      <c r="W26" s="25">
        <f>$W$17*$A$24</f>
        <v>177750</v>
      </c>
      <c r="X26" s="25">
        <f>S26+T26+U26+V26+W26</f>
        <v>1869049</v>
      </c>
      <c r="Y26" s="25"/>
      <c r="Z26" s="25"/>
      <c r="AC26" s="41">
        <f>$AC$20</f>
        <v>330</v>
      </c>
      <c r="AD26" s="25">
        <f>$AD$17*E26</f>
        <v>1465548.0000000002</v>
      </c>
      <c r="AE26" s="25">
        <f>$AE$17*($A$24*0.5)</f>
        <v>236250</v>
      </c>
      <c r="AF26" s="25">
        <f>$A$24*$AF$17</f>
        <v>336000.00000000006</v>
      </c>
      <c r="AG26" s="25">
        <f>$A$24*$AG$17</f>
        <v>212250</v>
      </c>
      <c r="AH26" s="25">
        <f>AC26+AD26+AE26+AF26+AG26</f>
        <v>2250378</v>
      </c>
      <c r="AI26" s="25"/>
      <c r="AK26" s="41">
        <f>AH26-X26</f>
        <v>381329</v>
      </c>
      <c r="AM26" s="175">
        <f>AH26/X26-1</f>
        <v>0.20402300849255428</v>
      </c>
    </row>
    <row r="27" spans="1:39" x14ac:dyDescent="0.25">
      <c r="C27" s="174"/>
      <c r="E27" s="83"/>
      <c r="F27" s="83"/>
      <c r="G27" s="90"/>
      <c r="H27" s="90"/>
      <c r="J27" s="38"/>
      <c r="K27" s="83"/>
      <c r="L27" s="83"/>
      <c r="M27" s="83"/>
      <c r="P27" s="91"/>
      <c r="Q27" s="83"/>
      <c r="S27" s="41"/>
      <c r="T27" s="25"/>
      <c r="U27" s="25"/>
      <c r="V27" s="25"/>
      <c r="W27" s="25"/>
      <c r="X27" s="25"/>
      <c r="Y27" s="25"/>
      <c r="AC27" s="41"/>
      <c r="AD27" s="25"/>
      <c r="AE27" s="25"/>
      <c r="AF27" s="25"/>
      <c r="AG27" s="25"/>
      <c r="AH27" s="25"/>
      <c r="AK27" s="85"/>
      <c r="AM27" s="85"/>
    </row>
    <row r="28" spans="1:39" x14ac:dyDescent="0.25">
      <c r="A28" s="83">
        <v>100000</v>
      </c>
      <c r="B28" s="83"/>
      <c r="C28" s="174">
        <v>0.3</v>
      </c>
      <c r="E28" s="83">
        <f>C28*($A$28*730)</f>
        <v>21900000</v>
      </c>
      <c r="F28" s="83"/>
      <c r="G28" s="90">
        <f t="shared" si="0"/>
        <v>1437028</v>
      </c>
      <c r="H28" s="90">
        <f>+AH28</f>
        <v>1883786</v>
      </c>
      <c r="I28" s="90">
        <f>+H28-G28</f>
        <v>446758</v>
      </c>
      <c r="J28" s="91">
        <f>ROUND(+I28/G28,4)</f>
        <v>0.31090000000000001</v>
      </c>
      <c r="K28" s="90">
        <f>ROUND($T$10*$E28,2)</f>
        <v>0</v>
      </c>
      <c r="L28" s="90">
        <f>ROUND($T$11*$E28,2)</f>
        <v>0</v>
      </c>
      <c r="M28" s="90">
        <f>ROUND($T$12*$E28,2)</f>
        <v>0</v>
      </c>
      <c r="N28" s="90">
        <f>+G28+K28+L28+M28</f>
        <v>1437028</v>
      </c>
      <c r="O28" s="90">
        <f>+H28+K28+L28+M28</f>
        <v>1883786</v>
      </c>
      <c r="P28" s="91">
        <f>(O28-N28)/N28</f>
        <v>0.31089025405211312</v>
      </c>
      <c r="Q28" s="83"/>
      <c r="S28" s="41">
        <f>$S$20</f>
        <v>1000</v>
      </c>
      <c r="T28" s="25">
        <f>$T$17*E28</f>
        <v>791028</v>
      </c>
      <c r="U28" s="25">
        <f>$U$17*($A$28*0.5)</f>
        <v>171000</v>
      </c>
      <c r="V28" s="25">
        <f>$V$17*$A$28</f>
        <v>237000</v>
      </c>
      <c r="W28" s="25">
        <f>$W$17*$A$28</f>
        <v>237000</v>
      </c>
      <c r="X28" s="25">
        <f>S28+T28+U28+V28+W28</f>
        <v>1437028</v>
      </c>
      <c r="Y28" s="25"/>
      <c r="Z28" s="25"/>
      <c r="AC28" s="41">
        <f>$AC$20</f>
        <v>330</v>
      </c>
      <c r="AD28" s="25">
        <f>$AD$17*E28</f>
        <v>837456.00000000012</v>
      </c>
      <c r="AE28" s="25">
        <f>$AE$17*($A$28*0.5)</f>
        <v>315000</v>
      </c>
      <c r="AF28" s="25">
        <f>$A$28*$AF$17</f>
        <v>448000.00000000006</v>
      </c>
      <c r="AG28" s="25">
        <f>$A$28*$AG$17</f>
        <v>283000</v>
      </c>
      <c r="AH28" s="25">
        <f>AC28+AD28+AE28+AF28+AG28</f>
        <v>1883786</v>
      </c>
      <c r="AI28" s="25"/>
      <c r="AK28" s="41">
        <f>AH28-X28</f>
        <v>446758</v>
      </c>
      <c r="AM28" s="175">
        <f>AH28/X28-1</f>
        <v>0.31089025405211301</v>
      </c>
    </row>
    <row r="29" spans="1:39" x14ac:dyDescent="0.25">
      <c r="C29" s="174">
        <v>0.5</v>
      </c>
      <c r="E29" s="83">
        <f>C29*($A$28*730)</f>
        <v>36500000</v>
      </c>
      <c r="F29" s="83"/>
      <c r="G29" s="90">
        <f t="shared" si="0"/>
        <v>1964380</v>
      </c>
      <c r="H29" s="90">
        <f>+AH29</f>
        <v>2442090</v>
      </c>
      <c r="I29" s="90">
        <f>+H29-G29</f>
        <v>477710</v>
      </c>
      <c r="J29" s="91">
        <f>ROUND(+I29/G29,4)</f>
        <v>0.2432</v>
      </c>
      <c r="K29" s="90">
        <f>ROUND($T$10*$E29,2)</f>
        <v>0</v>
      </c>
      <c r="L29" s="90">
        <f>ROUND($T$11*$E29,2)</f>
        <v>0</v>
      </c>
      <c r="M29" s="90">
        <f>ROUND($T$12*$E29,2)</f>
        <v>0</v>
      </c>
      <c r="N29" s="90">
        <f>+G29+K29+L29+M29</f>
        <v>1964380</v>
      </c>
      <c r="O29" s="90">
        <f>+H29+K29+L29+M29</f>
        <v>2442090</v>
      </c>
      <c r="P29" s="91">
        <f>(O29-N29)/N29</f>
        <v>0.24318614524684634</v>
      </c>
      <c r="Q29" s="83"/>
      <c r="S29" s="41">
        <f>$S$20</f>
        <v>1000</v>
      </c>
      <c r="T29" s="25">
        <f>$T$17*E29</f>
        <v>1318380</v>
      </c>
      <c r="U29" s="25">
        <f>$U$17*($A$28*0.5)</f>
        <v>171000</v>
      </c>
      <c r="V29" s="25">
        <f>$V$17*$A$28</f>
        <v>237000</v>
      </c>
      <c r="W29" s="25">
        <f>$W$17*$A$28</f>
        <v>237000</v>
      </c>
      <c r="X29" s="25">
        <f>S29+T29+U29+V29+W29</f>
        <v>1964380</v>
      </c>
      <c r="Y29" s="25"/>
      <c r="Z29" s="25"/>
      <c r="AC29" s="41">
        <f>$AC$20</f>
        <v>330</v>
      </c>
      <c r="AD29" s="25">
        <f>$AD$17*E29</f>
        <v>1395760</v>
      </c>
      <c r="AE29" s="25">
        <f>$AE$17*($A$28*0.5)</f>
        <v>315000</v>
      </c>
      <c r="AF29" s="25">
        <f>$A$28*$AF$17</f>
        <v>448000.00000000006</v>
      </c>
      <c r="AG29" s="25">
        <f>$A$28*$AG$17</f>
        <v>283000</v>
      </c>
      <c r="AH29" s="25">
        <f>AC29+AD29+AE29+AF29+AG29</f>
        <v>2442090</v>
      </c>
      <c r="AI29" s="25"/>
      <c r="AK29" s="41">
        <f>AH29-X29</f>
        <v>477710</v>
      </c>
      <c r="AM29" s="175">
        <f>AH29/X29-1</f>
        <v>0.24318614524684623</v>
      </c>
    </row>
    <row r="30" spans="1:39" x14ac:dyDescent="0.25">
      <c r="C30" s="174">
        <v>0.7</v>
      </c>
      <c r="E30" s="83">
        <f>C30*($A$28*730)</f>
        <v>51100000</v>
      </c>
      <c r="F30" s="83"/>
      <c r="G30" s="90">
        <f t="shared" si="0"/>
        <v>2491732</v>
      </c>
      <c r="H30" s="90">
        <f>+AH30</f>
        <v>3000394</v>
      </c>
      <c r="I30" s="90">
        <f>+H30-G30</f>
        <v>508662</v>
      </c>
      <c r="J30" s="91">
        <f>ROUND(+I30/G30,4)</f>
        <v>0.2041</v>
      </c>
      <c r="K30" s="90">
        <f>ROUND($T$10*$E30,2)</f>
        <v>0</v>
      </c>
      <c r="L30" s="90">
        <f>ROUND($T$11*$E30,2)</f>
        <v>0</v>
      </c>
      <c r="M30" s="90">
        <f>ROUND($T$12*$E30,2)</f>
        <v>0</v>
      </c>
      <c r="N30" s="90">
        <f>+G30+K30+L30+M30</f>
        <v>2491732</v>
      </c>
      <c r="O30" s="90">
        <f>+H30+K30+L30+M30</f>
        <v>3000394</v>
      </c>
      <c r="P30" s="91">
        <f>(O30-N30)/N30</f>
        <v>0.20413993158172708</v>
      </c>
      <c r="Q30" s="83"/>
      <c r="S30" s="41">
        <f>$S$20</f>
        <v>1000</v>
      </c>
      <c r="T30" s="25">
        <f>$T$17*E30</f>
        <v>1845732</v>
      </c>
      <c r="U30" s="25">
        <f>$U$17*($A$28*0.5)</f>
        <v>171000</v>
      </c>
      <c r="V30" s="25">
        <f>$V$17*$A$28</f>
        <v>237000</v>
      </c>
      <c r="W30" s="25">
        <f>$W$17*$A$28</f>
        <v>237000</v>
      </c>
      <c r="X30" s="25">
        <f>S30+T30+U30+V30+W30</f>
        <v>2491732</v>
      </c>
      <c r="Y30" s="25"/>
      <c r="Z30" s="25"/>
      <c r="AC30" s="41">
        <f>$AC$20</f>
        <v>330</v>
      </c>
      <c r="AD30" s="25">
        <f>$AD$17*E30</f>
        <v>1954064.0000000002</v>
      </c>
      <c r="AE30" s="25">
        <f>$AE$17*($A$28*0.5)</f>
        <v>315000</v>
      </c>
      <c r="AF30" s="25">
        <f>$A$28*$AF$17</f>
        <v>448000.00000000006</v>
      </c>
      <c r="AG30" s="25">
        <f>$A$28*$AG$17</f>
        <v>283000</v>
      </c>
      <c r="AH30" s="25">
        <f>AC30+AD30+AE30+AF30+AG30</f>
        <v>3000394</v>
      </c>
      <c r="AI30" s="25"/>
      <c r="AK30" s="41">
        <f>AH30-X30</f>
        <v>508662</v>
      </c>
      <c r="AM30" s="175">
        <f>AH30/X30-1</f>
        <v>0.20413993158172716</v>
      </c>
    </row>
    <row r="31" spans="1:39" x14ac:dyDescent="0.25">
      <c r="C31" s="174"/>
      <c r="E31" s="83"/>
      <c r="F31" s="83"/>
      <c r="G31" s="90"/>
      <c r="H31" s="90"/>
      <c r="J31" s="38"/>
      <c r="K31" s="83"/>
      <c r="L31" s="83"/>
      <c r="M31" s="83"/>
      <c r="P31" s="91"/>
      <c r="Q31" s="83"/>
      <c r="S31" s="41"/>
      <c r="T31" s="25"/>
      <c r="U31" s="25"/>
      <c r="V31" s="25"/>
      <c r="W31" s="25"/>
      <c r="X31" s="25"/>
      <c r="Y31" s="25"/>
      <c r="AC31" s="41"/>
      <c r="AD31" s="25"/>
      <c r="AE31" s="25"/>
      <c r="AF31" s="25"/>
      <c r="AG31" s="25"/>
      <c r="AH31" s="25"/>
      <c r="AK31" s="85"/>
      <c r="AM31" s="85"/>
    </row>
    <row r="32" spans="1:39" x14ac:dyDescent="0.25">
      <c r="A32" s="83">
        <v>150000</v>
      </c>
      <c r="B32" s="83"/>
      <c r="C32" s="174">
        <v>0.3</v>
      </c>
      <c r="E32" s="83">
        <f>C32*($A$32*730)</f>
        <v>32850000</v>
      </c>
      <c r="F32" s="83"/>
      <c r="G32" s="90">
        <f t="shared" si="0"/>
        <v>2155042</v>
      </c>
      <c r="H32" s="90">
        <f>+AH32</f>
        <v>2825514</v>
      </c>
      <c r="I32" s="90">
        <f>+H32-G32</f>
        <v>670472</v>
      </c>
      <c r="J32" s="91">
        <f>ROUND(+I32/G32,4)</f>
        <v>0.31109999999999999</v>
      </c>
      <c r="K32" s="90">
        <f>ROUND($T$10*$E32,2)</f>
        <v>0</v>
      </c>
      <c r="L32" s="90">
        <f>ROUND($T$11*$E32,2)</f>
        <v>0</v>
      </c>
      <c r="M32" s="90">
        <f>ROUND($T$12*$E32,2)</f>
        <v>0</v>
      </c>
      <c r="N32" s="90">
        <f>+G32+K32+L32+M32</f>
        <v>2155042</v>
      </c>
      <c r="O32" s="90">
        <f>+H32+K32+L32+M32</f>
        <v>2825514</v>
      </c>
      <c r="P32" s="91">
        <f>(O32-N32)/N32</f>
        <v>0.31111783436239293</v>
      </c>
      <c r="Q32" s="83"/>
      <c r="S32" s="41">
        <f>$S$20</f>
        <v>1000</v>
      </c>
      <c r="T32" s="25">
        <f>$T$17*E32</f>
        <v>1186542</v>
      </c>
      <c r="U32" s="25">
        <f>$U$17*($A$32*0.5)</f>
        <v>256500</v>
      </c>
      <c r="V32" s="25">
        <f>$V$17*$A$32</f>
        <v>355500</v>
      </c>
      <c r="W32" s="25">
        <f>$W$17*$A$32</f>
        <v>355500</v>
      </c>
      <c r="X32" s="25">
        <f>S32+T32+U32+V32+W32</f>
        <v>2155042</v>
      </c>
      <c r="Y32" s="25"/>
      <c r="Z32" s="25"/>
      <c r="AC32" s="41">
        <f>$AC$20</f>
        <v>330</v>
      </c>
      <c r="AD32" s="25">
        <f>$AD$17*E32</f>
        <v>1256184</v>
      </c>
      <c r="AE32" s="25">
        <f>$AE$17*($A$32*0.5)</f>
        <v>472500</v>
      </c>
      <c r="AF32" s="25">
        <f>$A$32*$AF$17</f>
        <v>672000.00000000012</v>
      </c>
      <c r="AG32" s="25">
        <f>$A$32*$AG$17</f>
        <v>424500</v>
      </c>
      <c r="AH32" s="25">
        <f>AC32+AD32+AE32+AF32+AG32</f>
        <v>2825514</v>
      </c>
      <c r="AI32" s="25"/>
      <c r="AK32" s="41">
        <f>AH32-X32</f>
        <v>670472</v>
      </c>
      <c r="AM32" s="175">
        <f>AH32/X32-1</f>
        <v>0.31111783436239304</v>
      </c>
    </row>
    <row r="33" spans="1:39" x14ac:dyDescent="0.25">
      <c r="C33" s="174">
        <v>0.5</v>
      </c>
      <c r="E33" s="83">
        <f>C33*($A$32*730)</f>
        <v>54750000</v>
      </c>
      <c r="F33" s="83"/>
      <c r="G33" s="90">
        <f t="shared" si="0"/>
        <v>2946070</v>
      </c>
      <c r="H33" s="90">
        <f>+AH33</f>
        <v>3662970</v>
      </c>
      <c r="I33" s="90">
        <f>+H33-G33</f>
        <v>716900</v>
      </c>
      <c r="J33" s="91">
        <f>ROUND(+I33/G33,4)</f>
        <v>0.24329999999999999</v>
      </c>
      <c r="K33" s="90">
        <f>ROUND($T$10*$E33,2)</f>
        <v>0</v>
      </c>
      <c r="L33" s="90">
        <f>ROUND($T$11*$E33,2)</f>
        <v>0</v>
      </c>
      <c r="M33" s="90">
        <f>ROUND($T$12*$E33,2)</f>
        <v>0</v>
      </c>
      <c r="N33" s="90">
        <f>+G33+K33+L33+M33</f>
        <v>2946070</v>
      </c>
      <c r="O33" s="90">
        <f>+H33+K33+L33+M33</f>
        <v>3662970</v>
      </c>
      <c r="P33" s="91">
        <f>(O33-N33)/N33</f>
        <v>0.24334112902952068</v>
      </c>
      <c r="Q33" s="83"/>
      <c r="S33" s="41">
        <f>$S$20</f>
        <v>1000</v>
      </c>
      <c r="T33" s="25">
        <f>$T$17*E33</f>
        <v>1977570</v>
      </c>
      <c r="U33" s="25">
        <f>$U$17*($A$32*0.5)</f>
        <v>256500</v>
      </c>
      <c r="V33" s="25">
        <f>$V$17*$A$32</f>
        <v>355500</v>
      </c>
      <c r="W33" s="25">
        <f>$W$17*$A$32</f>
        <v>355500</v>
      </c>
      <c r="X33" s="25">
        <f>S33+T33+U33+V33+W33</f>
        <v>2946070</v>
      </c>
      <c r="Y33" s="25"/>
      <c r="Z33" s="25"/>
      <c r="AC33" s="41">
        <f>$AC$20</f>
        <v>330</v>
      </c>
      <c r="AD33" s="25">
        <f>$AD$17*E33</f>
        <v>2093640.0000000002</v>
      </c>
      <c r="AE33" s="25">
        <f>$AE$17*($A$32*0.5)</f>
        <v>472500</v>
      </c>
      <c r="AF33" s="25">
        <f>$A$32*$AF$17</f>
        <v>672000.00000000012</v>
      </c>
      <c r="AG33" s="25">
        <f>$A$32*$AG$17</f>
        <v>424500</v>
      </c>
      <c r="AH33" s="25">
        <f>AC33+AD33+AE33+AF33+AG33</f>
        <v>3662970</v>
      </c>
      <c r="AI33" s="25"/>
      <c r="AK33" s="41">
        <f>AH33-X33</f>
        <v>716900</v>
      </c>
      <c r="AM33" s="175">
        <f>AH33/X33-1</f>
        <v>0.24334112902952065</v>
      </c>
    </row>
    <row r="34" spans="1:39" x14ac:dyDescent="0.25">
      <c r="C34" s="174">
        <v>0.7</v>
      </c>
      <c r="E34" s="83">
        <f>C34*($A$32*730)</f>
        <v>76650000</v>
      </c>
      <c r="F34" s="83"/>
      <c r="G34" s="90">
        <f t="shared" si="0"/>
        <v>3737098</v>
      </c>
      <c r="H34" s="90">
        <f>+AH34</f>
        <v>4500426</v>
      </c>
      <c r="I34" s="90">
        <f>+H34-G34</f>
        <v>763328</v>
      </c>
      <c r="J34" s="91">
        <f>ROUND(+I34/G34,4)</f>
        <v>0.20430000000000001</v>
      </c>
      <c r="K34" s="90">
        <f>ROUND($T$10*$E34,2)</f>
        <v>0</v>
      </c>
      <c r="L34" s="90">
        <f>ROUND($T$11*$E34,2)</f>
        <v>0</v>
      </c>
      <c r="M34" s="90">
        <f>ROUND($T$12*$E34,2)</f>
        <v>0</v>
      </c>
      <c r="N34" s="90">
        <f>+G34+K34+L34+M34</f>
        <v>3737098</v>
      </c>
      <c r="O34" s="90">
        <f>+H34+K34+L34+M34</f>
        <v>4500426</v>
      </c>
      <c r="P34" s="91">
        <f>(O34-N34)/N34</f>
        <v>0.20425688595803482</v>
      </c>
      <c r="Q34" s="83"/>
      <c r="S34" s="41">
        <f>$S$20</f>
        <v>1000</v>
      </c>
      <c r="T34" s="25">
        <f>$T$17*E34</f>
        <v>2768598</v>
      </c>
      <c r="U34" s="25">
        <f>$U$17*($A$32*0.5)</f>
        <v>256500</v>
      </c>
      <c r="V34" s="25">
        <f>$V$17*$A$32</f>
        <v>355500</v>
      </c>
      <c r="W34" s="25">
        <f>$W$17*$A$32</f>
        <v>355500</v>
      </c>
      <c r="X34" s="25">
        <f>S34+T34+U34+V34+W34</f>
        <v>3737098</v>
      </c>
      <c r="Y34" s="25"/>
      <c r="Z34" s="25"/>
      <c r="AC34" s="41">
        <f>$AC$20</f>
        <v>330</v>
      </c>
      <c r="AD34" s="25">
        <f>$AD$17*E34</f>
        <v>2931096.0000000005</v>
      </c>
      <c r="AE34" s="25">
        <f>$AE$17*($A$32*0.5)</f>
        <v>472500</v>
      </c>
      <c r="AF34" s="25">
        <f>$A$32*$AF$17</f>
        <v>672000.00000000012</v>
      </c>
      <c r="AG34" s="25">
        <f>$A$32*$AG$17</f>
        <v>424500</v>
      </c>
      <c r="AH34" s="25">
        <f>AC34+AD34+AE34+AF34+AG34</f>
        <v>4500426</v>
      </c>
      <c r="AI34" s="25"/>
      <c r="AK34" s="41">
        <f>AH34-X34</f>
        <v>763328</v>
      </c>
      <c r="AM34" s="175">
        <f>AH34/X34-1</f>
        <v>0.20425688595803493</v>
      </c>
    </row>
    <row r="35" spans="1:39" x14ac:dyDescent="0.25">
      <c r="C35" s="174"/>
      <c r="E35" s="83"/>
      <c r="F35" s="83"/>
      <c r="G35" s="90"/>
      <c r="H35" s="90"/>
      <c r="J35" s="38"/>
      <c r="K35" s="83"/>
      <c r="L35" s="83"/>
      <c r="M35" s="83"/>
      <c r="P35" s="91"/>
      <c r="Q35" s="83"/>
      <c r="S35" s="41"/>
      <c r="T35" s="25"/>
      <c r="U35" s="25"/>
      <c r="V35" s="25"/>
      <c r="W35" s="25"/>
      <c r="X35" s="25"/>
      <c r="Y35" s="25"/>
      <c r="AC35" s="41"/>
      <c r="AD35" s="25"/>
      <c r="AE35" s="25"/>
      <c r="AF35" s="25"/>
      <c r="AG35" s="25"/>
      <c r="AH35" s="25"/>
      <c r="AK35" s="85"/>
      <c r="AM35" s="85"/>
    </row>
    <row r="36" spans="1:39" x14ac:dyDescent="0.25">
      <c r="A36" s="83">
        <v>200000</v>
      </c>
      <c r="B36" s="83"/>
      <c r="C36" s="174">
        <v>0.3</v>
      </c>
      <c r="E36" s="83">
        <f>C36*($A$36*730)</f>
        <v>43800000</v>
      </c>
      <c r="F36" s="83"/>
      <c r="G36" s="90">
        <f t="shared" si="0"/>
        <v>2873056</v>
      </c>
      <c r="H36" s="90">
        <f>+AH36</f>
        <v>3767242</v>
      </c>
      <c r="I36" s="90">
        <f>+H36-G36</f>
        <v>894186</v>
      </c>
      <c r="J36" s="91">
        <f>ROUND(+I36/G36,4)</f>
        <v>0.31119999999999998</v>
      </c>
      <c r="K36" s="90">
        <f>ROUND($T$10*$E36,2)</f>
        <v>0</v>
      </c>
      <c r="L36" s="90">
        <f>ROUND($T$11*$E36,2)</f>
        <v>0</v>
      </c>
      <c r="M36" s="90">
        <f>ROUND($T$12*$E36,2)</f>
        <v>0</v>
      </c>
      <c r="N36" s="90">
        <f>+G36+K36+L36+M36</f>
        <v>2873056</v>
      </c>
      <c r="O36" s="90">
        <f>+H36+K36+L36+M36</f>
        <v>3767242</v>
      </c>
      <c r="P36" s="91">
        <f>(O36-N36)/N36</f>
        <v>0.31123166412349779</v>
      </c>
      <c r="Q36" s="83"/>
      <c r="S36" s="41">
        <f>$S$20</f>
        <v>1000</v>
      </c>
      <c r="T36" s="25">
        <f>$T$17*E36</f>
        <v>1582056</v>
      </c>
      <c r="U36" s="25">
        <f>$U$17*($A$36*0.5)</f>
        <v>342000</v>
      </c>
      <c r="V36" s="25">
        <f>$V$17*$A$36</f>
        <v>474000</v>
      </c>
      <c r="W36" s="25">
        <f>$W$17*$A$36</f>
        <v>474000</v>
      </c>
      <c r="X36" s="25">
        <f>S36+T36+U36+V36+W36</f>
        <v>2873056</v>
      </c>
      <c r="Y36" s="25"/>
      <c r="Z36" s="25"/>
      <c r="AC36" s="41">
        <f>$AC$20</f>
        <v>330</v>
      </c>
      <c r="AD36" s="25">
        <f>$AD$17*E36</f>
        <v>1674912.0000000002</v>
      </c>
      <c r="AE36" s="25">
        <f>$AE$17*($A$36*0.5)</f>
        <v>630000</v>
      </c>
      <c r="AF36" s="25">
        <f>$A$36*$AF$17</f>
        <v>896000.00000000012</v>
      </c>
      <c r="AG36" s="25">
        <f>$A$36*$AG$17</f>
        <v>566000</v>
      </c>
      <c r="AH36" s="25">
        <f>AC36+AD36+AE36+AF36+AG36</f>
        <v>3767242</v>
      </c>
      <c r="AI36" s="25"/>
      <c r="AK36" s="41">
        <f>AH36-X36</f>
        <v>894186</v>
      </c>
      <c r="AM36" s="175">
        <f>AH36/X36-1</f>
        <v>0.31123166412349779</v>
      </c>
    </row>
    <row r="37" spans="1:39" x14ac:dyDescent="0.25">
      <c r="C37" s="174">
        <v>0.5</v>
      </c>
      <c r="E37" s="83">
        <f>C37*($A$36*730)</f>
        <v>73000000</v>
      </c>
      <c r="F37" s="83"/>
      <c r="G37" s="90">
        <f t="shared" si="0"/>
        <v>3927760</v>
      </c>
      <c r="H37" s="90">
        <f>+AH37</f>
        <v>4883850</v>
      </c>
      <c r="I37" s="90">
        <f>+H37-G37</f>
        <v>956090</v>
      </c>
      <c r="J37" s="91">
        <f>ROUND(+I37/G37,4)</f>
        <v>0.24340000000000001</v>
      </c>
      <c r="K37" s="90">
        <f>ROUND($T$10*$E37,2)</f>
        <v>0</v>
      </c>
      <c r="L37" s="90">
        <f>ROUND($T$11*$E37,2)</f>
        <v>0</v>
      </c>
      <c r="M37" s="90">
        <f>ROUND($T$12*$E37,2)</f>
        <v>0</v>
      </c>
      <c r="N37" s="90">
        <f>+G37+K37+L37+M37</f>
        <v>3927760</v>
      </c>
      <c r="O37" s="90">
        <f>+H37+K37+L37+M37</f>
        <v>4883850</v>
      </c>
      <c r="P37" s="91">
        <f>(O37-N37)/N37</f>
        <v>0.24341864065014154</v>
      </c>
      <c r="Q37" s="83"/>
      <c r="S37" s="41">
        <f>$S$20</f>
        <v>1000</v>
      </c>
      <c r="T37" s="25">
        <f>$T$17*E37</f>
        <v>2636760</v>
      </c>
      <c r="U37" s="25">
        <f>$U$17*($A$36*0.5)</f>
        <v>342000</v>
      </c>
      <c r="V37" s="25">
        <f>$V$17*$A$36</f>
        <v>474000</v>
      </c>
      <c r="W37" s="25">
        <f>$W$17*$A$36</f>
        <v>474000</v>
      </c>
      <c r="X37" s="25">
        <f>S37+T37+U37+V37+W37</f>
        <v>3927760</v>
      </c>
      <c r="Y37" s="25"/>
      <c r="Z37" s="25"/>
      <c r="AC37" s="41">
        <f>$AC$20</f>
        <v>330</v>
      </c>
      <c r="AD37" s="25">
        <f>$AD$17*E37</f>
        <v>2791520</v>
      </c>
      <c r="AE37" s="25">
        <f>$AE$17*($A$36*0.5)</f>
        <v>630000</v>
      </c>
      <c r="AF37" s="25">
        <f>$A$36*$AF$17</f>
        <v>896000.00000000012</v>
      </c>
      <c r="AG37" s="25">
        <f>$A$36*$AG$17</f>
        <v>566000</v>
      </c>
      <c r="AH37" s="25">
        <f>AC37+AD37+AE37+AF37+AG37</f>
        <v>4883850</v>
      </c>
      <c r="AI37" s="25"/>
      <c r="AK37" s="41">
        <f>AH37-X37</f>
        <v>956090</v>
      </c>
      <c r="AM37" s="175">
        <f>AH37/X37-1</f>
        <v>0.24341864065014152</v>
      </c>
    </row>
    <row r="38" spans="1:39" x14ac:dyDescent="0.25">
      <c r="C38" s="174">
        <v>0.7</v>
      </c>
      <c r="E38" s="83">
        <f>C38*($A$36*730)</f>
        <v>102200000</v>
      </c>
      <c r="F38" s="83"/>
      <c r="G38" s="90">
        <f t="shared" si="0"/>
        <v>4982464</v>
      </c>
      <c r="H38" s="90">
        <f>+AH38</f>
        <v>6000458</v>
      </c>
      <c r="I38" s="90">
        <f>+H38-G38</f>
        <v>1017994</v>
      </c>
      <c r="J38" s="91">
        <f>ROUND(+I38/G38,4)</f>
        <v>0.20430000000000001</v>
      </c>
      <c r="K38" s="90">
        <f>ROUND($T$10*$E38,2)</f>
        <v>0</v>
      </c>
      <c r="L38" s="90">
        <f>ROUND($T$11*$E38,2)</f>
        <v>0</v>
      </c>
      <c r="M38" s="90">
        <f>ROUND($T$12*$E38,2)</f>
        <v>0</v>
      </c>
      <c r="N38" s="90">
        <f>+G38+K38+L38+M38</f>
        <v>4982464</v>
      </c>
      <c r="O38" s="90">
        <f>+H38+K38+L38+M38</f>
        <v>6000458</v>
      </c>
      <c r="P38" s="91">
        <f>(O38-N38)/N38</f>
        <v>0.20431537488278892</v>
      </c>
      <c r="Q38" s="83"/>
      <c r="S38" s="41">
        <f>$S$20</f>
        <v>1000</v>
      </c>
      <c r="T38" s="25">
        <f>$T$17*E38</f>
        <v>3691464</v>
      </c>
      <c r="U38" s="25">
        <f>$U$17*($A$36*0.5)</f>
        <v>342000</v>
      </c>
      <c r="V38" s="25">
        <f>$V$17*$A$36</f>
        <v>474000</v>
      </c>
      <c r="W38" s="25">
        <f>$W$17*$A$36</f>
        <v>474000</v>
      </c>
      <c r="X38" s="25">
        <f>S38+T38+U38+V38+W38</f>
        <v>4982464</v>
      </c>
      <c r="Y38" s="25"/>
      <c r="Z38" s="25"/>
      <c r="AC38" s="41">
        <f>$AC$20</f>
        <v>330</v>
      </c>
      <c r="AD38" s="25">
        <f>$AD$17*E38</f>
        <v>3908128.0000000005</v>
      </c>
      <c r="AE38" s="25">
        <f>$AE$17*($A$36*0.5)</f>
        <v>630000</v>
      </c>
      <c r="AF38" s="25">
        <f>$A$36*$AF$17</f>
        <v>896000.00000000012</v>
      </c>
      <c r="AG38" s="25">
        <f>$A$36*$AG$17</f>
        <v>566000</v>
      </c>
      <c r="AH38" s="25">
        <f>AC38+AD38+AE38+AF38+AG38</f>
        <v>6000458</v>
      </c>
      <c r="AI38" s="25"/>
      <c r="AK38" s="41">
        <f>AH38-X38</f>
        <v>1017994</v>
      </c>
      <c r="AM38" s="175">
        <f>AH38/X38-1</f>
        <v>0.20431537488278884</v>
      </c>
    </row>
    <row r="39" spans="1:39" x14ac:dyDescent="0.25">
      <c r="T39" s="25"/>
      <c r="U39" s="25"/>
      <c r="V39" s="25"/>
      <c r="W39" s="25"/>
      <c r="X39" s="25"/>
      <c r="Y39" s="25"/>
      <c r="AE39" s="25"/>
    </row>
    <row r="40" spans="1:39" x14ac:dyDescent="0.25">
      <c r="A40" s="17" t="s">
        <v>336</v>
      </c>
      <c r="T40" s="25"/>
      <c r="U40" s="25"/>
      <c r="V40" s="25"/>
      <c r="W40" s="25"/>
      <c r="X40" s="25"/>
      <c r="Y40" s="25"/>
    </row>
    <row r="41" spans="1:39" x14ac:dyDescent="0.25">
      <c r="A41" s="208" t="str">
        <f>("Average usage = "&amp;INPUT!L19&amp;" kWh per month")</f>
        <v>Average usage = 0 kWh per month</v>
      </c>
      <c r="G41" s="89" t="s">
        <v>339</v>
      </c>
      <c r="T41" s="25"/>
      <c r="U41" s="25"/>
      <c r="V41" s="25"/>
      <c r="W41" s="25"/>
      <c r="X41" s="25"/>
      <c r="Y41" s="25"/>
    </row>
    <row r="42" spans="1:39" x14ac:dyDescent="0.25">
      <c r="A42" s="210" t="s">
        <v>337</v>
      </c>
      <c r="C42" s="174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AE42" s="176"/>
      <c r="AF42" s="25"/>
      <c r="AG42" s="25"/>
      <c r="AH42" s="25"/>
      <c r="AI42" s="25"/>
      <c r="AJ42" s="25"/>
      <c r="AK42" s="85"/>
    </row>
    <row r="43" spans="1:39" x14ac:dyDescent="0.25">
      <c r="A43" s="209" t="s">
        <v>340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T43" s="177"/>
      <c r="AE43" s="178"/>
    </row>
    <row r="44" spans="1:39" x14ac:dyDescent="0.25">
      <c r="A44" s="213" t="s">
        <v>131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AA44" s="87"/>
      <c r="AB44" s="84"/>
      <c r="AC44" s="87"/>
      <c r="AE44" s="87"/>
    </row>
    <row r="45" spans="1:39" x14ac:dyDescent="0.25">
      <c r="A45" s="213" t="str">
        <f>+'Rate Case Constants'!C26</f>
        <v>Calculations may vary from other schedules due to rounding</v>
      </c>
      <c r="AE45" s="178"/>
    </row>
    <row r="46" spans="1:39" x14ac:dyDescent="0.25">
      <c r="A46" s="213" t="s">
        <v>132</v>
      </c>
      <c r="S46" s="87"/>
      <c r="W46" s="87"/>
      <c r="AA46" s="87"/>
      <c r="AE46" s="178"/>
    </row>
    <row r="47" spans="1:39" x14ac:dyDescent="0.25"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AA47" s="87"/>
      <c r="AB47" s="84"/>
      <c r="AC47" s="87"/>
      <c r="AE47" s="87"/>
    </row>
    <row r="48" spans="1:39" x14ac:dyDescent="0.25"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AA48" s="87"/>
      <c r="AB48" s="84"/>
      <c r="AC48" s="87"/>
      <c r="AE48" s="87"/>
    </row>
    <row r="49" spans="5:31" x14ac:dyDescent="0.25"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T49" s="87"/>
      <c r="U49" s="87"/>
      <c r="V49" s="87"/>
      <c r="W49" s="87"/>
      <c r="X49" s="87"/>
      <c r="Y49" s="87"/>
    </row>
    <row r="50" spans="5:31" x14ac:dyDescent="0.25"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S50" s="41"/>
      <c r="T50" s="177"/>
      <c r="W50" s="177"/>
      <c r="X50" s="177"/>
      <c r="Y50" s="177"/>
      <c r="AA50" s="85"/>
      <c r="AC50" s="85"/>
      <c r="AE50" s="178"/>
    </row>
    <row r="51" spans="5:31" x14ac:dyDescent="0.25"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S51" s="41"/>
      <c r="T51" s="177"/>
      <c r="W51" s="177"/>
      <c r="X51" s="177"/>
      <c r="Y51" s="177"/>
      <c r="AA51" s="85"/>
      <c r="AC51" s="85"/>
      <c r="AE51" s="178"/>
    </row>
    <row r="52" spans="5:31" x14ac:dyDescent="0.25"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S52" s="41"/>
      <c r="T52" s="177"/>
      <c r="W52" s="177"/>
      <c r="X52" s="177"/>
      <c r="Y52" s="177"/>
      <c r="AA52" s="85"/>
      <c r="AC52" s="85"/>
      <c r="AE52" s="178"/>
    </row>
    <row r="53" spans="5:31" x14ac:dyDescent="0.25"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S53" s="41"/>
      <c r="T53" s="177"/>
      <c r="W53" s="177"/>
      <c r="X53" s="177"/>
      <c r="Y53" s="177"/>
      <c r="AA53" s="85"/>
      <c r="AB53" s="120"/>
      <c r="AC53" s="85"/>
      <c r="AD53" s="120"/>
      <c r="AE53" s="178"/>
    </row>
    <row r="54" spans="5:31" ht="6.75" customHeight="1" x14ac:dyDescent="0.25"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S54" s="41"/>
      <c r="T54" s="177"/>
      <c r="W54" s="177"/>
      <c r="X54" s="177"/>
      <c r="Y54" s="177"/>
      <c r="AA54" s="85"/>
      <c r="AB54" s="120"/>
      <c r="AC54" s="85"/>
      <c r="AD54" s="120"/>
      <c r="AE54" s="178"/>
    </row>
    <row r="55" spans="5:31" x14ac:dyDescent="0.25"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S55" s="41"/>
      <c r="T55" s="177"/>
      <c r="W55" s="177"/>
      <c r="X55" s="177"/>
      <c r="Y55" s="177"/>
      <c r="AA55" s="85"/>
      <c r="AC55" s="85"/>
      <c r="AE55" s="178"/>
    </row>
    <row r="56" spans="5:31" x14ac:dyDescent="0.25"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S56" s="41"/>
      <c r="T56" s="177"/>
      <c r="W56" s="177"/>
      <c r="X56" s="177"/>
      <c r="Y56" s="177"/>
      <c r="AA56" s="85"/>
      <c r="AC56" s="85"/>
      <c r="AE56" s="178"/>
    </row>
    <row r="57" spans="5:31" x14ac:dyDescent="0.25"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S57" s="41"/>
      <c r="T57" s="177"/>
      <c r="W57" s="177"/>
      <c r="X57" s="177"/>
      <c r="Y57" s="177"/>
      <c r="AA57" s="85"/>
      <c r="AC57" s="85"/>
      <c r="AE57" s="178"/>
    </row>
    <row r="58" spans="5:31" x14ac:dyDescent="0.25"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S58" s="41"/>
      <c r="T58" s="177"/>
      <c r="W58" s="177"/>
      <c r="X58" s="177"/>
      <c r="Y58" s="177"/>
      <c r="AA58" s="85"/>
      <c r="AC58" s="85"/>
      <c r="AE58" s="178"/>
    </row>
    <row r="59" spans="5:31" x14ac:dyDescent="0.25"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S59" s="41"/>
      <c r="T59" s="177"/>
      <c r="W59" s="177"/>
      <c r="X59" s="177"/>
      <c r="Y59" s="177"/>
      <c r="AA59" s="85"/>
      <c r="AC59" s="85"/>
      <c r="AE59" s="178"/>
    </row>
    <row r="60" spans="5:31" ht="6.75" customHeight="1" x14ac:dyDescent="0.25"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S60" s="41"/>
      <c r="T60" s="177"/>
      <c r="W60" s="177"/>
      <c r="X60" s="177"/>
      <c r="Y60" s="177"/>
      <c r="AA60" s="85"/>
      <c r="AC60" s="85"/>
      <c r="AE60" s="178"/>
    </row>
    <row r="61" spans="5:31" x14ac:dyDescent="0.25"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S61" s="41"/>
      <c r="T61" s="177"/>
      <c r="W61" s="177"/>
      <c r="X61" s="177"/>
      <c r="Y61" s="177"/>
      <c r="AA61" s="85"/>
      <c r="AC61" s="85"/>
      <c r="AE61" s="178"/>
    </row>
    <row r="62" spans="5:31" x14ac:dyDescent="0.25"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S62" s="41"/>
      <c r="T62" s="177"/>
      <c r="W62" s="177"/>
      <c r="X62" s="177"/>
      <c r="Y62" s="177"/>
      <c r="AA62" s="85"/>
      <c r="AC62" s="85"/>
      <c r="AE62" s="178"/>
    </row>
    <row r="63" spans="5:31" x14ac:dyDescent="0.25"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S63" s="41"/>
      <c r="T63" s="177"/>
      <c r="W63" s="177"/>
      <c r="X63" s="177"/>
      <c r="Y63" s="177"/>
      <c r="AA63" s="85"/>
      <c r="AC63" s="85"/>
      <c r="AE63" s="178"/>
    </row>
    <row r="64" spans="5:31" x14ac:dyDescent="0.25"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S64" s="41"/>
      <c r="T64" s="177"/>
      <c r="W64" s="177"/>
      <c r="X64" s="177"/>
      <c r="Y64" s="177"/>
      <c r="AA64" s="85"/>
      <c r="AC64" s="85"/>
      <c r="AE64" s="178"/>
    </row>
    <row r="65" spans="5:35" x14ac:dyDescent="0.25"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T65" s="87"/>
      <c r="U65" s="87"/>
      <c r="V65" s="87"/>
      <c r="W65" s="87"/>
      <c r="X65" s="87"/>
      <c r="Y65" s="87"/>
    </row>
    <row r="66" spans="5:35" x14ac:dyDescent="0.25"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T66" s="87"/>
      <c r="U66" s="87"/>
      <c r="V66" s="87"/>
      <c r="W66" s="87"/>
      <c r="X66" s="87"/>
      <c r="Y66" s="87"/>
    </row>
    <row r="67" spans="5:35" x14ac:dyDescent="0.25"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AE67" s="178"/>
    </row>
    <row r="68" spans="5:35" x14ac:dyDescent="0.25">
      <c r="AH68" s="179"/>
      <c r="AI68" s="179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V258"/>
  <sheetViews>
    <sheetView view="pageBreakPreview" topLeftCell="A25" zoomScale="90" zoomScaleNormal="100" zoomScaleSheetLayoutView="90" workbookViewId="0">
      <selection activeCell="H106" sqref="H106"/>
    </sheetView>
  </sheetViews>
  <sheetFormatPr defaultColWidth="9.109375" defaultRowHeight="13.2" x14ac:dyDescent="0.25"/>
  <cols>
    <col min="1" max="1" width="50.33203125" style="214" bestFit="1" customWidth="1"/>
    <col min="2" max="2" width="8.6640625" style="89" customWidth="1"/>
    <col min="3" max="3" width="10.109375" style="215" bestFit="1" customWidth="1"/>
    <col min="4" max="4" width="10.109375" style="89" bestFit="1" customWidth="1"/>
    <col min="5" max="6" width="9.109375" style="89"/>
    <col min="7" max="8" width="10" style="89" customWidth="1"/>
    <col min="9" max="10" width="11.6640625" style="89" bestFit="1" customWidth="1"/>
    <col min="11" max="11" width="11.5546875" style="89" customWidth="1"/>
    <col min="12" max="12" width="5.33203125" style="89" customWidth="1"/>
    <col min="13" max="14" width="9.109375" style="89"/>
    <col min="15" max="15" width="47.88671875" style="214" bestFit="1" customWidth="1"/>
    <col min="16" max="16" width="23.44140625" style="214" bestFit="1" customWidth="1"/>
    <col min="17" max="17" width="13.88671875" style="214" customWidth="1"/>
    <col min="18" max="18" width="11.88671875" style="89" customWidth="1"/>
    <col min="19" max="19" width="12.109375" style="89" customWidth="1"/>
    <col min="20" max="20" width="10.88671875" style="89" customWidth="1"/>
    <col min="21" max="16384" width="9.109375" style="89"/>
  </cols>
  <sheetData>
    <row r="1" spans="1:22" x14ac:dyDescent="0.25">
      <c r="A1" s="438" t="str">
        <f>+'Rate Case Constants'!C9</f>
        <v>LOUISVILLE GAS AND ELECTRIC COMPANY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22" x14ac:dyDescent="0.25">
      <c r="A2" s="438" t="str">
        <f>+'Rate Case Constants'!C10</f>
        <v>CASE NO. 2016-00371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22" x14ac:dyDescent="0.25">
      <c r="A3" s="440" t="str">
        <f>+'Rate Case Constants'!C24</f>
        <v>Typical Electric Bill Comparison under Present &amp; Proposed Rates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</row>
    <row r="4" spans="1:22" x14ac:dyDescent="0.25">
      <c r="A4" s="438" t="str">
        <f>+'Rate Case Constants'!C21</f>
        <v>FORECAST PERIOD FOR THE 12 MONTHS ENDED JUNE 30, 2018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22" x14ac:dyDescent="0.25">
      <c r="A5" s="217"/>
      <c r="B5" s="84"/>
      <c r="C5" s="371"/>
      <c r="D5" s="84"/>
      <c r="E5" s="84"/>
      <c r="F5" s="84"/>
      <c r="G5" s="84"/>
      <c r="H5" s="84"/>
      <c r="I5" s="84"/>
      <c r="J5" s="84"/>
      <c r="K5" s="84"/>
    </row>
    <row r="6" spans="1:22" x14ac:dyDescent="0.25">
      <c r="A6" s="217" t="str">
        <f>+'Rate Case Constants'!C33</f>
        <v>DATA: ____BASE PERIOD__X___FORECASTED PERIOD</v>
      </c>
      <c r="B6" s="84"/>
      <c r="C6" s="371"/>
      <c r="D6" s="84"/>
      <c r="E6" s="84"/>
      <c r="F6" s="84"/>
      <c r="G6" s="84"/>
      <c r="H6" s="84"/>
      <c r="I6" s="84"/>
      <c r="J6" s="84"/>
      <c r="K6" s="326" t="str">
        <f>+'Rate Case Constants'!C25</f>
        <v>SCHEDULE N (Electric)</v>
      </c>
    </row>
    <row r="7" spans="1:22" x14ac:dyDescent="0.25">
      <c r="A7" s="217" t="str">
        <f>+'Rate Case Constants'!C29</f>
        <v>TYPE OF FILING: __X__ ORIGINAL  _____ UPDATED  _____ REVISED</v>
      </c>
      <c r="B7" s="84"/>
      <c r="C7" s="371"/>
      <c r="D7" s="84"/>
      <c r="E7" s="84"/>
      <c r="F7" s="84"/>
      <c r="G7" s="84"/>
      <c r="H7" s="84"/>
      <c r="I7" s="84"/>
      <c r="J7" s="84"/>
      <c r="K7" s="327" t="str">
        <f>+'Rate Case Constants'!L20</f>
        <v>PAGE 13 of 21</v>
      </c>
      <c r="M7" s="89" t="s">
        <v>71</v>
      </c>
      <c r="N7" s="89">
        <f>+INPUT!G58</f>
        <v>-3.8988870084284278E-3</v>
      </c>
    </row>
    <row r="8" spans="1:22" x14ac:dyDescent="0.25">
      <c r="A8" s="217" t="str">
        <f>+'Rate Case Constants'!C34</f>
        <v>WORKPAPER REFERENCE NO(S):________</v>
      </c>
      <c r="B8" s="84"/>
      <c r="C8" s="371"/>
      <c r="D8" s="84"/>
      <c r="E8" s="84"/>
      <c r="F8" s="84"/>
      <c r="G8" s="84"/>
      <c r="H8" s="84"/>
      <c r="I8" s="84"/>
      <c r="J8" s="84"/>
      <c r="K8" s="327" t="str">
        <f>+'Rate Case Constants'!C36</f>
        <v>WITNESS:   C. M. GARRETT</v>
      </c>
      <c r="L8" s="114"/>
      <c r="M8" s="89" t="s">
        <v>72</v>
      </c>
      <c r="N8" s="89">
        <f>+INPUT!I58</f>
        <v>4.2063393132604862E-2</v>
      </c>
    </row>
    <row r="9" spans="1:22" x14ac:dyDescent="0.25">
      <c r="A9" s="391"/>
      <c r="B9" s="235"/>
      <c r="C9" s="303"/>
      <c r="D9" s="235"/>
      <c r="E9" s="235"/>
      <c r="F9" s="235"/>
      <c r="G9" s="235"/>
      <c r="H9" s="235"/>
      <c r="I9" s="235"/>
      <c r="J9" s="235"/>
      <c r="K9" s="235"/>
    </row>
    <row r="10" spans="1:22" x14ac:dyDescent="0.25">
      <c r="A10" s="86" t="s">
        <v>361</v>
      </c>
      <c r="B10" s="3" t="s">
        <v>326</v>
      </c>
      <c r="C10" s="26" t="s">
        <v>327</v>
      </c>
      <c r="D10" s="26" t="s">
        <v>328</v>
      </c>
      <c r="E10" s="3" t="s">
        <v>329</v>
      </c>
      <c r="F10" s="3" t="s">
        <v>330</v>
      </c>
      <c r="G10" s="26" t="s">
        <v>331</v>
      </c>
      <c r="H10" s="3" t="s">
        <v>332</v>
      </c>
      <c r="I10" s="3" t="s">
        <v>333</v>
      </c>
      <c r="J10" s="3" t="s">
        <v>334</v>
      </c>
      <c r="K10" s="3" t="s">
        <v>335</v>
      </c>
    </row>
    <row r="11" spans="1:22" x14ac:dyDescent="0.25">
      <c r="B11" s="42"/>
      <c r="C11" s="313" t="s">
        <v>366</v>
      </c>
      <c r="D11" s="313" t="s">
        <v>366</v>
      </c>
      <c r="E11"/>
      <c r="F11"/>
      <c r="G11" s="30"/>
      <c r="H11" s="30"/>
      <c r="I11" s="3" t="s">
        <v>5</v>
      </c>
      <c r="J11" s="3" t="s">
        <v>5</v>
      </c>
      <c r="K11"/>
    </row>
    <row r="12" spans="1:22" x14ac:dyDescent="0.25">
      <c r="A12" s="86"/>
      <c r="B12" s="3" t="s">
        <v>350</v>
      </c>
      <c r="C12" s="3" t="s">
        <v>1</v>
      </c>
      <c r="D12" s="3" t="s">
        <v>74</v>
      </c>
      <c r="E12" s="3"/>
      <c r="F12" s="3"/>
      <c r="G12" s="451" t="s">
        <v>130</v>
      </c>
      <c r="H12" s="451"/>
      <c r="I12" s="3" t="s">
        <v>1</v>
      </c>
      <c r="J12" s="3" t="s">
        <v>74</v>
      </c>
      <c r="K12" s="3"/>
    </row>
    <row r="13" spans="1:22" ht="13.8" thickBot="1" x14ac:dyDescent="0.3">
      <c r="A13" s="86"/>
      <c r="B13" s="3" t="s">
        <v>20</v>
      </c>
      <c r="C13" s="3" t="s">
        <v>4</v>
      </c>
      <c r="D13" s="3" t="s">
        <v>4</v>
      </c>
      <c r="E13" s="3" t="s">
        <v>75</v>
      </c>
      <c r="F13" s="3" t="s">
        <v>75</v>
      </c>
      <c r="G13" s="202" t="s">
        <v>421</v>
      </c>
      <c r="H13" s="52" t="s">
        <v>72</v>
      </c>
      <c r="I13" s="3" t="s">
        <v>4</v>
      </c>
      <c r="J13" s="3" t="s">
        <v>4</v>
      </c>
      <c r="K13" s="3" t="s">
        <v>75</v>
      </c>
      <c r="O13" s="217" t="s">
        <v>103</v>
      </c>
    </row>
    <row r="14" spans="1:22" x14ac:dyDescent="0.25">
      <c r="A14" s="86"/>
      <c r="B14" s="42"/>
      <c r="C14" s="3"/>
      <c r="D14" s="3"/>
      <c r="E14" s="3" t="s">
        <v>69</v>
      </c>
      <c r="F14" s="26" t="s">
        <v>70</v>
      </c>
      <c r="G14" s="51"/>
      <c r="H14" s="53"/>
      <c r="I14" s="3" t="s">
        <v>69</v>
      </c>
      <c r="J14" s="3" t="s">
        <v>69</v>
      </c>
      <c r="K14" s="26" t="s">
        <v>70</v>
      </c>
      <c r="S14" s="218" t="s">
        <v>135</v>
      </c>
    </row>
    <row r="15" spans="1:22" ht="13.8" thickBot="1" x14ac:dyDescent="0.3">
      <c r="A15" s="338"/>
      <c r="B15" s="338"/>
      <c r="C15" s="370"/>
      <c r="D15" s="370"/>
      <c r="E15" s="370" t="str">
        <f>("[ "&amp;D10&amp;" - "&amp;C10&amp;" ]")</f>
        <v>[ C - B ]</v>
      </c>
      <c r="F15" s="370" t="str">
        <f>("[ "&amp;E10&amp;" / "&amp;C10&amp;" ]")</f>
        <v>[ D / B ]</v>
      </c>
      <c r="G15" s="353"/>
      <c r="H15" s="353"/>
      <c r="I15" s="370" t="str">
        <f>("["&amp;C10&amp;"+"&amp;$G$10&amp;"+"&amp;$H$10&amp;"]")</f>
        <v>[B+F+G]</v>
      </c>
      <c r="J15" s="370" t="str">
        <f>("["&amp;D10&amp;"+"&amp;$G$10&amp;"+"&amp;$H$10&amp;"]")</f>
        <v>[C+F+G]</v>
      </c>
      <c r="K15" s="370" t="str">
        <f>("[("&amp;J10&amp;" - "&amp;I10&amp;")"&amp;I10&amp;"]")</f>
        <v>[(I - H)H]</v>
      </c>
      <c r="O15" s="219" t="s">
        <v>96</v>
      </c>
      <c r="S15" s="220" t="s">
        <v>102</v>
      </c>
    </row>
    <row r="16" spans="1:22" ht="13.8" thickBot="1" x14ac:dyDescent="0.3">
      <c r="A16" s="221"/>
      <c r="B16" s="221"/>
      <c r="C16" s="87"/>
      <c r="D16" s="87"/>
      <c r="E16" s="202"/>
      <c r="F16" s="202"/>
      <c r="G16" s="87"/>
      <c r="H16" s="87"/>
      <c r="I16" s="202"/>
      <c r="J16" s="87"/>
      <c r="K16" s="202"/>
      <c r="O16" s="222"/>
      <c r="P16" s="223" t="s">
        <v>86</v>
      </c>
      <c r="Q16" s="224"/>
      <c r="S16" s="225" t="str">
        <f>+INPUT!$N$55</f>
        <v>Oct</v>
      </c>
      <c r="T16" s="215"/>
      <c r="U16" s="215" t="s">
        <v>5</v>
      </c>
      <c r="V16" s="215" t="s">
        <v>5</v>
      </c>
    </row>
    <row r="17" spans="1:22" ht="13.8" thickBot="1" x14ac:dyDescent="0.3">
      <c r="A17" s="229" t="s">
        <v>87</v>
      </c>
      <c r="B17" s="229"/>
      <c r="O17" s="230" t="s">
        <v>87</v>
      </c>
      <c r="P17" s="226" t="s">
        <v>1</v>
      </c>
      <c r="Q17" s="226" t="s">
        <v>9</v>
      </c>
      <c r="R17" s="227" t="s">
        <v>20</v>
      </c>
      <c r="S17" s="228" t="s">
        <v>71</v>
      </c>
      <c r="T17" s="228" t="s">
        <v>72</v>
      </c>
      <c r="U17" s="215" t="s">
        <v>1</v>
      </c>
      <c r="V17" s="215" t="s">
        <v>9</v>
      </c>
    </row>
    <row r="18" spans="1:22" ht="13.8" thickBot="1" x14ac:dyDescent="0.3">
      <c r="A18" s="233" t="s">
        <v>91</v>
      </c>
      <c r="B18" s="233"/>
      <c r="O18" s="234" t="s">
        <v>91</v>
      </c>
      <c r="P18" s="226"/>
      <c r="Q18" s="226"/>
      <c r="S18" s="231"/>
      <c r="T18" s="232"/>
      <c r="U18" s="215" t="s">
        <v>4</v>
      </c>
      <c r="V18" s="215" t="s">
        <v>4</v>
      </c>
    </row>
    <row r="19" spans="1:22" ht="13.8" thickBot="1" x14ac:dyDescent="0.3">
      <c r="A19" s="229" t="s">
        <v>136</v>
      </c>
      <c r="B19" s="228">
        <f>+R19</f>
        <v>0.18099999999999999</v>
      </c>
      <c r="C19" s="284">
        <f t="shared" ref="C19:D24" si="0">+U19</f>
        <v>16.322061423919145</v>
      </c>
      <c r="D19" s="284">
        <f t="shared" si="0"/>
        <v>16.322061423919145</v>
      </c>
      <c r="E19" s="285">
        <f t="shared" ref="E19:E24" si="1">+D19-C19</f>
        <v>0</v>
      </c>
      <c r="F19" s="418">
        <f t="shared" ref="F19:F24" si="2">+E19/D19</f>
        <v>0</v>
      </c>
      <c r="G19" s="239">
        <f>+S19</f>
        <v>-0.25969706585740071</v>
      </c>
      <c r="H19" s="285">
        <f t="shared" ref="G19:H24" si="3">+T19</f>
        <v>2.8017584897765446</v>
      </c>
      <c r="I19" s="285">
        <f t="shared" ref="I19:I24" si="4">+C19+G19+H19</f>
        <v>18.864122847838289</v>
      </c>
      <c r="J19" s="285">
        <f t="shared" ref="J19:J24" si="5">+D19+G19+H19</f>
        <v>18.864122847838289</v>
      </c>
      <c r="K19" s="421">
        <f t="shared" ref="K19:K24" si="6">(J19-I19)/I19</f>
        <v>0</v>
      </c>
      <c r="N19" s="89">
        <v>452</v>
      </c>
      <c r="O19" s="240" t="s">
        <v>136</v>
      </c>
      <c r="P19" s="241">
        <f>+INPUT!Z9</f>
        <v>13.78</v>
      </c>
      <c r="Q19" s="242">
        <f>+INPUT!AA9</f>
        <v>13.78</v>
      </c>
      <c r="R19" s="243">
        <f>+INPUT!AB9</f>
        <v>0.18099999999999999</v>
      </c>
      <c r="S19" s="238">
        <f>($R19*INPUT!$O$55)*INPUT!$G$58</f>
        <v>-0.25969706585740071</v>
      </c>
      <c r="T19" s="238">
        <f>($R19*INPUT!$O$55)*INPUT!$I$58</f>
        <v>2.8017584897765446</v>
      </c>
      <c r="U19" s="239">
        <f>+P19+S19+T19</f>
        <v>16.322061423919145</v>
      </c>
      <c r="V19" s="239">
        <f>+Q19+S19+T19</f>
        <v>16.322061423919145</v>
      </c>
    </row>
    <row r="20" spans="1:22" ht="13.8" thickBot="1" x14ac:dyDescent="0.3">
      <c r="A20" s="229" t="s">
        <v>137</v>
      </c>
      <c r="B20" s="228">
        <f t="shared" ref="B20:B24" si="7">+R20</f>
        <v>0.29399999999999998</v>
      </c>
      <c r="C20" s="284">
        <f t="shared" si="0"/>
        <v>20.299094246586897</v>
      </c>
      <c r="D20" s="284">
        <f t="shared" si="0"/>
        <v>20.299094246586897</v>
      </c>
      <c r="E20" s="285">
        <f t="shared" si="1"/>
        <v>0</v>
      </c>
      <c r="F20" s="418">
        <f t="shared" si="2"/>
        <v>0</v>
      </c>
      <c r="G20" s="285">
        <f t="shared" si="3"/>
        <v>-0.42182838321588845</v>
      </c>
      <c r="H20" s="285">
        <f t="shared" si="3"/>
        <v>4.5509226298027849</v>
      </c>
      <c r="I20" s="285">
        <f t="shared" si="4"/>
        <v>24.428188493173792</v>
      </c>
      <c r="J20" s="285">
        <f t="shared" si="5"/>
        <v>24.428188493173792</v>
      </c>
      <c r="K20" s="421">
        <f t="shared" si="6"/>
        <v>0</v>
      </c>
      <c r="N20" s="89">
        <v>453</v>
      </c>
      <c r="O20" s="244" t="s">
        <v>137</v>
      </c>
      <c r="P20" s="241">
        <f>+INPUT!Z10</f>
        <v>16.170000000000002</v>
      </c>
      <c r="Q20" s="242">
        <f>+INPUT!AA10</f>
        <v>16.170000000000002</v>
      </c>
      <c r="R20" s="243">
        <f>+INPUT!AB10</f>
        <v>0.29399999999999998</v>
      </c>
      <c r="S20" s="238">
        <f>($R20*INPUT!$O$55)*INPUT!$G$58</f>
        <v>-0.42182838321588845</v>
      </c>
      <c r="T20" s="238">
        <f>($R20*INPUT!$O$55)*INPUT!$I$58</f>
        <v>4.5509226298027849</v>
      </c>
      <c r="U20" s="239">
        <f t="shared" ref="U20:U27" si="8">+P20+S20+T20</f>
        <v>20.299094246586897</v>
      </c>
      <c r="V20" s="239">
        <f t="shared" ref="V20:V27" si="9">+Q20+S20+T20</f>
        <v>20.299094246586897</v>
      </c>
    </row>
    <row r="21" spans="1:22" ht="13.8" thickBot="1" x14ac:dyDescent="0.3">
      <c r="A21" s="245" t="s">
        <v>138</v>
      </c>
      <c r="B21" s="228">
        <f t="shared" si="7"/>
        <v>0.47099999999999997</v>
      </c>
      <c r="C21" s="284">
        <f t="shared" si="0"/>
        <v>25.224977517491254</v>
      </c>
      <c r="D21" s="284">
        <f t="shared" si="0"/>
        <v>25.224977517491254</v>
      </c>
      <c r="E21" s="285">
        <f t="shared" si="1"/>
        <v>0</v>
      </c>
      <c r="F21" s="418">
        <f t="shared" si="2"/>
        <v>0</v>
      </c>
      <c r="G21" s="285">
        <f t="shared" si="3"/>
        <v>-0.67578628739688251</v>
      </c>
      <c r="H21" s="285">
        <f t="shared" si="3"/>
        <v>7.2907638048881358</v>
      </c>
      <c r="I21" s="285">
        <f t="shared" si="4"/>
        <v>31.839955034982509</v>
      </c>
      <c r="J21" s="285">
        <f t="shared" si="5"/>
        <v>31.839955034982509</v>
      </c>
      <c r="K21" s="421">
        <f t="shared" si="6"/>
        <v>0</v>
      </c>
      <c r="N21" s="89">
        <v>454</v>
      </c>
      <c r="O21" s="246" t="s">
        <v>138</v>
      </c>
      <c r="P21" s="241">
        <f>+INPUT!Z11</f>
        <v>18.61</v>
      </c>
      <c r="Q21" s="242">
        <f>+INPUT!AA11</f>
        <v>18.61</v>
      </c>
      <c r="R21" s="243">
        <f>+INPUT!AB11</f>
        <v>0.47099999999999997</v>
      </c>
      <c r="S21" s="238">
        <f>($R21*INPUT!$O$55)*INPUT!$G$58</f>
        <v>-0.67578628739688251</v>
      </c>
      <c r="T21" s="238">
        <f>($R21*INPUT!$O$55)*INPUT!$I$58</f>
        <v>7.2907638048881358</v>
      </c>
      <c r="U21" s="239">
        <f t="shared" si="8"/>
        <v>25.224977517491254</v>
      </c>
      <c r="V21" s="239">
        <f t="shared" si="9"/>
        <v>25.224977517491254</v>
      </c>
    </row>
    <row r="22" spans="1:22" ht="13.8" thickBot="1" x14ac:dyDescent="0.3">
      <c r="A22" s="245" t="s">
        <v>139</v>
      </c>
      <c r="B22" s="228">
        <f t="shared" si="7"/>
        <v>0.18099999999999999</v>
      </c>
      <c r="C22" s="284">
        <f t="shared" si="0"/>
        <v>17.272061423919144</v>
      </c>
      <c r="D22" s="284">
        <f t="shared" si="0"/>
        <v>17.272061423919144</v>
      </c>
      <c r="E22" s="285">
        <f t="shared" si="1"/>
        <v>0</v>
      </c>
      <c r="F22" s="418">
        <f t="shared" si="2"/>
        <v>0</v>
      </c>
      <c r="G22" s="285">
        <f t="shared" si="3"/>
        <v>-0.25969706585740071</v>
      </c>
      <c r="H22" s="285">
        <f t="shared" si="3"/>
        <v>2.8017584897765446</v>
      </c>
      <c r="I22" s="285">
        <f t="shared" si="4"/>
        <v>19.814122847838288</v>
      </c>
      <c r="J22" s="285">
        <f t="shared" si="5"/>
        <v>19.814122847838288</v>
      </c>
      <c r="K22" s="421">
        <f t="shared" si="6"/>
        <v>0</v>
      </c>
      <c r="N22" s="89">
        <v>455</v>
      </c>
      <c r="O22" s="246" t="s">
        <v>139</v>
      </c>
      <c r="P22" s="241">
        <f>+INPUT!Z12</f>
        <v>14.73</v>
      </c>
      <c r="Q22" s="242">
        <f>+INPUT!AA12</f>
        <v>14.73</v>
      </c>
      <c r="R22" s="243">
        <f>+INPUT!AB12</f>
        <v>0.18099999999999999</v>
      </c>
      <c r="S22" s="238">
        <f>($R22*INPUT!$O$55)*INPUT!$G$58</f>
        <v>-0.25969706585740071</v>
      </c>
      <c r="T22" s="238">
        <f>($R22*INPUT!$O$55)*INPUT!$I$58</f>
        <v>2.8017584897765446</v>
      </c>
      <c r="U22" s="239">
        <f t="shared" si="8"/>
        <v>17.272061423919144</v>
      </c>
      <c r="V22" s="239">
        <f t="shared" si="9"/>
        <v>17.272061423919144</v>
      </c>
    </row>
    <row r="23" spans="1:22" ht="13.8" thickBot="1" x14ac:dyDescent="0.3">
      <c r="A23" s="245" t="s">
        <v>140</v>
      </c>
      <c r="B23" s="228">
        <f t="shared" si="7"/>
        <v>0.47099999999999997</v>
      </c>
      <c r="C23" s="284">
        <f t="shared" si="0"/>
        <v>26.054977517491256</v>
      </c>
      <c r="D23" s="284">
        <f t="shared" si="0"/>
        <v>26.054977517491256</v>
      </c>
      <c r="E23" s="285">
        <f t="shared" si="1"/>
        <v>0</v>
      </c>
      <c r="F23" s="418">
        <f t="shared" si="2"/>
        <v>0</v>
      </c>
      <c r="G23" s="285">
        <f t="shared" si="3"/>
        <v>-0.67578628739688251</v>
      </c>
      <c r="H23" s="285">
        <f t="shared" si="3"/>
        <v>7.2907638048881358</v>
      </c>
      <c r="I23" s="285">
        <f t="shared" si="4"/>
        <v>32.669955034982507</v>
      </c>
      <c r="J23" s="285">
        <f t="shared" si="5"/>
        <v>32.669955034982507</v>
      </c>
      <c r="K23" s="421">
        <f t="shared" si="6"/>
        <v>0</v>
      </c>
      <c r="N23" s="89">
        <v>456</v>
      </c>
      <c r="O23" s="246" t="s">
        <v>140</v>
      </c>
      <c r="P23" s="241">
        <f>+INPUT!Z13</f>
        <v>19.440000000000001</v>
      </c>
      <c r="Q23" s="242">
        <f>+INPUT!AA13</f>
        <v>19.440000000000001</v>
      </c>
      <c r="R23" s="243">
        <f>+INPUT!AB13</f>
        <v>0.47099999999999997</v>
      </c>
      <c r="S23" s="238">
        <f>($R23*INPUT!$O$55)*INPUT!$G$58</f>
        <v>-0.67578628739688251</v>
      </c>
      <c r="T23" s="238">
        <f>($R23*INPUT!$O$55)*INPUT!$I$58</f>
        <v>7.2907638048881358</v>
      </c>
      <c r="U23" s="239">
        <f t="shared" si="8"/>
        <v>26.054977517491256</v>
      </c>
      <c r="V23" s="239">
        <f t="shared" si="9"/>
        <v>26.054977517491256</v>
      </c>
    </row>
    <row r="24" spans="1:22" ht="13.8" thickBot="1" x14ac:dyDescent="0.3">
      <c r="A24" s="245" t="s">
        <v>141</v>
      </c>
      <c r="B24" s="228">
        <f t="shared" si="7"/>
        <v>0.11700000000000001</v>
      </c>
      <c r="C24" s="284">
        <f t="shared" si="0"/>
        <v>13.573210975682541</v>
      </c>
      <c r="D24" s="284">
        <f t="shared" si="0"/>
        <v>13.573210975682541</v>
      </c>
      <c r="E24" s="285">
        <f t="shared" si="1"/>
        <v>0</v>
      </c>
      <c r="F24" s="418">
        <f t="shared" si="2"/>
        <v>0</v>
      </c>
      <c r="G24" s="285">
        <f t="shared" si="3"/>
        <v>-0.16787047903489441</v>
      </c>
      <c r="H24" s="285">
        <f t="shared" si="3"/>
        <v>1.8110814547174352</v>
      </c>
      <c r="I24" s="285">
        <f t="shared" si="4"/>
        <v>15.216421951365081</v>
      </c>
      <c r="J24" s="285">
        <f t="shared" si="5"/>
        <v>15.216421951365081</v>
      </c>
      <c r="K24" s="421">
        <f t="shared" si="6"/>
        <v>0</v>
      </c>
      <c r="N24" s="89">
        <v>457</v>
      </c>
      <c r="O24" s="246" t="s">
        <v>141</v>
      </c>
      <c r="P24" s="241">
        <f>+INPUT!Z14</f>
        <v>11.93</v>
      </c>
      <c r="Q24" s="242">
        <f>+INPUT!AA14</f>
        <v>11.93</v>
      </c>
      <c r="R24" s="243">
        <f>+INPUT!AB14</f>
        <v>0.11700000000000001</v>
      </c>
      <c r="S24" s="238">
        <f>($R24*INPUT!$O$55)*INPUT!$G$58</f>
        <v>-0.16787047903489441</v>
      </c>
      <c r="T24" s="238">
        <f>($R24*INPUT!$O$55)*INPUT!$I$58</f>
        <v>1.8110814547174352</v>
      </c>
      <c r="U24" s="239">
        <f t="shared" si="8"/>
        <v>13.573210975682541</v>
      </c>
      <c r="V24" s="239">
        <f t="shared" si="9"/>
        <v>13.573210975682541</v>
      </c>
    </row>
    <row r="25" spans="1:22" ht="13.8" thickBot="1" x14ac:dyDescent="0.3">
      <c r="A25" s="245"/>
      <c r="B25" s="245"/>
      <c r="C25" s="284"/>
      <c r="D25" s="285"/>
      <c r="E25" s="285"/>
      <c r="F25" s="423"/>
      <c r="G25" s="286"/>
      <c r="H25" s="285"/>
      <c r="I25" s="285"/>
      <c r="J25" s="285"/>
      <c r="K25" s="421"/>
      <c r="O25" s="247"/>
      <c r="P25" s="241"/>
      <c r="Q25" s="242"/>
      <c r="R25" s="243"/>
      <c r="S25" s="238"/>
      <c r="T25" s="238"/>
      <c r="U25" s="239"/>
      <c r="V25" s="239"/>
    </row>
    <row r="26" spans="1:22" ht="13.8" thickBot="1" x14ac:dyDescent="0.3">
      <c r="A26" s="248" t="s">
        <v>99</v>
      </c>
      <c r="B26" s="248"/>
      <c r="C26" s="284"/>
      <c r="D26" s="285"/>
      <c r="E26" s="285"/>
      <c r="F26" s="423"/>
      <c r="G26" s="286"/>
      <c r="H26" s="285"/>
      <c r="I26" s="285"/>
      <c r="J26" s="285"/>
      <c r="K26" s="421"/>
      <c r="O26" s="249" t="s">
        <v>99</v>
      </c>
      <c r="P26" s="241"/>
      <c r="Q26" s="242"/>
      <c r="R26" s="243"/>
      <c r="S26" s="238"/>
      <c r="T26" s="238"/>
      <c r="U26" s="239"/>
      <c r="V26" s="239"/>
    </row>
    <row r="27" spans="1:22" ht="13.8" thickBot="1" x14ac:dyDescent="0.3">
      <c r="A27" s="245" t="s">
        <v>143</v>
      </c>
      <c r="B27" s="228">
        <f t="shared" ref="B27" si="10">+R27</f>
        <v>0.35</v>
      </c>
      <c r="C27" s="284">
        <f t="shared" ref="C27:D27" si="11">+U27</f>
        <v>24.805588388793925</v>
      </c>
      <c r="D27" s="284">
        <f t="shared" si="11"/>
        <v>24.805588388793925</v>
      </c>
      <c r="E27" s="285">
        <f>+D27-C27</f>
        <v>0</v>
      </c>
      <c r="F27" s="418">
        <f>+E27/D27</f>
        <v>0</v>
      </c>
      <c r="G27" s="285">
        <f t="shared" ref="G27:H27" si="12">+S27</f>
        <v>-0.50217664668558148</v>
      </c>
      <c r="H27" s="285">
        <f t="shared" si="12"/>
        <v>5.4177650354795057</v>
      </c>
      <c r="I27" s="285">
        <f>+C27+G27+H27</f>
        <v>29.72117677758785</v>
      </c>
      <c r="J27" s="285">
        <f>+D27+G27+H27</f>
        <v>29.72117677758785</v>
      </c>
      <c r="K27" s="421">
        <f>(J27-I27)/I27</f>
        <v>0</v>
      </c>
      <c r="N27" s="89">
        <v>473</v>
      </c>
      <c r="O27" s="247" t="s">
        <v>143</v>
      </c>
      <c r="P27" s="241">
        <f>+INPUT!Z18</f>
        <v>19.89</v>
      </c>
      <c r="Q27" s="242">
        <f>+INPUT!AA18</f>
        <v>19.89</v>
      </c>
      <c r="R27" s="243">
        <f>+INPUT!AB18</f>
        <v>0.35</v>
      </c>
      <c r="S27" s="238">
        <f>($R27*INPUT!$O$55)*INPUT!$G$58</f>
        <v>-0.50217664668558148</v>
      </c>
      <c r="T27" s="238">
        <f>($R27*INPUT!$O$55)*INPUT!$I$58</f>
        <v>5.4177650354795057</v>
      </c>
      <c r="U27" s="239">
        <f t="shared" si="8"/>
        <v>24.805588388793925</v>
      </c>
      <c r="V27" s="239">
        <f t="shared" si="9"/>
        <v>24.805588388793925</v>
      </c>
    </row>
    <row r="28" spans="1:22" ht="13.8" thickBot="1" x14ac:dyDescent="0.3">
      <c r="F28" s="215"/>
      <c r="K28" s="422"/>
    </row>
    <row r="29" spans="1:22" ht="15" thickBot="1" x14ac:dyDescent="0.3">
      <c r="A29" s="233" t="s">
        <v>406</v>
      </c>
      <c r="B29" s="248"/>
      <c r="C29" s="284"/>
      <c r="D29" s="285"/>
      <c r="E29" s="285"/>
      <c r="F29" s="423"/>
      <c r="G29" s="286"/>
      <c r="H29" s="285"/>
      <c r="I29" s="285"/>
      <c r="J29" s="285"/>
      <c r="K29" s="421"/>
      <c r="N29"/>
      <c r="O29" s="377" t="s">
        <v>397</v>
      </c>
      <c r="P29" s="410"/>
      <c r="Q29" s="411"/>
      <c r="R29"/>
      <c r="S29" s="238"/>
      <c r="T29" s="238"/>
      <c r="U29" s="239"/>
      <c r="V29" s="239"/>
    </row>
    <row r="30" spans="1:22" ht="14.4" thickBot="1" x14ac:dyDescent="0.3">
      <c r="A30" s="385" t="s">
        <v>398</v>
      </c>
      <c r="B30" s="228">
        <f t="shared" ref="B30:B32" si="13">+R30</f>
        <v>0.08</v>
      </c>
      <c r="C30" s="284">
        <f t="shared" ref="C30:C32" si="14">+U30</f>
        <v>0</v>
      </c>
      <c r="D30" s="284">
        <f t="shared" ref="D30:D32" si="15">+V30</f>
        <v>15.743563060295754</v>
      </c>
      <c r="E30" s="285">
        <f>+D30-C30</f>
        <v>15.743563060295754</v>
      </c>
      <c r="F30" s="415" t="s">
        <v>429</v>
      </c>
      <c r="G30" s="285">
        <f t="shared" ref="G30:G32" si="16">+S30</f>
        <v>-0.11478323352813292</v>
      </c>
      <c r="H30" s="285">
        <f t="shared" ref="H30:H32" si="17">+T30</f>
        <v>1.2383462938238872</v>
      </c>
      <c r="I30" s="239">
        <f>U30</f>
        <v>0</v>
      </c>
      <c r="J30" s="285">
        <f>+D30+G30+H30</f>
        <v>16.867126120591507</v>
      </c>
      <c r="K30" s="420" t="s">
        <v>429</v>
      </c>
      <c r="N30">
        <v>490</v>
      </c>
      <c r="O30" s="374" t="s">
        <v>398</v>
      </c>
      <c r="P30" s="412">
        <v>0</v>
      </c>
      <c r="Q30" s="413">
        <v>14.62</v>
      </c>
      <c r="R30" s="243">
        <f>+INPUT!AB22</f>
        <v>0.08</v>
      </c>
      <c r="S30" s="238">
        <f>($R30*INPUT!$O$55)*INPUT!$G$58</f>
        <v>-0.11478323352813292</v>
      </c>
      <c r="T30" s="238">
        <f>($R30*INPUT!$O$55)*INPUT!$I$58</f>
        <v>1.2383462938238872</v>
      </c>
      <c r="U30" s="239">
        <v>0</v>
      </c>
      <c r="V30" s="239">
        <f t="shared" ref="V30" si="18">+Q30+S30+T30</f>
        <v>15.743563060295754</v>
      </c>
    </row>
    <row r="31" spans="1:22" ht="14.4" thickBot="1" x14ac:dyDescent="0.3">
      <c r="A31" s="385" t="s">
        <v>399</v>
      </c>
      <c r="B31" s="228">
        <f t="shared" si="13"/>
        <v>0.13400000000000001</v>
      </c>
      <c r="C31" s="284">
        <f t="shared" si="14"/>
        <v>0</v>
      </c>
      <c r="D31" s="284">
        <f t="shared" si="15"/>
        <v>19.611968125995389</v>
      </c>
      <c r="E31" s="285">
        <f>+D31-C31</f>
        <v>19.611968125995389</v>
      </c>
      <c r="F31" s="415" t="s">
        <v>429</v>
      </c>
      <c r="G31" s="285">
        <f t="shared" si="16"/>
        <v>-0.19226191615962265</v>
      </c>
      <c r="H31" s="285">
        <f t="shared" si="17"/>
        <v>2.0742300421550111</v>
      </c>
      <c r="I31" s="239">
        <f t="shared" ref="I31:I33" si="19">U31</f>
        <v>0</v>
      </c>
      <c r="J31" s="285">
        <f>+D31+G31+H31</f>
        <v>21.493936251990778</v>
      </c>
      <c r="K31" s="420" t="s">
        <v>429</v>
      </c>
      <c r="N31">
        <v>491</v>
      </c>
      <c r="O31" s="374" t="s">
        <v>399</v>
      </c>
      <c r="P31" s="412">
        <v>0</v>
      </c>
      <c r="Q31" s="413">
        <v>17.73</v>
      </c>
      <c r="R31" s="243">
        <f>+INPUT!AB23</f>
        <v>0.13400000000000001</v>
      </c>
      <c r="S31" s="238">
        <f>($R31*INPUT!$O$55)*INPUT!$G$58</f>
        <v>-0.19226191615962265</v>
      </c>
      <c r="T31" s="238">
        <f>($R31*INPUT!$O$55)*INPUT!$I$58</f>
        <v>2.0742300421550111</v>
      </c>
      <c r="U31" s="239">
        <v>0</v>
      </c>
      <c r="V31" s="239">
        <f t="shared" ref="V31:V33" si="20">+Q31+S31+T31</f>
        <v>19.611968125995389</v>
      </c>
    </row>
    <row r="32" spans="1:22" ht="14.4" thickBot="1" x14ac:dyDescent="0.3">
      <c r="A32" s="385" t="s">
        <v>400</v>
      </c>
      <c r="B32" s="228">
        <f t="shared" si="13"/>
        <v>0.22800000000000001</v>
      </c>
      <c r="C32" s="284">
        <f t="shared" si="14"/>
        <v>0</v>
      </c>
      <c r="D32" s="284">
        <f t="shared" si="15"/>
        <v>30.382154721842902</v>
      </c>
      <c r="E32" s="285">
        <f>+D32-C32</f>
        <v>30.382154721842902</v>
      </c>
      <c r="F32" s="415" t="s">
        <v>429</v>
      </c>
      <c r="G32" s="285">
        <f t="shared" si="16"/>
        <v>-0.3271322155551788</v>
      </c>
      <c r="H32" s="285">
        <f t="shared" si="17"/>
        <v>3.5292869373980782</v>
      </c>
      <c r="I32" s="239">
        <f t="shared" si="19"/>
        <v>0</v>
      </c>
      <c r="J32" s="285">
        <f>+D32+G32+H32</f>
        <v>33.584309443685804</v>
      </c>
      <c r="K32" s="420" t="s">
        <v>429</v>
      </c>
      <c r="N32">
        <v>492</v>
      </c>
      <c r="O32" s="374" t="s">
        <v>400</v>
      </c>
      <c r="P32" s="412">
        <v>0</v>
      </c>
      <c r="Q32" s="413">
        <v>27.18</v>
      </c>
      <c r="R32" s="243">
        <f>+INPUT!AB24</f>
        <v>0.22800000000000001</v>
      </c>
      <c r="S32" s="238">
        <f>($R32*INPUT!$O$55)*INPUT!$G$58</f>
        <v>-0.3271322155551788</v>
      </c>
      <c r="T32" s="238">
        <f>($R32*INPUT!$O$55)*INPUT!$I$58</f>
        <v>3.5292869373980782</v>
      </c>
      <c r="U32" s="239">
        <v>0</v>
      </c>
      <c r="V32" s="239">
        <f t="shared" si="20"/>
        <v>30.382154721842902</v>
      </c>
    </row>
    <row r="33" spans="1:22" ht="14.4" thickBot="1" x14ac:dyDescent="0.3">
      <c r="A33" s="385" t="s">
        <v>401</v>
      </c>
      <c r="B33" s="228">
        <f t="shared" ref="B33" si="21">+R33</f>
        <v>0.05</v>
      </c>
      <c r="C33" s="284">
        <f t="shared" ref="C33" si="22">+U33</f>
        <v>0</v>
      </c>
      <c r="D33" s="284">
        <f t="shared" ref="D33" si="23">+V33</f>
        <v>10.352226912684847</v>
      </c>
      <c r="E33" s="285">
        <f>+D33-C33</f>
        <v>10.352226912684847</v>
      </c>
      <c r="F33" s="415" t="s">
        <v>429</v>
      </c>
      <c r="G33" s="285">
        <f t="shared" ref="G33" si="24">+S33</f>
        <v>-7.1739520955083083E-2</v>
      </c>
      <c r="H33" s="285">
        <f t="shared" ref="H33" si="25">+T33</f>
        <v>0.77396643363992956</v>
      </c>
      <c r="I33" s="239">
        <f t="shared" si="19"/>
        <v>0</v>
      </c>
      <c r="J33" s="285">
        <f>+D33+G33+H33</f>
        <v>11.054453825369693</v>
      </c>
      <c r="K33" s="420" t="s">
        <v>429</v>
      </c>
      <c r="N33">
        <v>493</v>
      </c>
      <c r="O33" s="374" t="s">
        <v>401</v>
      </c>
      <c r="P33" s="412">
        <v>0</v>
      </c>
      <c r="Q33" s="413">
        <v>9.65</v>
      </c>
      <c r="R33" s="243">
        <f>+INPUT!AB25</f>
        <v>0.05</v>
      </c>
      <c r="S33" s="238">
        <f>($R33*INPUT!$O$55)*INPUT!$G$58</f>
        <v>-7.1739520955083083E-2</v>
      </c>
      <c r="T33" s="238">
        <f>($R33*INPUT!$O$55)*INPUT!$I$58</f>
        <v>0.77396643363992956</v>
      </c>
      <c r="U33" s="239">
        <v>0</v>
      </c>
      <c r="V33" s="239">
        <f t="shared" si="20"/>
        <v>10.352226912684847</v>
      </c>
    </row>
    <row r="34" spans="1:22" x14ac:dyDescent="0.25">
      <c r="A34" s="308"/>
      <c r="B34" s="210"/>
      <c r="D34" s="236"/>
      <c r="E34" s="236"/>
      <c r="F34" s="236"/>
      <c r="G34" s="237"/>
      <c r="H34" s="239"/>
      <c r="I34" s="239"/>
      <c r="J34" s="239"/>
      <c r="K34" s="237"/>
      <c r="O34" s="250"/>
      <c r="P34" s="241"/>
      <c r="Q34" s="242"/>
      <c r="R34" s="243"/>
      <c r="S34" s="238"/>
      <c r="T34" s="238"/>
      <c r="U34" s="239"/>
      <c r="V34" s="239"/>
    </row>
    <row r="35" spans="1:22" x14ac:dyDescent="0.25">
      <c r="A35" s="214" t="s">
        <v>336</v>
      </c>
      <c r="D35" s="236"/>
      <c r="E35" s="236"/>
      <c r="F35" s="236"/>
      <c r="G35" s="237"/>
      <c r="H35" s="239"/>
      <c r="I35" s="239"/>
      <c r="J35" s="239"/>
      <c r="K35" s="237"/>
      <c r="O35" s="250"/>
      <c r="P35" s="241"/>
      <c r="Q35" s="242"/>
      <c r="R35" s="243"/>
      <c r="S35" s="238"/>
      <c r="T35" s="238"/>
      <c r="U35" s="239"/>
      <c r="V35" s="239"/>
    </row>
    <row r="36" spans="1:22" ht="13.8" thickBot="1" x14ac:dyDescent="0.3">
      <c r="A36" s="210" t="s">
        <v>351</v>
      </c>
      <c r="B36" s="210"/>
      <c r="D36" s="236"/>
      <c r="E36" s="236"/>
      <c r="F36" s="236"/>
      <c r="G36" s="237"/>
      <c r="H36" s="239"/>
      <c r="I36" s="239"/>
      <c r="J36" s="239"/>
      <c r="K36" s="237"/>
      <c r="O36" s="250"/>
      <c r="P36" s="241"/>
      <c r="Q36" s="242"/>
      <c r="R36" s="243"/>
      <c r="S36" s="238"/>
      <c r="T36" s="238"/>
      <c r="U36" s="239"/>
      <c r="V36" s="239"/>
    </row>
    <row r="37" spans="1:22" ht="13.8" thickBot="1" x14ac:dyDescent="0.3">
      <c r="A37" s="210" t="str">
        <f>+'Rate Case Constants'!$C$26</f>
        <v>Calculations may vary from other schedules due to rounding</v>
      </c>
      <c r="B37" s="245"/>
      <c r="D37" s="236"/>
      <c r="E37" s="236"/>
      <c r="F37" s="236"/>
      <c r="G37" s="237"/>
      <c r="H37" s="239"/>
      <c r="I37" s="239"/>
      <c r="J37" s="239"/>
      <c r="K37" s="237"/>
      <c r="N37" s="89" t="s">
        <v>145</v>
      </c>
      <c r="O37" s="247"/>
      <c r="P37" s="241"/>
      <c r="Q37" s="242"/>
      <c r="R37" s="243"/>
      <c r="S37" s="238"/>
      <c r="T37" s="238"/>
      <c r="U37" s="239"/>
      <c r="V37" s="239"/>
    </row>
    <row r="38" spans="1:22" ht="13.8" thickBot="1" x14ac:dyDescent="0.3">
      <c r="A38" s="210"/>
      <c r="B38" s="245"/>
      <c r="D38" s="236"/>
      <c r="E38" s="236"/>
      <c r="F38" s="236"/>
      <c r="G38" s="237"/>
      <c r="H38" s="239"/>
      <c r="I38" s="239"/>
      <c r="J38" s="239"/>
      <c r="K38" s="237"/>
      <c r="O38" s="252"/>
      <c r="P38" s="241"/>
      <c r="Q38" s="242"/>
      <c r="R38" s="243"/>
      <c r="S38" s="238"/>
      <c r="T38" s="238"/>
      <c r="U38" s="239"/>
      <c r="V38" s="239"/>
    </row>
    <row r="39" spans="1:22" ht="13.8" thickBot="1" x14ac:dyDescent="0.3">
      <c r="A39" s="438" t="str">
        <f>+A1</f>
        <v>LOUISVILLE GAS AND ELECTRIC COMPANY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O39" s="252"/>
      <c r="P39" s="241"/>
      <c r="Q39" s="242"/>
      <c r="R39" s="243"/>
      <c r="S39" s="238"/>
      <c r="T39" s="238"/>
      <c r="U39" s="239"/>
      <c r="V39" s="239"/>
    </row>
    <row r="40" spans="1:22" ht="13.8" thickBot="1" x14ac:dyDescent="0.3">
      <c r="A40" s="438" t="str">
        <f>+A2</f>
        <v>CASE NO. 2016-00371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O40" s="252"/>
      <c r="P40" s="241"/>
      <c r="Q40" s="242"/>
      <c r="R40" s="243"/>
      <c r="S40" s="238"/>
      <c r="T40" s="238"/>
      <c r="U40" s="239"/>
      <c r="V40" s="239"/>
    </row>
    <row r="41" spans="1:22" ht="13.8" thickBot="1" x14ac:dyDescent="0.3">
      <c r="A41" s="440" t="str">
        <f>+A3</f>
        <v>Typical Electric Bill Comparison under Present &amp; Proposed Rates</v>
      </c>
      <c r="B41" s="440"/>
      <c r="C41" s="440"/>
      <c r="D41" s="440"/>
      <c r="E41" s="440"/>
      <c r="F41" s="440"/>
      <c r="G41" s="440"/>
      <c r="H41" s="440"/>
      <c r="I41" s="440"/>
      <c r="J41" s="440"/>
      <c r="K41" s="440"/>
      <c r="O41" s="252"/>
      <c r="P41" s="241"/>
      <c r="Q41" s="242"/>
      <c r="R41" s="243"/>
      <c r="S41" s="238"/>
      <c r="T41" s="238"/>
      <c r="U41" s="239"/>
      <c r="V41" s="239"/>
    </row>
    <row r="42" spans="1:22" ht="13.8" thickBot="1" x14ac:dyDescent="0.3">
      <c r="A42" s="438" t="str">
        <f>+A4</f>
        <v>FORECAST PERIOD FOR THE 12 MONTHS ENDED JUNE 30, 2018</v>
      </c>
      <c r="B42" s="438"/>
      <c r="C42" s="438"/>
      <c r="D42" s="438"/>
      <c r="E42" s="438"/>
      <c r="F42" s="438"/>
      <c r="G42" s="438"/>
      <c r="H42" s="438"/>
      <c r="I42" s="438"/>
      <c r="J42" s="438"/>
      <c r="K42" s="438"/>
      <c r="O42" s="252"/>
      <c r="P42" s="241"/>
      <c r="Q42" s="242"/>
      <c r="R42" s="243"/>
      <c r="S42" s="238"/>
      <c r="T42" s="238"/>
      <c r="U42" s="239"/>
      <c r="V42" s="239"/>
    </row>
    <row r="43" spans="1:22" ht="13.8" thickBot="1" x14ac:dyDescent="0.3">
      <c r="A43" s="217"/>
      <c r="B43" s="84"/>
      <c r="C43" s="371"/>
      <c r="D43" s="387"/>
      <c r="E43" s="387"/>
      <c r="F43" s="387"/>
      <c r="G43" s="334"/>
      <c r="H43" s="388"/>
      <c r="I43" s="388"/>
      <c r="J43" s="388"/>
      <c r="K43" s="334"/>
      <c r="O43" s="252"/>
      <c r="P43" s="241"/>
      <c r="Q43" s="242"/>
      <c r="R43" s="243"/>
      <c r="S43" s="238"/>
      <c r="T43" s="238"/>
      <c r="U43" s="239"/>
      <c r="V43" s="239"/>
    </row>
    <row r="44" spans="1:22" ht="13.8" thickBot="1" x14ac:dyDescent="0.3">
      <c r="A44" s="217" t="str">
        <f>+A6</f>
        <v>DATA: ____BASE PERIOD__X___FORECASTED PERIOD</v>
      </c>
      <c r="B44" s="84"/>
      <c r="C44" s="371"/>
      <c r="D44" s="387"/>
      <c r="E44" s="387"/>
      <c r="F44" s="387"/>
      <c r="G44" s="334"/>
      <c r="H44" s="388"/>
      <c r="I44" s="388"/>
      <c r="J44" s="388"/>
      <c r="K44" s="335" t="str">
        <f>+K6</f>
        <v>SCHEDULE N (Electric)</v>
      </c>
      <c r="O44" s="252"/>
      <c r="P44" s="241"/>
      <c r="Q44" s="242"/>
      <c r="R44" s="243"/>
      <c r="S44" s="238"/>
      <c r="T44" s="238"/>
      <c r="U44" s="239"/>
      <c r="V44" s="239"/>
    </row>
    <row r="45" spans="1:22" ht="13.8" thickBot="1" x14ac:dyDescent="0.3">
      <c r="A45" s="217" t="str">
        <f>+A7</f>
        <v>TYPE OF FILING: __X__ ORIGINAL  _____ UPDATED  _____ REVISED</v>
      </c>
      <c r="B45" s="84"/>
      <c r="C45" s="371"/>
      <c r="D45" s="387"/>
      <c r="E45" s="387"/>
      <c r="F45" s="387"/>
      <c r="G45" s="334"/>
      <c r="H45" s="388"/>
      <c r="I45" s="388"/>
      <c r="J45" s="388"/>
      <c r="K45" s="335" t="str">
        <f>+'Rate Case Constants'!L21</f>
        <v>PAGE 14 of 21</v>
      </c>
      <c r="O45" s="252"/>
      <c r="P45" s="241"/>
      <c r="Q45" s="242"/>
      <c r="R45" s="243"/>
      <c r="S45" s="238"/>
      <c r="T45" s="238"/>
      <c r="U45" s="239"/>
      <c r="V45" s="239"/>
    </row>
    <row r="46" spans="1:22" ht="13.8" thickBot="1" x14ac:dyDescent="0.3">
      <c r="A46" s="217" t="str">
        <f>+A8</f>
        <v>WORKPAPER REFERENCE NO(S):________</v>
      </c>
      <c r="B46" s="84"/>
      <c r="C46" s="371"/>
      <c r="D46" s="387"/>
      <c r="E46" s="387"/>
      <c r="F46" s="387"/>
      <c r="G46" s="334"/>
      <c r="H46" s="388"/>
      <c r="I46" s="388"/>
      <c r="J46" s="388"/>
      <c r="K46" s="335" t="str">
        <f>+K8</f>
        <v>WITNESS:   C. M. GARRETT</v>
      </c>
      <c r="O46" s="252"/>
      <c r="P46" s="241"/>
      <c r="Q46" s="242"/>
      <c r="R46" s="243"/>
      <c r="S46" s="238"/>
      <c r="T46" s="238"/>
      <c r="U46" s="239"/>
      <c r="V46" s="239"/>
    </row>
    <row r="47" spans="1:22" ht="13.8" thickBot="1" x14ac:dyDescent="0.3">
      <c r="A47" s="245"/>
      <c r="B47" s="245"/>
      <c r="C47" s="303"/>
      <c r="D47" s="305"/>
      <c r="E47" s="305"/>
      <c r="F47" s="305"/>
      <c r="G47" s="304"/>
      <c r="H47" s="306"/>
      <c r="I47" s="306"/>
      <c r="J47" s="306"/>
      <c r="K47" s="390"/>
      <c r="O47" s="252"/>
      <c r="P47" s="241"/>
      <c r="Q47" s="242"/>
      <c r="R47" s="243"/>
      <c r="S47" s="238"/>
      <c r="T47" s="238"/>
      <c r="U47" s="239"/>
      <c r="V47" s="239"/>
    </row>
    <row r="48" spans="1:22" ht="13.8" thickBot="1" x14ac:dyDescent="0.3">
      <c r="A48" s="86" t="s">
        <v>361</v>
      </c>
      <c r="B48" s="3" t="s">
        <v>326</v>
      </c>
      <c r="C48" s="26" t="s">
        <v>327</v>
      </c>
      <c r="D48" s="26" t="s">
        <v>328</v>
      </c>
      <c r="E48" s="3" t="s">
        <v>329</v>
      </c>
      <c r="F48" s="3" t="s">
        <v>330</v>
      </c>
      <c r="G48" s="26" t="s">
        <v>331</v>
      </c>
      <c r="H48" s="3" t="s">
        <v>332</v>
      </c>
      <c r="I48" s="3" t="s">
        <v>333</v>
      </c>
      <c r="J48" s="3" t="s">
        <v>334</v>
      </c>
      <c r="K48" s="3" t="s">
        <v>335</v>
      </c>
      <c r="O48" s="252"/>
      <c r="P48" s="241"/>
      <c r="Q48" s="242"/>
      <c r="R48" s="243"/>
      <c r="S48" s="238"/>
      <c r="T48" s="238"/>
      <c r="U48" s="239"/>
      <c r="V48" s="239"/>
    </row>
    <row r="49" spans="1:22" ht="13.8" thickBot="1" x14ac:dyDescent="0.3">
      <c r="A49" s="245"/>
      <c r="B49" s="42"/>
      <c r="C49" s="313" t="s">
        <v>366</v>
      </c>
      <c r="D49" s="313" t="s">
        <v>366</v>
      </c>
      <c r="E49"/>
      <c r="F49"/>
      <c r="G49" s="30"/>
      <c r="H49" s="30"/>
      <c r="I49" s="3" t="s">
        <v>5</v>
      </c>
      <c r="J49" s="3" t="s">
        <v>5</v>
      </c>
      <c r="K49"/>
      <c r="O49" s="252"/>
      <c r="P49" s="241"/>
      <c r="Q49" s="242"/>
      <c r="R49" s="243"/>
      <c r="S49" s="238"/>
      <c r="T49" s="238"/>
      <c r="U49" s="239"/>
      <c r="V49" s="239"/>
    </row>
    <row r="50" spans="1:22" ht="13.8" thickBot="1" x14ac:dyDescent="0.3">
      <c r="A50" s="245"/>
      <c r="B50" s="3" t="s">
        <v>350</v>
      </c>
      <c r="C50" s="3" t="s">
        <v>1</v>
      </c>
      <c r="D50" s="3" t="s">
        <v>74</v>
      </c>
      <c r="E50" s="3"/>
      <c r="F50" s="3"/>
      <c r="G50" s="451" t="s">
        <v>130</v>
      </c>
      <c r="H50" s="451"/>
      <c r="I50" s="3" t="s">
        <v>1</v>
      </c>
      <c r="J50" s="3" t="s">
        <v>74</v>
      </c>
      <c r="K50" s="3"/>
      <c r="O50" s="252"/>
      <c r="P50" s="241"/>
      <c r="Q50" s="242"/>
      <c r="R50" s="243"/>
      <c r="S50" s="238"/>
      <c r="T50" s="238"/>
      <c r="U50" s="239"/>
      <c r="V50" s="239"/>
    </row>
    <row r="51" spans="1:22" ht="13.8" thickBot="1" x14ac:dyDescent="0.3">
      <c r="A51" s="245"/>
      <c r="B51" s="3" t="s">
        <v>20</v>
      </c>
      <c r="C51" s="3" t="s">
        <v>4</v>
      </c>
      <c r="D51" s="3" t="s">
        <v>4</v>
      </c>
      <c r="E51" s="3" t="s">
        <v>75</v>
      </c>
      <c r="F51" s="3" t="s">
        <v>75</v>
      </c>
      <c r="G51" s="202" t="s">
        <v>421</v>
      </c>
      <c r="H51" s="52" t="s">
        <v>72</v>
      </c>
      <c r="I51" s="3" t="s">
        <v>4</v>
      </c>
      <c r="J51" s="3" t="s">
        <v>4</v>
      </c>
      <c r="K51" s="3" t="s">
        <v>75</v>
      </c>
      <c r="O51" s="252"/>
      <c r="P51" s="241"/>
      <c r="Q51" s="242"/>
      <c r="R51" s="243"/>
      <c r="S51" s="238"/>
      <c r="T51" s="238"/>
      <c r="U51" s="239"/>
      <c r="V51" s="239"/>
    </row>
    <row r="52" spans="1:22" ht="13.8" thickBot="1" x14ac:dyDescent="0.3">
      <c r="A52" s="245"/>
      <c r="B52" s="42"/>
      <c r="C52" s="3"/>
      <c r="D52" s="3"/>
      <c r="E52" s="3" t="s">
        <v>69</v>
      </c>
      <c r="F52" s="26" t="s">
        <v>70</v>
      </c>
      <c r="G52" s="51"/>
      <c r="H52" s="53"/>
      <c r="I52" s="3" t="s">
        <v>69</v>
      </c>
      <c r="J52" s="3" t="s">
        <v>69</v>
      </c>
      <c r="K52" s="26" t="s">
        <v>70</v>
      </c>
      <c r="O52" s="252"/>
      <c r="P52" s="241"/>
      <c r="Q52" s="242"/>
      <c r="R52" s="243"/>
      <c r="S52" s="238"/>
      <c r="T52" s="238"/>
      <c r="U52" s="239"/>
      <c r="V52" s="239"/>
    </row>
    <row r="53" spans="1:22" ht="13.8" thickBot="1" x14ac:dyDescent="0.3">
      <c r="A53" s="258"/>
      <c r="B53" s="338"/>
      <c r="C53" s="370"/>
      <c r="D53" s="370"/>
      <c r="E53" s="370" t="str">
        <f>("[ "&amp;D48&amp;" - "&amp;C48&amp;" ]")</f>
        <v>[ C - B ]</v>
      </c>
      <c r="F53" s="370" t="str">
        <f>("[ "&amp;E48&amp;" / "&amp;C48&amp;" ]")</f>
        <v>[ D / B ]</v>
      </c>
      <c r="G53" s="353"/>
      <c r="H53" s="353"/>
      <c r="I53" s="370" t="str">
        <f>("["&amp;C48&amp;"+"&amp;$G$10&amp;"+"&amp;$H$10&amp;"]")</f>
        <v>[B+F+G]</v>
      </c>
      <c r="J53" s="370" t="str">
        <f>("["&amp;D48&amp;"+"&amp;$G$10&amp;"+"&amp;$H$10&amp;"]")</f>
        <v>[C+F+G]</v>
      </c>
      <c r="K53" s="370" t="str">
        <f>("[("&amp;J48&amp;" - "&amp;I48&amp;")"&amp;I48&amp;"]")</f>
        <v>[(I - H)H]</v>
      </c>
      <c r="O53" s="252"/>
      <c r="P53" s="241"/>
      <c r="Q53" s="242"/>
      <c r="R53" s="243"/>
      <c r="S53" s="238"/>
      <c r="T53" s="238"/>
      <c r="U53" s="239"/>
      <c r="V53" s="239"/>
    </row>
    <row r="54" spans="1:22" ht="13.8" thickBot="1" x14ac:dyDescent="0.3">
      <c r="A54" s="245"/>
      <c r="B54" s="389"/>
      <c r="C54" s="373"/>
      <c r="D54" s="373"/>
      <c r="E54" s="373"/>
      <c r="F54" s="373"/>
      <c r="G54" s="192"/>
      <c r="H54" s="192"/>
      <c r="I54" s="373"/>
      <c r="J54" s="373"/>
      <c r="K54" s="373"/>
      <c r="O54" s="252"/>
      <c r="P54" s="241"/>
      <c r="Q54" s="242"/>
      <c r="R54" s="243"/>
      <c r="S54" s="238"/>
      <c r="T54" s="238"/>
      <c r="U54" s="239"/>
      <c r="V54" s="239"/>
    </row>
    <row r="55" spans="1:22" ht="13.8" thickBot="1" x14ac:dyDescent="0.3">
      <c r="A55" s="229" t="s">
        <v>90</v>
      </c>
      <c r="B55" s="229"/>
      <c r="C55" s="303"/>
      <c r="D55" s="235"/>
      <c r="E55" s="235"/>
      <c r="F55" s="235"/>
      <c r="G55" s="304"/>
      <c r="H55" s="235"/>
      <c r="I55" s="235"/>
      <c r="J55" s="235"/>
      <c r="K55" s="304"/>
      <c r="O55" s="253" t="s">
        <v>90</v>
      </c>
      <c r="P55" s="241"/>
      <c r="Q55" s="242"/>
      <c r="R55" s="243"/>
      <c r="S55" s="238"/>
      <c r="T55" s="238"/>
    </row>
    <row r="56" spans="1:22" ht="13.8" thickBot="1" x14ac:dyDescent="0.3">
      <c r="A56" s="248" t="s">
        <v>98</v>
      </c>
      <c r="B56" s="248"/>
      <c r="G56" s="237"/>
      <c r="K56" s="237"/>
      <c r="O56" s="249" t="s">
        <v>98</v>
      </c>
      <c r="P56" s="241"/>
      <c r="Q56" s="242"/>
      <c r="R56" s="243"/>
      <c r="S56" s="238"/>
      <c r="T56" s="238"/>
    </row>
    <row r="57" spans="1:22" ht="13.8" thickBot="1" x14ac:dyDescent="0.3">
      <c r="A57" s="245" t="s">
        <v>146</v>
      </c>
      <c r="B57" s="228">
        <f t="shared" ref="B57:B77" si="26">+R57</f>
        <v>8.3000000000000004E-2</v>
      </c>
      <c r="C57" s="284">
        <f t="shared" ref="C57:C77" si="27">+U57</f>
        <v>21.985696675056843</v>
      </c>
      <c r="D57" s="284">
        <f t="shared" ref="D57:D77" si="28">+V57</f>
        <v>23.465696675056847</v>
      </c>
      <c r="E57" s="285">
        <f t="shared" ref="E57:E77" si="29">+D57-C57</f>
        <v>1.480000000000004</v>
      </c>
      <c r="F57" s="418">
        <f t="shared" ref="F57:F77" si="30">+E57/D57</f>
        <v>6.3070788841022921E-2</v>
      </c>
      <c r="G57" s="285">
        <f t="shared" ref="G57:G77" si="31">+S57</f>
        <v>-0.11908760478543791</v>
      </c>
      <c r="H57" s="285">
        <f t="shared" ref="H57:H77" si="32">+T57</f>
        <v>1.2847842798422828</v>
      </c>
      <c r="I57" s="285">
        <f t="shared" ref="I57:I77" si="33">+C57+G57+H57</f>
        <v>23.151393350113686</v>
      </c>
      <c r="J57" s="285">
        <f t="shared" ref="J57:J77" si="34">+D57+G57+H57</f>
        <v>24.63139335011369</v>
      </c>
      <c r="K57" s="418">
        <f t="shared" ref="K57:K77" si="35">(J57-I57)/I57</f>
        <v>6.3927037894362257E-2</v>
      </c>
      <c r="N57" s="89">
        <v>412</v>
      </c>
      <c r="O57" s="250" t="s">
        <v>146</v>
      </c>
      <c r="P57" s="241">
        <f>+INPUT!Z29</f>
        <v>20.82</v>
      </c>
      <c r="Q57" s="242">
        <f>+INPUT!AA29</f>
        <v>22.3</v>
      </c>
      <c r="R57" s="243">
        <f>+INPUT!AB29</f>
        <v>8.3000000000000004E-2</v>
      </c>
      <c r="S57" s="238">
        <f>($R57*INPUT!$O$55)*INPUT!$G$58</f>
        <v>-0.11908760478543791</v>
      </c>
      <c r="T57" s="238">
        <f>($R57*INPUT!$O$55)*INPUT!$I$58</f>
        <v>1.2847842798422828</v>
      </c>
      <c r="U57" s="239">
        <f t="shared" ref="U57:U58" si="36">+P57+S57+T57</f>
        <v>21.985696675056843</v>
      </c>
      <c r="V57" s="239">
        <f t="shared" ref="V57:V58" si="37">+Q57+S57+T57</f>
        <v>23.465696675056847</v>
      </c>
    </row>
    <row r="58" spans="1:22" ht="13.8" thickBot="1" x14ac:dyDescent="0.3">
      <c r="A58" s="245" t="s">
        <v>147</v>
      </c>
      <c r="B58" s="228">
        <f t="shared" si="26"/>
        <v>0.11700000000000001</v>
      </c>
      <c r="C58" s="284">
        <f t="shared" si="27"/>
        <v>23.203210975682538</v>
      </c>
      <c r="D58" s="284">
        <f t="shared" si="28"/>
        <v>24.49321097568254</v>
      </c>
      <c r="E58" s="285">
        <f t="shared" si="29"/>
        <v>1.2900000000000027</v>
      </c>
      <c r="F58" s="418">
        <f t="shared" si="30"/>
        <v>5.2667655591614605E-2</v>
      </c>
      <c r="G58" s="285">
        <f t="shared" si="31"/>
        <v>-0.16787047903489441</v>
      </c>
      <c r="H58" s="285">
        <f t="shared" si="32"/>
        <v>1.8110814547174352</v>
      </c>
      <c r="I58" s="285">
        <f t="shared" si="33"/>
        <v>24.846421951365077</v>
      </c>
      <c r="J58" s="285">
        <f t="shared" si="34"/>
        <v>26.13642195136508</v>
      </c>
      <c r="K58" s="418">
        <f t="shared" si="35"/>
        <v>5.1918944406767163E-2</v>
      </c>
      <c r="N58" s="89">
        <v>413</v>
      </c>
      <c r="O58" s="246" t="s">
        <v>147</v>
      </c>
      <c r="P58" s="241">
        <f>+INPUT!Z30</f>
        <v>21.56</v>
      </c>
      <c r="Q58" s="242">
        <f>+INPUT!AA30</f>
        <v>22.85</v>
      </c>
      <c r="R58" s="243">
        <f>+INPUT!AB30</f>
        <v>0.11700000000000001</v>
      </c>
      <c r="S58" s="238">
        <f>($R58*INPUT!$O$55)*INPUT!$G$58</f>
        <v>-0.16787047903489441</v>
      </c>
      <c r="T58" s="238">
        <f>($R58*INPUT!$O$55)*INPUT!$I$58</f>
        <v>1.8110814547174352</v>
      </c>
      <c r="U58" s="239">
        <f t="shared" si="36"/>
        <v>23.203210975682538</v>
      </c>
      <c r="V58" s="239">
        <f t="shared" si="37"/>
        <v>24.49321097568254</v>
      </c>
    </row>
    <row r="59" spans="1:22" ht="13.8" thickBot="1" x14ac:dyDescent="0.3">
      <c r="A59" s="245" t="s">
        <v>148</v>
      </c>
      <c r="B59" s="228">
        <f t="shared" si="26"/>
        <v>0.18099999999999999</v>
      </c>
      <c r="C59" s="284">
        <f t="shared" si="27"/>
        <v>24.232061423919145</v>
      </c>
      <c r="D59" s="284">
        <f t="shared" si="28"/>
        <v>26.602061423919142</v>
      </c>
      <c r="E59" s="285">
        <f t="shared" si="29"/>
        <v>2.3699999999999974</v>
      </c>
      <c r="F59" s="418">
        <f t="shared" si="30"/>
        <v>8.9090840075612368E-2</v>
      </c>
      <c r="G59" s="285">
        <f t="shared" si="31"/>
        <v>-0.25969706585740071</v>
      </c>
      <c r="H59" s="285">
        <f t="shared" si="32"/>
        <v>2.8017584897765446</v>
      </c>
      <c r="I59" s="285">
        <f t="shared" si="33"/>
        <v>26.774122847838289</v>
      </c>
      <c r="J59" s="285">
        <f t="shared" si="34"/>
        <v>29.144122847838286</v>
      </c>
      <c r="K59" s="418">
        <f t="shared" si="35"/>
        <v>8.8518306032623159E-2</v>
      </c>
      <c r="N59" s="89">
        <v>444</v>
      </c>
      <c r="O59" s="246" t="s">
        <v>148</v>
      </c>
      <c r="P59" s="408">
        <f>+INPUT!Z31</f>
        <v>21.69</v>
      </c>
      <c r="Q59" s="409">
        <f>+INPUT!AA31</f>
        <v>24.06</v>
      </c>
      <c r="R59" s="243">
        <f>+INPUT!AB31</f>
        <v>0.18099999999999999</v>
      </c>
      <c r="S59" s="238">
        <f>($R59*INPUT!$O$55)*INPUT!$G$58</f>
        <v>-0.25969706585740071</v>
      </c>
      <c r="T59" s="238">
        <f>($R59*INPUT!$O$55)*INPUT!$I$58</f>
        <v>2.8017584897765446</v>
      </c>
      <c r="U59" s="239">
        <f t="shared" ref="U59" si="38">+P59+S59+T59</f>
        <v>24.232061423919145</v>
      </c>
      <c r="V59" s="239">
        <f t="shared" ref="V59" si="39">+Q59+S59+T59</f>
        <v>26.602061423919142</v>
      </c>
    </row>
    <row r="60" spans="1:22" ht="13.8" thickBot="1" x14ac:dyDescent="0.3">
      <c r="A60" s="245" t="s">
        <v>149</v>
      </c>
      <c r="B60" s="228">
        <f t="shared" si="26"/>
        <v>8.3000000000000004E-2</v>
      </c>
      <c r="C60" s="284">
        <f t="shared" si="27"/>
        <v>22.375696675056844</v>
      </c>
      <c r="D60" s="284">
        <f t="shared" si="28"/>
        <v>25.635696675056842</v>
      </c>
      <c r="E60" s="285">
        <f t="shared" si="29"/>
        <v>3.259999999999998</v>
      </c>
      <c r="F60" s="418">
        <f t="shared" si="30"/>
        <v>0.12716642895731914</v>
      </c>
      <c r="G60" s="285">
        <f t="shared" si="31"/>
        <v>-0.11908760478543791</v>
      </c>
      <c r="H60" s="285">
        <f t="shared" si="32"/>
        <v>1.2847842798422828</v>
      </c>
      <c r="I60" s="285">
        <f t="shared" si="33"/>
        <v>23.541393350113687</v>
      </c>
      <c r="J60" s="285">
        <f t="shared" si="34"/>
        <v>26.801393350113685</v>
      </c>
      <c r="K60" s="418">
        <f t="shared" si="35"/>
        <v>0.13847948384007844</v>
      </c>
      <c r="N60" s="89">
        <v>415</v>
      </c>
      <c r="O60" s="246" t="s">
        <v>149</v>
      </c>
      <c r="P60" s="408">
        <f>+INPUT!Z32</f>
        <v>21.21</v>
      </c>
      <c r="Q60" s="409">
        <f>+INPUT!AA32</f>
        <v>24.47</v>
      </c>
      <c r="R60" s="243">
        <f>+INPUT!AB32</f>
        <v>8.3000000000000004E-2</v>
      </c>
      <c r="S60" s="238">
        <f>($R60*INPUT!$O$55)*INPUT!$G$58</f>
        <v>-0.11908760478543791</v>
      </c>
      <c r="T60" s="238">
        <f>($R60*INPUT!$O$55)*INPUT!$I$58</f>
        <v>1.2847842798422828</v>
      </c>
      <c r="U60" s="239">
        <f t="shared" ref="U60:U63" si="40">+P60+S60+T60</f>
        <v>22.375696675056844</v>
      </c>
      <c r="V60" s="239">
        <f t="shared" ref="V60:V63" si="41">+Q60+S60+T60</f>
        <v>25.635696675056842</v>
      </c>
    </row>
    <row r="61" spans="1:22" ht="13.8" thickBot="1" x14ac:dyDescent="0.3">
      <c r="A61" s="245" t="s">
        <v>150</v>
      </c>
      <c r="B61" s="228">
        <f t="shared" si="26"/>
        <v>0.11700000000000001</v>
      </c>
      <c r="C61" s="284">
        <f t="shared" si="27"/>
        <v>25.273210975682538</v>
      </c>
      <c r="D61" s="284">
        <f t="shared" si="28"/>
        <v>26.063210975682541</v>
      </c>
      <c r="E61" s="285">
        <f t="shared" si="29"/>
        <v>0.7900000000000027</v>
      </c>
      <c r="F61" s="418">
        <f t="shared" si="30"/>
        <v>3.0310923728357468E-2</v>
      </c>
      <c r="G61" s="285">
        <f t="shared" si="31"/>
        <v>-0.16787047903489441</v>
      </c>
      <c r="H61" s="285">
        <f t="shared" si="32"/>
        <v>1.8110814547174352</v>
      </c>
      <c r="I61" s="285">
        <f t="shared" si="33"/>
        <v>26.916421951365077</v>
      </c>
      <c r="J61" s="285">
        <f t="shared" si="34"/>
        <v>27.70642195136508</v>
      </c>
      <c r="K61" s="418">
        <f t="shared" si="35"/>
        <v>2.9350112040428075E-2</v>
      </c>
      <c r="N61" s="89">
        <v>416</v>
      </c>
      <c r="O61" s="246" t="s">
        <v>150</v>
      </c>
      <c r="P61" s="408">
        <f>+INPUT!Z33</f>
        <v>23.63</v>
      </c>
      <c r="Q61" s="409">
        <f>+INPUT!AA33</f>
        <v>24.42</v>
      </c>
      <c r="R61" s="243">
        <f>+INPUT!AB33</f>
        <v>0.11700000000000001</v>
      </c>
      <c r="S61" s="238">
        <f>($R61*INPUT!$O$55)*INPUT!$G$58</f>
        <v>-0.16787047903489441</v>
      </c>
      <c r="T61" s="238">
        <f>($R61*INPUT!$O$55)*INPUT!$I$58</f>
        <v>1.8110814547174352</v>
      </c>
      <c r="U61" s="239">
        <f t="shared" si="40"/>
        <v>25.273210975682538</v>
      </c>
      <c r="V61" s="239">
        <f t="shared" si="41"/>
        <v>26.063210975682541</v>
      </c>
    </row>
    <row r="62" spans="1:22" ht="13.8" thickBot="1" x14ac:dyDescent="0.3">
      <c r="A62" s="245" t="s">
        <v>151</v>
      </c>
      <c r="B62" s="228">
        <f t="shared" si="26"/>
        <v>0.18099999999999999</v>
      </c>
      <c r="C62" s="284">
        <f t="shared" si="27"/>
        <v>26.172061423919143</v>
      </c>
      <c r="D62" s="284">
        <f t="shared" si="28"/>
        <v>28.182061423919144</v>
      </c>
      <c r="E62" s="285">
        <f t="shared" si="29"/>
        <v>2.0100000000000016</v>
      </c>
      <c r="F62" s="418">
        <f t="shared" si="30"/>
        <v>7.1321965053061778E-2</v>
      </c>
      <c r="G62" s="285">
        <f t="shared" si="31"/>
        <v>-0.25969706585740071</v>
      </c>
      <c r="H62" s="285">
        <f t="shared" si="32"/>
        <v>2.8017584897765446</v>
      </c>
      <c r="I62" s="285">
        <f t="shared" si="33"/>
        <v>28.714122847838286</v>
      </c>
      <c r="J62" s="285">
        <f t="shared" si="34"/>
        <v>30.724122847838288</v>
      </c>
      <c r="K62" s="418">
        <f t="shared" si="35"/>
        <v>7.0000397039860204E-2</v>
      </c>
      <c r="N62" s="89">
        <v>445</v>
      </c>
      <c r="O62" s="246" t="s">
        <v>151</v>
      </c>
      <c r="P62" s="408">
        <f>+INPUT!Z34</f>
        <v>23.63</v>
      </c>
      <c r="Q62" s="409">
        <f>+INPUT!AA34</f>
        <v>25.64</v>
      </c>
      <c r="R62" s="243">
        <f>+INPUT!AB34</f>
        <v>0.18099999999999999</v>
      </c>
      <c r="S62" s="238">
        <f>($R62*INPUT!$O$55)*INPUT!$G$58</f>
        <v>-0.25969706585740071</v>
      </c>
      <c r="T62" s="238">
        <f>($R62*INPUT!$O$55)*INPUT!$I$58</f>
        <v>2.8017584897765446</v>
      </c>
      <c r="U62" s="239">
        <f t="shared" si="40"/>
        <v>26.172061423919143</v>
      </c>
      <c r="V62" s="239">
        <f t="shared" si="41"/>
        <v>28.182061423919144</v>
      </c>
    </row>
    <row r="63" spans="1:22" ht="13.8" thickBot="1" x14ac:dyDescent="0.3">
      <c r="A63" s="245" t="s">
        <v>152</v>
      </c>
      <c r="B63" s="228">
        <f t="shared" si="26"/>
        <v>8.3000000000000004E-2</v>
      </c>
      <c r="C63" s="284">
        <f t="shared" si="27"/>
        <v>37.405696675056852</v>
      </c>
      <c r="D63" s="284">
        <f t="shared" si="28"/>
        <v>37.925696675056848</v>
      </c>
      <c r="E63" s="285">
        <f t="shared" si="29"/>
        <v>0.51999999999999602</v>
      </c>
      <c r="F63" s="418">
        <f t="shared" si="30"/>
        <v>1.3711020379013686E-2</v>
      </c>
      <c r="G63" s="286">
        <f t="shared" si="31"/>
        <v>-0.11908760478543791</v>
      </c>
      <c r="H63" s="285">
        <f t="shared" si="32"/>
        <v>1.2847842798422828</v>
      </c>
      <c r="I63" s="285">
        <f t="shared" si="33"/>
        <v>38.571393350113702</v>
      </c>
      <c r="J63" s="285">
        <f t="shared" si="34"/>
        <v>39.091393350113698</v>
      </c>
      <c r="K63" s="418">
        <f t="shared" si="35"/>
        <v>1.3481493792042727E-2</v>
      </c>
      <c r="N63" s="89">
        <v>427</v>
      </c>
      <c r="O63" s="246" t="s">
        <v>152</v>
      </c>
      <c r="P63" s="241">
        <f>+INPUT!Z35</f>
        <v>36.24</v>
      </c>
      <c r="Q63" s="242">
        <f>+INPUT!AA35</f>
        <v>36.76</v>
      </c>
      <c r="R63" s="243">
        <f>+INPUT!AB35</f>
        <v>8.3000000000000004E-2</v>
      </c>
      <c r="S63" s="238">
        <f>($R63*INPUT!$O$55)*INPUT!$G$58</f>
        <v>-0.11908760478543791</v>
      </c>
      <c r="T63" s="238">
        <f>($R63*INPUT!$O$55)*INPUT!$I$58</f>
        <v>1.2847842798422828</v>
      </c>
      <c r="U63" s="239">
        <f t="shared" si="40"/>
        <v>37.405696675056852</v>
      </c>
      <c r="V63" s="239">
        <f t="shared" si="41"/>
        <v>37.925696675056848</v>
      </c>
    </row>
    <row r="64" spans="1:22" ht="13.8" thickBot="1" x14ac:dyDescent="0.3">
      <c r="A64" s="245" t="s">
        <v>153</v>
      </c>
      <c r="B64" s="228">
        <f t="shared" si="26"/>
        <v>0.11700000000000001</v>
      </c>
      <c r="C64" s="284">
        <f t="shared" si="27"/>
        <v>38.793210975682541</v>
      </c>
      <c r="D64" s="284">
        <f t="shared" si="28"/>
        <v>38.793210975682541</v>
      </c>
      <c r="E64" s="285">
        <f t="shared" si="29"/>
        <v>0</v>
      </c>
      <c r="F64" s="418">
        <f t="shared" si="30"/>
        <v>0</v>
      </c>
      <c r="G64" s="286">
        <f t="shared" si="31"/>
        <v>-0.16787047903489441</v>
      </c>
      <c r="H64" s="285">
        <f t="shared" si="32"/>
        <v>1.8110814547174352</v>
      </c>
      <c r="I64" s="285">
        <f t="shared" si="33"/>
        <v>40.436421951365084</v>
      </c>
      <c r="J64" s="285">
        <f t="shared" si="34"/>
        <v>40.436421951365084</v>
      </c>
      <c r="K64" s="418">
        <f t="shared" si="35"/>
        <v>0</v>
      </c>
      <c r="N64" s="89">
        <v>429</v>
      </c>
      <c r="O64" s="246" t="s">
        <v>153</v>
      </c>
      <c r="P64" s="241">
        <f>+INPUT!Z36</f>
        <v>37.15</v>
      </c>
      <c r="Q64" s="242">
        <f>+INPUT!AA36</f>
        <v>37.15</v>
      </c>
      <c r="R64" s="243">
        <f>+INPUT!AB36</f>
        <v>0.11700000000000001</v>
      </c>
      <c r="S64" s="238">
        <f>($R64*INPUT!$O$55)*INPUT!$G$58</f>
        <v>-0.16787047903489441</v>
      </c>
      <c r="T64" s="238">
        <f>($R64*INPUT!$O$55)*INPUT!$I$58</f>
        <v>1.8110814547174352</v>
      </c>
      <c r="U64" s="239">
        <f t="shared" ref="U64" si="42">+P64+S64+T64</f>
        <v>38.793210975682541</v>
      </c>
      <c r="V64" s="239">
        <f t="shared" ref="V64" si="43">+Q64+S64+T64</f>
        <v>38.793210975682541</v>
      </c>
    </row>
    <row r="65" spans="1:22" ht="13.8" thickBot="1" x14ac:dyDescent="0.3">
      <c r="A65" s="245" t="s">
        <v>154</v>
      </c>
      <c r="B65" s="228">
        <f t="shared" si="26"/>
        <v>8.3000000000000004E-2</v>
      </c>
      <c r="C65" s="284">
        <f t="shared" si="27"/>
        <v>35.135696675056849</v>
      </c>
      <c r="D65" s="284">
        <f t="shared" si="28"/>
        <v>37.565696675056849</v>
      </c>
      <c r="E65" s="285">
        <f t="shared" si="29"/>
        <v>2.4299999999999997</v>
      </c>
      <c r="F65" s="418">
        <f t="shared" si="30"/>
        <v>6.4686674681411913E-2</v>
      </c>
      <c r="G65" s="285">
        <f t="shared" si="31"/>
        <v>-0.11908760478543791</v>
      </c>
      <c r="H65" s="285">
        <f t="shared" si="32"/>
        <v>1.2847842798422828</v>
      </c>
      <c r="I65" s="285">
        <f t="shared" si="33"/>
        <v>36.301393350113699</v>
      </c>
      <c r="J65" s="285">
        <f t="shared" si="34"/>
        <v>38.731393350113699</v>
      </c>
      <c r="K65" s="418">
        <f t="shared" si="35"/>
        <v>6.6939579331391941E-2</v>
      </c>
      <c r="N65" s="89">
        <v>431</v>
      </c>
      <c r="O65" s="246" t="s">
        <v>154</v>
      </c>
      <c r="P65" s="241">
        <f>+INPUT!Z37</f>
        <v>33.97</v>
      </c>
      <c r="Q65" s="242">
        <f>+INPUT!AA37</f>
        <v>36.4</v>
      </c>
      <c r="R65" s="243">
        <f>+INPUT!AB37</f>
        <v>8.3000000000000004E-2</v>
      </c>
      <c r="S65" s="238">
        <f>($R65*INPUT!$O$55)*INPUT!$G$58</f>
        <v>-0.11908760478543791</v>
      </c>
      <c r="T65" s="238">
        <f>($R65*INPUT!$O$55)*INPUT!$I$58</f>
        <v>1.2847842798422828</v>
      </c>
      <c r="U65" s="239">
        <f t="shared" ref="U65:U77" si="44">+P65+S65+T65</f>
        <v>35.135696675056849</v>
      </c>
      <c r="V65" s="239">
        <f t="shared" ref="V65:V77" si="45">+Q65+S65+T65</f>
        <v>37.565696675056849</v>
      </c>
    </row>
    <row r="66" spans="1:22" ht="13.8" thickBot="1" x14ac:dyDescent="0.3">
      <c r="A66" s="245" t="s">
        <v>155</v>
      </c>
      <c r="B66" s="228">
        <f t="shared" si="26"/>
        <v>0.11700000000000001</v>
      </c>
      <c r="C66" s="284">
        <f t="shared" si="27"/>
        <v>37.713210975682543</v>
      </c>
      <c r="D66" s="284">
        <f t="shared" si="28"/>
        <v>38.363210975682541</v>
      </c>
      <c r="E66" s="285">
        <f t="shared" si="29"/>
        <v>0.64999999999999858</v>
      </c>
      <c r="F66" s="418">
        <f t="shared" si="30"/>
        <v>1.6943315834850658E-2</v>
      </c>
      <c r="G66" s="285">
        <f t="shared" si="31"/>
        <v>-0.16787047903489441</v>
      </c>
      <c r="H66" s="285">
        <f t="shared" si="32"/>
        <v>1.8110814547174352</v>
      </c>
      <c r="I66" s="285">
        <f t="shared" si="33"/>
        <v>39.356421951365085</v>
      </c>
      <c r="J66" s="285">
        <f t="shared" si="34"/>
        <v>40.006421951365084</v>
      </c>
      <c r="K66" s="418">
        <f t="shared" si="35"/>
        <v>1.6515729016302338E-2</v>
      </c>
      <c r="N66" s="89">
        <v>433</v>
      </c>
      <c r="O66" s="246" t="s">
        <v>155</v>
      </c>
      <c r="P66" s="241">
        <f>+INPUT!Z38</f>
        <v>36.07</v>
      </c>
      <c r="Q66" s="242">
        <f>+INPUT!AA38</f>
        <v>36.72</v>
      </c>
      <c r="R66" s="243">
        <f>+INPUT!AB38</f>
        <v>0.11700000000000001</v>
      </c>
      <c r="S66" s="238">
        <f>($R66*INPUT!$O$55)*INPUT!$G$58</f>
        <v>-0.16787047903489441</v>
      </c>
      <c r="T66" s="238">
        <f>($R66*INPUT!$O$55)*INPUT!$I$58</f>
        <v>1.8110814547174352</v>
      </c>
      <c r="U66" s="239">
        <f t="shared" si="44"/>
        <v>37.713210975682543</v>
      </c>
      <c r="V66" s="239">
        <f t="shared" si="45"/>
        <v>38.363210975682541</v>
      </c>
    </row>
    <row r="67" spans="1:22" ht="13.8" thickBot="1" x14ac:dyDescent="0.3">
      <c r="A67" s="245" t="s">
        <v>156</v>
      </c>
      <c r="B67" s="228">
        <f t="shared" si="26"/>
        <v>0.06</v>
      </c>
      <c r="C67" s="284">
        <f t="shared" si="27"/>
        <v>26.172672295221812</v>
      </c>
      <c r="D67" s="284">
        <f t="shared" si="28"/>
        <v>26.172672295221812</v>
      </c>
      <c r="E67" s="285">
        <f t="shared" si="29"/>
        <v>0</v>
      </c>
      <c r="F67" s="418">
        <f t="shared" si="30"/>
        <v>0</v>
      </c>
      <c r="G67" s="285">
        <f t="shared" si="31"/>
        <v>-8.6087425146099683E-2</v>
      </c>
      <c r="H67" s="285">
        <f t="shared" si="32"/>
        <v>0.92875972036791532</v>
      </c>
      <c r="I67" s="285">
        <f t="shared" si="33"/>
        <v>27.015344590443625</v>
      </c>
      <c r="J67" s="285">
        <f t="shared" si="34"/>
        <v>27.015344590443625</v>
      </c>
      <c r="K67" s="418">
        <f t="shared" si="35"/>
        <v>0</v>
      </c>
      <c r="N67" s="89">
        <v>400</v>
      </c>
      <c r="O67" s="246" t="s">
        <v>156</v>
      </c>
      <c r="P67" s="241">
        <f>+INPUT!Z39</f>
        <v>25.33</v>
      </c>
      <c r="Q67" s="242">
        <f>+INPUT!AA39</f>
        <v>25.33</v>
      </c>
      <c r="R67" s="243">
        <f>+INPUT!AB39</f>
        <v>0.06</v>
      </c>
      <c r="S67" s="238">
        <f>($R67*INPUT!$O$55)*INPUT!$G$58</f>
        <v>-8.6087425146099683E-2</v>
      </c>
      <c r="T67" s="238">
        <f>($R67*INPUT!$O$55)*INPUT!$I$58</f>
        <v>0.92875972036791532</v>
      </c>
      <c r="U67" s="239">
        <f t="shared" si="44"/>
        <v>26.172672295221812</v>
      </c>
      <c r="V67" s="239">
        <f t="shared" si="45"/>
        <v>26.172672295221812</v>
      </c>
    </row>
    <row r="68" spans="1:22" ht="13.8" thickBot="1" x14ac:dyDescent="0.3">
      <c r="A68" s="245" t="s">
        <v>157</v>
      </c>
      <c r="B68" s="228">
        <f t="shared" si="26"/>
        <v>0.11700000000000001</v>
      </c>
      <c r="C68" s="284">
        <f t="shared" si="27"/>
        <v>27.623210975682539</v>
      </c>
      <c r="D68" s="284">
        <f t="shared" si="28"/>
        <v>27.623210975682539</v>
      </c>
      <c r="E68" s="285">
        <f t="shared" si="29"/>
        <v>0</v>
      </c>
      <c r="F68" s="418">
        <f t="shared" si="30"/>
        <v>0</v>
      </c>
      <c r="G68" s="285">
        <f t="shared" si="31"/>
        <v>-0.16787047903489441</v>
      </c>
      <c r="H68" s="285">
        <f t="shared" si="32"/>
        <v>1.8110814547174352</v>
      </c>
      <c r="I68" s="285">
        <f t="shared" si="33"/>
        <v>29.266421951365079</v>
      </c>
      <c r="J68" s="285">
        <f t="shared" si="34"/>
        <v>29.266421951365079</v>
      </c>
      <c r="K68" s="418">
        <f t="shared" si="35"/>
        <v>0</v>
      </c>
      <c r="N68" s="89">
        <v>401</v>
      </c>
      <c r="O68" s="246" t="s">
        <v>157</v>
      </c>
      <c r="P68" s="241">
        <f>+INPUT!Z40</f>
        <v>25.98</v>
      </c>
      <c r="Q68" s="242">
        <f>+INPUT!AA40</f>
        <v>25.98</v>
      </c>
      <c r="R68" s="243">
        <f>+INPUT!AB40</f>
        <v>0.11700000000000001</v>
      </c>
      <c r="S68" s="238">
        <f>($R68*INPUT!$O$55)*INPUT!$G$58</f>
        <v>-0.16787047903489441</v>
      </c>
      <c r="T68" s="238">
        <f>($R68*INPUT!$O$55)*INPUT!$I$58</f>
        <v>1.8110814547174352</v>
      </c>
      <c r="U68" s="239">
        <f t="shared" si="44"/>
        <v>27.623210975682539</v>
      </c>
      <c r="V68" s="239">
        <f t="shared" si="45"/>
        <v>27.623210975682539</v>
      </c>
    </row>
    <row r="69" spans="1:22" ht="13.8" thickBot="1" x14ac:dyDescent="0.3">
      <c r="A69" s="245" t="s">
        <v>158</v>
      </c>
      <c r="B69" s="228">
        <f t="shared" si="26"/>
        <v>0.18099999999999999</v>
      </c>
      <c r="C69" s="284">
        <f t="shared" si="27"/>
        <v>29.862061423919144</v>
      </c>
      <c r="D69" s="284">
        <f t="shared" si="28"/>
        <v>38.062061423919147</v>
      </c>
      <c r="E69" s="285">
        <f t="shared" si="29"/>
        <v>8.2000000000000028</v>
      </c>
      <c r="F69" s="418">
        <f t="shared" si="30"/>
        <v>0.21543762195830304</v>
      </c>
      <c r="G69" s="285">
        <f t="shared" si="31"/>
        <v>-0.25969706585740071</v>
      </c>
      <c r="H69" s="285">
        <f t="shared" si="32"/>
        <v>2.8017584897765446</v>
      </c>
      <c r="I69" s="285">
        <f t="shared" si="33"/>
        <v>32.404122847838288</v>
      </c>
      <c r="J69" s="285">
        <f t="shared" si="34"/>
        <v>40.604122847838291</v>
      </c>
      <c r="K69" s="418">
        <f t="shared" si="35"/>
        <v>0.25305421901111674</v>
      </c>
      <c r="N69" s="89">
        <v>423</v>
      </c>
      <c r="O69" s="246" t="s">
        <v>158</v>
      </c>
      <c r="P69" s="241">
        <f>+INPUT!Z41</f>
        <v>27.32</v>
      </c>
      <c r="Q69" s="242">
        <f>+INPUT!AA41</f>
        <v>35.520000000000003</v>
      </c>
      <c r="R69" s="243">
        <f>+INPUT!AB41</f>
        <v>0.18099999999999999</v>
      </c>
      <c r="S69" s="238">
        <f>($R69*INPUT!$O$55)*INPUT!$G$58</f>
        <v>-0.25969706585740071</v>
      </c>
      <c r="T69" s="238">
        <f>($R69*INPUT!$O$55)*INPUT!$I$58</f>
        <v>2.8017584897765446</v>
      </c>
      <c r="U69" s="239">
        <f t="shared" si="44"/>
        <v>29.862061423919144</v>
      </c>
      <c r="V69" s="239">
        <f t="shared" si="45"/>
        <v>38.062061423919147</v>
      </c>
    </row>
    <row r="70" spans="1:22" ht="13.8" thickBot="1" x14ac:dyDescent="0.3">
      <c r="A70" s="245" t="s">
        <v>159</v>
      </c>
      <c r="B70" s="228">
        <f t="shared" si="26"/>
        <v>0.29399999999999998</v>
      </c>
      <c r="C70" s="284">
        <f t="shared" si="27"/>
        <v>33.679094246586899</v>
      </c>
      <c r="D70" s="284">
        <f t="shared" si="28"/>
        <v>42.549094246586897</v>
      </c>
      <c r="E70" s="285">
        <f t="shared" si="29"/>
        <v>8.8699999999999974</v>
      </c>
      <c r="F70" s="418">
        <f t="shared" si="30"/>
        <v>0.20846507210224599</v>
      </c>
      <c r="G70" s="285">
        <f t="shared" si="31"/>
        <v>-0.42182838321588845</v>
      </c>
      <c r="H70" s="285">
        <f t="shared" si="32"/>
        <v>4.5509226298027849</v>
      </c>
      <c r="I70" s="285">
        <f t="shared" si="33"/>
        <v>37.808188493173795</v>
      </c>
      <c r="J70" s="285">
        <f t="shared" si="34"/>
        <v>46.678188493173792</v>
      </c>
      <c r="K70" s="418">
        <f t="shared" si="35"/>
        <v>0.23460526286789596</v>
      </c>
      <c r="N70" s="89">
        <v>424</v>
      </c>
      <c r="O70" s="246" t="s">
        <v>159</v>
      </c>
      <c r="P70" s="241">
        <f>+INPUT!Z42</f>
        <v>29.55</v>
      </c>
      <c r="Q70" s="242">
        <f>+INPUT!AA42</f>
        <v>38.42</v>
      </c>
      <c r="R70" s="243">
        <f>+INPUT!AB42</f>
        <v>0.29399999999999998</v>
      </c>
      <c r="S70" s="238">
        <f>($R70*INPUT!$O$55)*INPUT!$G$58</f>
        <v>-0.42182838321588845</v>
      </c>
      <c r="T70" s="238">
        <f>($R70*INPUT!$O$55)*INPUT!$I$58</f>
        <v>4.5509226298027849</v>
      </c>
      <c r="U70" s="239">
        <f t="shared" si="44"/>
        <v>33.679094246586899</v>
      </c>
      <c r="V70" s="239">
        <f t="shared" si="45"/>
        <v>42.549094246586897</v>
      </c>
    </row>
    <row r="71" spans="1:22" ht="13.8" thickBot="1" x14ac:dyDescent="0.3">
      <c r="A71" s="245" t="s">
        <v>160</v>
      </c>
      <c r="B71" s="228">
        <f t="shared" si="26"/>
        <v>0.47099999999999997</v>
      </c>
      <c r="C71" s="284">
        <f t="shared" si="27"/>
        <v>41.884977517491258</v>
      </c>
      <c r="D71" s="284">
        <f t="shared" si="28"/>
        <v>52.464977517491256</v>
      </c>
      <c r="E71" s="285">
        <f t="shared" si="29"/>
        <v>10.579999999999998</v>
      </c>
      <c r="F71" s="418">
        <f t="shared" si="30"/>
        <v>0.20165833477147191</v>
      </c>
      <c r="G71" s="285">
        <f t="shared" si="31"/>
        <v>-0.67578628739688251</v>
      </c>
      <c r="H71" s="285">
        <f t="shared" si="32"/>
        <v>7.2907638048881358</v>
      </c>
      <c r="I71" s="285">
        <f t="shared" si="33"/>
        <v>48.499955034982513</v>
      </c>
      <c r="J71" s="285">
        <f t="shared" si="34"/>
        <v>59.079955034982511</v>
      </c>
      <c r="K71" s="418">
        <f t="shared" si="35"/>
        <v>0.21814453214170518</v>
      </c>
      <c r="N71" s="89">
        <v>425</v>
      </c>
      <c r="O71" s="246" t="s">
        <v>160</v>
      </c>
      <c r="P71" s="241">
        <f>+INPUT!Z43</f>
        <v>35.270000000000003</v>
      </c>
      <c r="Q71" s="242">
        <f>+INPUT!AA43</f>
        <v>45.85</v>
      </c>
      <c r="R71" s="243">
        <f>+INPUT!AB43</f>
        <v>0.47099999999999997</v>
      </c>
      <c r="S71" s="238">
        <f>($R71*INPUT!$O$55)*INPUT!$G$58</f>
        <v>-0.67578628739688251</v>
      </c>
      <c r="T71" s="238">
        <f>($R71*INPUT!$O$55)*INPUT!$I$58</f>
        <v>7.2907638048881358</v>
      </c>
      <c r="U71" s="239">
        <f t="shared" si="44"/>
        <v>41.884977517491258</v>
      </c>
      <c r="V71" s="239">
        <f t="shared" si="45"/>
        <v>52.464977517491256</v>
      </c>
    </row>
    <row r="72" spans="1:22" ht="13.8" thickBot="1" x14ac:dyDescent="0.3">
      <c r="A72" s="245" t="s">
        <v>161</v>
      </c>
      <c r="B72" s="228">
        <f t="shared" si="26"/>
        <v>0.18099999999999999</v>
      </c>
      <c r="C72" s="284">
        <f t="shared" si="27"/>
        <v>19.962061423919145</v>
      </c>
      <c r="D72" s="284">
        <f t="shared" si="28"/>
        <v>19.962061423919145</v>
      </c>
      <c r="E72" s="285">
        <f t="shared" si="29"/>
        <v>0</v>
      </c>
      <c r="F72" s="418">
        <f t="shared" si="30"/>
        <v>0</v>
      </c>
      <c r="G72" s="285">
        <f t="shared" si="31"/>
        <v>-0.25969706585740071</v>
      </c>
      <c r="H72" s="285">
        <f t="shared" si="32"/>
        <v>2.8017584897765446</v>
      </c>
      <c r="I72" s="285">
        <f t="shared" si="33"/>
        <v>22.504122847838289</v>
      </c>
      <c r="J72" s="285">
        <f t="shared" si="34"/>
        <v>22.504122847838289</v>
      </c>
      <c r="K72" s="418">
        <f t="shared" si="35"/>
        <v>0</v>
      </c>
      <c r="N72" s="89">
        <v>439</v>
      </c>
      <c r="O72" s="246" t="s">
        <v>161</v>
      </c>
      <c r="P72" s="241">
        <f>+INPUT!Z44</f>
        <v>17.420000000000002</v>
      </c>
      <c r="Q72" s="242">
        <f>+INPUT!AA44</f>
        <v>17.420000000000002</v>
      </c>
      <c r="R72" s="243">
        <f>+INPUT!AB44</f>
        <v>0.18099999999999999</v>
      </c>
      <c r="S72" s="238">
        <f>($R72*INPUT!$O$55)*INPUT!$G$58</f>
        <v>-0.25969706585740071</v>
      </c>
      <c r="T72" s="238">
        <f>($R72*INPUT!$O$55)*INPUT!$I$58</f>
        <v>2.8017584897765446</v>
      </c>
      <c r="U72" s="239">
        <f t="shared" si="44"/>
        <v>19.962061423919145</v>
      </c>
      <c r="V72" s="239">
        <f t="shared" si="45"/>
        <v>19.962061423919145</v>
      </c>
    </row>
    <row r="73" spans="1:22" ht="13.8" thickBot="1" x14ac:dyDescent="0.3">
      <c r="A73" s="245" t="s">
        <v>162</v>
      </c>
      <c r="B73" s="228">
        <f t="shared" si="26"/>
        <v>0.18099999999999999</v>
      </c>
      <c r="C73" s="284">
        <f t="shared" si="27"/>
        <v>33.402061423919143</v>
      </c>
      <c r="D73" s="284">
        <f t="shared" si="28"/>
        <v>40.112061423919144</v>
      </c>
      <c r="E73" s="285">
        <f t="shared" si="29"/>
        <v>6.7100000000000009</v>
      </c>
      <c r="F73" s="418">
        <f t="shared" si="30"/>
        <v>0.16728135532817004</v>
      </c>
      <c r="G73" s="285">
        <f t="shared" si="31"/>
        <v>-0.25969706585740071</v>
      </c>
      <c r="H73" s="285">
        <f t="shared" si="32"/>
        <v>2.8017584897765446</v>
      </c>
      <c r="I73" s="285">
        <f t="shared" si="33"/>
        <v>35.944122847838287</v>
      </c>
      <c r="J73" s="285">
        <f t="shared" si="34"/>
        <v>42.654122847838288</v>
      </c>
      <c r="K73" s="418">
        <f t="shared" si="35"/>
        <v>0.1866786408561239</v>
      </c>
      <c r="N73" s="89">
        <v>420</v>
      </c>
      <c r="O73" s="246" t="s">
        <v>162</v>
      </c>
      <c r="P73" s="241">
        <f>+INPUT!Z45</f>
        <v>30.86</v>
      </c>
      <c r="Q73" s="242">
        <f>+INPUT!AA45</f>
        <v>37.57</v>
      </c>
      <c r="R73" s="243">
        <f>+INPUT!AB45</f>
        <v>0.18099999999999999</v>
      </c>
      <c r="S73" s="238">
        <f>($R73*INPUT!$O$55)*INPUT!$G$58</f>
        <v>-0.25969706585740071</v>
      </c>
      <c r="T73" s="238">
        <f>($R73*INPUT!$O$55)*INPUT!$I$58</f>
        <v>2.8017584897765446</v>
      </c>
      <c r="U73" s="239">
        <f t="shared" si="44"/>
        <v>33.402061423919143</v>
      </c>
      <c r="V73" s="239">
        <f t="shared" si="45"/>
        <v>40.112061423919144</v>
      </c>
    </row>
    <row r="74" spans="1:22" ht="13.8" thickBot="1" x14ac:dyDescent="0.3">
      <c r="A74" s="245" t="s">
        <v>163</v>
      </c>
      <c r="B74" s="228">
        <f t="shared" si="26"/>
        <v>0.29399999999999998</v>
      </c>
      <c r="C74" s="284">
        <f t="shared" si="27"/>
        <v>23.499094246586896</v>
      </c>
      <c r="D74" s="284">
        <f t="shared" si="28"/>
        <v>23.499094246586896</v>
      </c>
      <c r="E74" s="285">
        <f t="shared" si="29"/>
        <v>0</v>
      </c>
      <c r="F74" s="418">
        <f t="shared" si="30"/>
        <v>0</v>
      </c>
      <c r="G74" s="286">
        <f t="shared" si="31"/>
        <v>-0.42182838321588845</v>
      </c>
      <c r="H74" s="285">
        <f t="shared" si="32"/>
        <v>4.5509226298027849</v>
      </c>
      <c r="I74" s="285">
        <f t="shared" si="33"/>
        <v>27.628188493173791</v>
      </c>
      <c r="J74" s="285">
        <f t="shared" si="34"/>
        <v>27.628188493173791</v>
      </c>
      <c r="K74" s="418">
        <f t="shared" si="35"/>
        <v>0</v>
      </c>
      <c r="N74" s="89">
        <v>440</v>
      </c>
      <c r="O74" s="246" t="s">
        <v>163</v>
      </c>
      <c r="P74" s="241">
        <f>+INPUT!Z46</f>
        <v>19.37</v>
      </c>
      <c r="Q74" s="242">
        <f>+INPUT!AA46</f>
        <v>19.37</v>
      </c>
      <c r="R74" s="243">
        <f>+INPUT!AB46</f>
        <v>0.29399999999999998</v>
      </c>
      <c r="S74" s="238">
        <f>($R74*INPUT!$O$55)*INPUT!$G$58</f>
        <v>-0.42182838321588845</v>
      </c>
      <c r="T74" s="238">
        <f>($R74*INPUT!$O$55)*INPUT!$I$58</f>
        <v>4.5509226298027849</v>
      </c>
      <c r="U74" s="239">
        <f t="shared" si="44"/>
        <v>23.499094246586896</v>
      </c>
      <c r="V74" s="239">
        <f t="shared" si="45"/>
        <v>23.499094246586896</v>
      </c>
    </row>
    <row r="75" spans="1:22" ht="13.8" thickBot="1" x14ac:dyDescent="0.3">
      <c r="A75" s="245" t="s">
        <v>164</v>
      </c>
      <c r="B75" s="228">
        <f t="shared" si="26"/>
        <v>0.29399999999999998</v>
      </c>
      <c r="C75" s="284">
        <f t="shared" si="27"/>
        <v>38.089094246586896</v>
      </c>
      <c r="D75" s="284">
        <f t="shared" si="28"/>
        <v>44.199094246586895</v>
      </c>
      <c r="E75" s="285">
        <f t="shared" si="29"/>
        <v>6.1099999999999994</v>
      </c>
      <c r="F75" s="418">
        <f t="shared" si="30"/>
        <v>0.1382381269152777</v>
      </c>
      <c r="G75" s="286">
        <f t="shared" si="31"/>
        <v>-0.42182838321588845</v>
      </c>
      <c r="H75" s="285">
        <f t="shared" si="32"/>
        <v>4.5509226298027849</v>
      </c>
      <c r="I75" s="285">
        <f t="shared" si="33"/>
        <v>42.218188493173791</v>
      </c>
      <c r="J75" s="285">
        <f t="shared" si="34"/>
        <v>48.328188493173791</v>
      </c>
      <c r="K75" s="418">
        <f t="shared" si="35"/>
        <v>0.14472435265638928</v>
      </c>
      <c r="N75" s="89">
        <v>421</v>
      </c>
      <c r="O75" s="246" t="s">
        <v>164</v>
      </c>
      <c r="P75" s="241">
        <f>+INPUT!Z47</f>
        <v>33.96</v>
      </c>
      <c r="Q75" s="242">
        <f>+INPUT!AA47</f>
        <v>40.07</v>
      </c>
      <c r="R75" s="243">
        <f>+INPUT!AB47</f>
        <v>0.29399999999999998</v>
      </c>
      <c r="S75" s="238">
        <f>($R75*INPUT!$O$55)*INPUT!$G$58</f>
        <v>-0.42182838321588845</v>
      </c>
      <c r="T75" s="238">
        <f>($R75*INPUT!$O$55)*INPUT!$I$58</f>
        <v>4.5509226298027849</v>
      </c>
      <c r="U75" s="239">
        <f t="shared" si="44"/>
        <v>38.089094246586896</v>
      </c>
      <c r="V75" s="239">
        <f t="shared" si="45"/>
        <v>44.199094246586895</v>
      </c>
    </row>
    <row r="76" spans="1:22" ht="13.8" thickBot="1" x14ac:dyDescent="0.3">
      <c r="A76" s="245" t="s">
        <v>165</v>
      </c>
      <c r="B76" s="228">
        <f t="shared" si="26"/>
        <v>0.47099999999999997</v>
      </c>
      <c r="C76" s="284">
        <f t="shared" si="27"/>
        <v>30.164977517491256</v>
      </c>
      <c r="D76" s="284">
        <f t="shared" si="28"/>
        <v>30.164977517491256</v>
      </c>
      <c r="E76" s="285">
        <f t="shared" si="29"/>
        <v>0</v>
      </c>
      <c r="F76" s="418">
        <f t="shared" si="30"/>
        <v>0</v>
      </c>
      <c r="G76" s="285">
        <f t="shared" si="31"/>
        <v>-0.67578628739688251</v>
      </c>
      <c r="H76" s="285">
        <f t="shared" si="32"/>
        <v>7.2907638048881358</v>
      </c>
      <c r="I76" s="285">
        <f t="shared" si="33"/>
        <v>36.779955034982507</v>
      </c>
      <c r="J76" s="285">
        <f t="shared" si="34"/>
        <v>36.779955034982507</v>
      </c>
      <c r="K76" s="418">
        <f t="shared" si="35"/>
        <v>0</v>
      </c>
      <c r="N76" s="89">
        <v>441</v>
      </c>
      <c r="O76" s="246" t="s">
        <v>165</v>
      </c>
      <c r="P76" s="241">
        <f>+INPUT!Z48</f>
        <v>23.55</v>
      </c>
      <c r="Q76" s="242">
        <f>+INPUT!AA48</f>
        <v>23.55</v>
      </c>
      <c r="R76" s="243">
        <f>+INPUT!AB48</f>
        <v>0.47099999999999997</v>
      </c>
      <c r="S76" s="238">
        <f>($R76*INPUT!$O$55)*INPUT!$G$58</f>
        <v>-0.67578628739688251</v>
      </c>
      <c r="T76" s="238">
        <f>($R76*INPUT!$O$55)*INPUT!$I$58</f>
        <v>7.2907638048881358</v>
      </c>
      <c r="U76" s="239">
        <f t="shared" si="44"/>
        <v>30.164977517491256</v>
      </c>
      <c r="V76" s="239">
        <f t="shared" si="45"/>
        <v>30.164977517491256</v>
      </c>
    </row>
    <row r="77" spans="1:22" ht="13.8" thickBot="1" x14ac:dyDescent="0.3">
      <c r="A77" s="245" t="s">
        <v>166</v>
      </c>
      <c r="B77" s="228">
        <f t="shared" si="26"/>
        <v>0.47099999999999997</v>
      </c>
      <c r="C77" s="284">
        <f t="shared" si="27"/>
        <v>46.244977517491257</v>
      </c>
      <c r="D77" s="284">
        <f t="shared" si="28"/>
        <v>49.734977517491252</v>
      </c>
      <c r="E77" s="285">
        <f t="shared" si="29"/>
        <v>3.4899999999999949</v>
      </c>
      <c r="F77" s="418">
        <f t="shared" si="30"/>
        <v>7.0171942849930904E-2</v>
      </c>
      <c r="G77" s="285">
        <f t="shared" si="31"/>
        <v>-0.67578628739688251</v>
      </c>
      <c r="H77" s="285">
        <f t="shared" si="32"/>
        <v>7.2907638048881358</v>
      </c>
      <c r="I77" s="285">
        <f t="shared" si="33"/>
        <v>52.859955034982512</v>
      </c>
      <c r="J77" s="285">
        <f t="shared" si="34"/>
        <v>56.349955034982507</v>
      </c>
      <c r="K77" s="418">
        <f t="shared" si="35"/>
        <v>6.6023514353924936E-2</v>
      </c>
      <c r="N77" s="89">
        <v>422</v>
      </c>
      <c r="O77" s="246" t="s">
        <v>166</v>
      </c>
      <c r="P77" s="241">
        <f>+INPUT!Z49</f>
        <v>39.630000000000003</v>
      </c>
      <c r="Q77" s="242">
        <f>+INPUT!AA49</f>
        <v>43.12</v>
      </c>
      <c r="R77" s="243">
        <f>+INPUT!AB49</f>
        <v>0.47099999999999997</v>
      </c>
      <c r="S77" s="238">
        <f>($R77*INPUT!$O$55)*INPUT!$G$58</f>
        <v>-0.67578628739688251</v>
      </c>
      <c r="T77" s="238">
        <f>($R77*INPUT!$O$55)*INPUT!$I$58</f>
        <v>7.2907638048881358</v>
      </c>
      <c r="U77" s="239">
        <f t="shared" si="44"/>
        <v>46.244977517491257</v>
      </c>
      <c r="V77" s="239">
        <f t="shared" si="45"/>
        <v>49.734977517491252</v>
      </c>
    </row>
    <row r="78" spans="1:22" ht="13.8" thickBot="1" x14ac:dyDescent="0.3">
      <c r="A78" s="245"/>
      <c r="B78" s="228"/>
      <c r="C78" s="284"/>
      <c r="D78" s="284"/>
      <c r="E78" s="285"/>
      <c r="F78" s="237"/>
      <c r="G78" s="285"/>
      <c r="H78" s="285"/>
      <c r="I78" s="285"/>
      <c r="J78" s="285"/>
      <c r="K78" s="237"/>
      <c r="O78" s="246"/>
      <c r="P78" s="241"/>
      <c r="Q78" s="242"/>
      <c r="R78" s="243"/>
      <c r="S78" s="238"/>
      <c r="T78" s="238"/>
      <c r="U78" s="239"/>
      <c r="V78" s="239"/>
    </row>
    <row r="79" spans="1:22" ht="13.8" thickBot="1" x14ac:dyDescent="0.3">
      <c r="A79" s="214" t="s">
        <v>336</v>
      </c>
      <c r="B79" s="228"/>
      <c r="C79" s="284"/>
      <c r="D79" s="284"/>
      <c r="E79" s="285"/>
      <c r="F79" s="237"/>
      <c r="G79" s="285"/>
      <c r="H79" s="285"/>
      <c r="I79" s="285"/>
      <c r="J79" s="285"/>
      <c r="K79" s="237"/>
      <c r="O79" s="246"/>
      <c r="P79" s="241"/>
      <c r="Q79" s="242"/>
      <c r="R79" s="243"/>
      <c r="S79" s="238"/>
      <c r="T79" s="238"/>
      <c r="U79" s="239"/>
      <c r="V79" s="239"/>
    </row>
    <row r="80" spans="1:22" ht="13.8" thickBot="1" x14ac:dyDescent="0.3">
      <c r="A80" s="210" t="s">
        <v>351</v>
      </c>
      <c r="B80" s="228"/>
      <c r="C80" s="284"/>
      <c r="D80" s="284"/>
      <c r="E80" s="285"/>
      <c r="F80" s="237"/>
      <c r="G80" s="285"/>
      <c r="H80" s="285"/>
      <c r="I80" s="285"/>
      <c r="J80" s="285"/>
      <c r="K80" s="237"/>
      <c r="O80" s="246"/>
      <c r="P80" s="241"/>
      <c r="Q80" s="242"/>
      <c r="R80" s="243"/>
      <c r="S80" s="238"/>
      <c r="T80" s="238"/>
      <c r="U80" s="239"/>
      <c r="V80" s="239"/>
    </row>
    <row r="81" spans="1:22" ht="13.8" thickBot="1" x14ac:dyDescent="0.3">
      <c r="A81" s="210" t="str">
        <f>+'Rate Case Constants'!$C$26</f>
        <v>Calculations may vary from other schedules due to rounding</v>
      </c>
      <c r="B81" s="228"/>
      <c r="C81" s="284"/>
      <c r="D81" s="284"/>
      <c r="E81" s="285"/>
      <c r="F81" s="237"/>
      <c r="G81" s="285"/>
      <c r="H81" s="285"/>
      <c r="I81" s="285"/>
      <c r="J81" s="285"/>
      <c r="K81" s="237"/>
      <c r="O81" s="246"/>
      <c r="P81" s="241"/>
      <c r="Q81" s="242"/>
      <c r="R81" s="243"/>
      <c r="S81" s="238"/>
      <c r="T81" s="238"/>
      <c r="U81" s="239"/>
      <c r="V81" s="239"/>
    </row>
    <row r="82" spans="1:22" ht="13.8" thickBot="1" x14ac:dyDescent="0.3">
      <c r="A82" s="210"/>
      <c r="B82" s="228"/>
      <c r="C82" s="284"/>
      <c r="D82" s="284"/>
      <c r="E82" s="285"/>
      <c r="F82" s="237"/>
      <c r="G82" s="285"/>
      <c r="H82" s="285"/>
      <c r="I82" s="285"/>
      <c r="J82" s="285"/>
      <c r="K82" s="237"/>
      <c r="O82" s="246"/>
      <c r="P82" s="241"/>
      <c r="Q82" s="242"/>
      <c r="R82" s="243"/>
      <c r="S82" s="238"/>
      <c r="T82" s="238"/>
      <c r="U82" s="239"/>
      <c r="V82" s="239"/>
    </row>
    <row r="83" spans="1:22" ht="13.8" thickBot="1" x14ac:dyDescent="0.3">
      <c r="A83" s="453" t="str">
        <f>+A1</f>
        <v>LOUISVILLE GAS AND ELECTRIC COMPANY</v>
      </c>
      <c r="B83" s="453"/>
      <c r="C83" s="453"/>
      <c r="D83" s="453"/>
      <c r="E83" s="453"/>
      <c r="F83" s="453"/>
      <c r="G83" s="453"/>
      <c r="H83" s="453"/>
      <c r="I83" s="453"/>
      <c r="J83" s="453"/>
      <c r="K83" s="453"/>
      <c r="N83" s="89" t="s">
        <v>145</v>
      </c>
      <c r="O83" s="255"/>
      <c r="P83" s="241"/>
      <c r="Q83" s="242"/>
      <c r="R83" s="243"/>
      <c r="S83" s="238"/>
      <c r="T83" s="238"/>
      <c r="U83" s="239"/>
      <c r="V83" s="239"/>
    </row>
    <row r="84" spans="1:22" ht="13.8" thickBot="1" x14ac:dyDescent="0.3">
      <c r="A84" s="453" t="str">
        <f>+A2</f>
        <v>CASE NO. 2016-00371</v>
      </c>
      <c r="B84" s="453"/>
      <c r="C84" s="453"/>
      <c r="D84" s="453"/>
      <c r="E84" s="453"/>
      <c r="F84" s="453"/>
      <c r="G84" s="453"/>
      <c r="H84" s="453"/>
      <c r="I84" s="453"/>
      <c r="J84" s="453"/>
      <c r="K84" s="453"/>
      <c r="O84" s="307"/>
      <c r="P84" s="241"/>
      <c r="Q84" s="242"/>
      <c r="R84" s="243"/>
      <c r="S84" s="238"/>
      <c r="T84" s="238"/>
      <c r="U84" s="239"/>
      <c r="V84" s="239"/>
    </row>
    <row r="85" spans="1:22" ht="13.8" thickBot="1" x14ac:dyDescent="0.3">
      <c r="A85" s="454" t="str">
        <f>+A3</f>
        <v>Typical Electric Bill Comparison under Present &amp; Proposed Rates</v>
      </c>
      <c r="B85" s="454"/>
      <c r="C85" s="454"/>
      <c r="D85" s="454"/>
      <c r="E85" s="454"/>
      <c r="F85" s="454"/>
      <c r="G85" s="454"/>
      <c r="H85" s="454"/>
      <c r="I85" s="454"/>
      <c r="J85" s="454"/>
      <c r="K85" s="454"/>
      <c r="O85" s="307"/>
      <c r="P85" s="241"/>
      <c r="Q85" s="242"/>
      <c r="R85" s="243"/>
      <c r="S85" s="238"/>
      <c r="T85" s="238"/>
      <c r="U85" s="239"/>
      <c r="V85" s="239"/>
    </row>
    <row r="86" spans="1:22" ht="13.8" thickBot="1" x14ac:dyDescent="0.3">
      <c r="A86" s="453" t="str">
        <f>+A4</f>
        <v>FORECAST PERIOD FOR THE 12 MONTHS ENDED JUNE 30, 2018</v>
      </c>
      <c r="B86" s="453"/>
      <c r="C86" s="453"/>
      <c r="D86" s="453"/>
      <c r="E86" s="453"/>
      <c r="F86" s="453"/>
      <c r="G86" s="453"/>
      <c r="H86" s="453"/>
      <c r="I86" s="453"/>
      <c r="J86" s="453"/>
      <c r="K86" s="453"/>
      <c r="O86" s="307"/>
      <c r="P86" s="241"/>
      <c r="Q86" s="242"/>
      <c r="R86" s="243"/>
      <c r="S86" s="238"/>
      <c r="T86" s="238"/>
      <c r="U86" s="239"/>
      <c r="V86" s="239"/>
    </row>
    <row r="87" spans="1:22" ht="13.8" thickBot="1" x14ac:dyDescent="0.3">
      <c r="A87" s="392"/>
      <c r="B87" s="392"/>
      <c r="C87" s="393"/>
      <c r="D87" s="394"/>
      <c r="E87" s="394"/>
      <c r="F87" s="395"/>
      <c r="G87" s="394"/>
      <c r="H87" s="394"/>
      <c r="I87" s="394"/>
      <c r="J87" s="394"/>
      <c r="K87" s="396"/>
      <c r="O87" s="307"/>
      <c r="P87" s="241"/>
      <c r="Q87" s="242"/>
      <c r="R87" s="243"/>
      <c r="S87" s="238"/>
      <c r="T87" s="238"/>
      <c r="U87" s="239"/>
      <c r="V87" s="239"/>
    </row>
    <row r="88" spans="1:22" ht="13.8" thickBot="1" x14ac:dyDescent="0.3">
      <c r="A88" s="397" t="str">
        <f>+A44</f>
        <v>DATA: ____BASE PERIOD__X___FORECASTED PERIOD</v>
      </c>
      <c r="B88" s="392"/>
      <c r="C88" s="393"/>
      <c r="D88" s="394"/>
      <c r="E88" s="394"/>
      <c r="F88" s="395"/>
      <c r="G88" s="394"/>
      <c r="H88" s="394"/>
      <c r="I88" s="394"/>
      <c r="J88" s="394"/>
      <c r="K88" s="398" t="str">
        <f>+K44</f>
        <v>SCHEDULE N (Electric)</v>
      </c>
      <c r="O88" s="307"/>
      <c r="P88" s="241"/>
      <c r="Q88" s="242"/>
      <c r="R88" s="243"/>
      <c r="S88" s="238"/>
      <c r="T88" s="238"/>
      <c r="U88" s="239"/>
      <c r="V88" s="239"/>
    </row>
    <row r="89" spans="1:22" ht="13.8" thickBot="1" x14ac:dyDescent="0.3">
      <c r="A89" s="397" t="str">
        <f>+A45</f>
        <v>TYPE OF FILING: __X__ ORIGINAL  _____ UPDATED  _____ REVISED</v>
      </c>
      <c r="B89" s="392"/>
      <c r="C89" s="393"/>
      <c r="D89" s="394"/>
      <c r="E89" s="394"/>
      <c r="F89" s="395"/>
      <c r="G89" s="394"/>
      <c r="H89" s="394"/>
      <c r="I89" s="394"/>
      <c r="J89" s="394"/>
      <c r="K89" s="398" t="str">
        <f>+'Rate Case Constants'!L22</f>
        <v>PAGE 15 of 21</v>
      </c>
      <c r="O89" s="307"/>
      <c r="P89" s="241"/>
      <c r="Q89" s="242"/>
      <c r="R89" s="243"/>
      <c r="S89" s="238"/>
      <c r="T89" s="238"/>
      <c r="U89" s="239"/>
      <c r="V89" s="239"/>
    </row>
    <row r="90" spans="1:22" ht="13.8" thickBot="1" x14ac:dyDescent="0.3">
      <c r="A90" s="397" t="str">
        <f>+A46</f>
        <v>WORKPAPER REFERENCE NO(S):________</v>
      </c>
      <c r="B90" s="392"/>
      <c r="C90" s="393"/>
      <c r="D90" s="394"/>
      <c r="E90" s="394"/>
      <c r="F90" s="395"/>
      <c r="G90" s="394"/>
      <c r="H90" s="394"/>
      <c r="I90" s="394"/>
      <c r="J90" s="394"/>
      <c r="K90" s="398" t="str">
        <f>+K46</f>
        <v>WITNESS:   C. M. GARRETT</v>
      </c>
      <c r="O90" s="307"/>
      <c r="P90" s="241"/>
      <c r="Q90" s="242"/>
      <c r="R90" s="243"/>
      <c r="S90" s="238"/>
      <c r="T90" s="238"/>
      <c r="U90" s="239"/>
      <c r="V90" s="239"/>
    </row>
    <row r="91" spans="1:22" ht="13.8" thickBot="1" x14ac:dyDescent="0.3">
      <c r="A91" s="229"/>
      <c r="B91" s="229"/>
      <c r="C91" s="372"/>
      <c r="D91" s="395"/>
      <c r="E91" s="395"/>
      <c r="F91" s="395"/>
      <c r="G91" s="396"/>
      <c r="H91" s="399"/>
      <c r="I91" s="399"/>
      <c r="J91" s="399"/>
      <c r="K91" s="398"/>
      <c r="O91" s="307"/>
      <c r="P91" s="241"/>
      <c r="Q91" s="242"/>
      <c r="R91" s="243"/>
      <c r="S91" s="238"/>
      <c r="T91" s="238"/>
      <c r="U91" s="239"/>
      <c r="V91" s="239"/>
    </row>
    <row r="92" spans="1:22" ht="13.8" thickBot="1" x14ac:dyDescent="0.3">
      <c r="A92" s="86" t="s">
        <v>361</v>
      </c>
      <c r="B92" s="3" t="s">
        <v>326</v>
      </c>
      <c r="C92" s="26" t="s">
        <v>327</v>
      </c>
      <c r="D92" s="26" t="s">
        <v>328</v>
      </c>
      <c r="E92" s="3" t="s">
        <v>329</v>
      </c>
      <c r="F92" s="3" t="s">
        <v>330</v>
      </c>
      <c r="G92" s="26" t="s">
        <v>331</v>
      </c>
      <c r="H92" s="3" t="s">
        <v>332</v>
      </c>
      <c r="I92" s="3" t="s">
        <v>333</v>
      </c>
      <c r="J92" s="3" t="s">
        <v>334</v>
      </c>
      <c r="K92" s="3" t="s">
        <v>335</v>
      </c>
      <c r="O92" s="307"/>
      <c r="P92" s="241"/>
      <c r="Q92" s="242"/>
      <c r="R92" s="243"/>
      <c r="S92" s="238"/>
      <c r="T92" s="238"/>
      <c r="U92" s="239"/>
      <c r="V92" s="239"/>
    </row>
    <row r="93" spans="1:22" ht="13.8" thickBot="1" x14ac:dyDescent="0.3">
      <c r="A93" s="245"/>
      <c r="B93" s="42"/>
      <c r="C93" s="313" t="s">
        <v>366</v>
      </c>
      <c r="D93" s="313" t="s">
        <v>366</v>
      </c>
      <c r="E93"/>
      <c r="F93"/>
      <c r="G93" s="30"/>
      <c r="H93" s="30"/>
      <c r="I93" s="3" t="s">
        <v>5</v>
      </c>
      <c r="J93" s="3" t="s">
        <v>5</v>
      </c>
      <c r="K93"/>
      <c r="O93" s="307"/>
      <c r="P93" s="241"/>
      <c r="Q93" s="242"/>
      <c r="R93" s="243"/>
      <c r="S93" s="238"/>
      <c r="T93" s="238"/>
      <c r="U93" s="239"/>
      <c r="V93" s="239"/>
    </row>
    <row r="94" spans="1:22" ht="13.8" thickBot="1" x14ac:dyDescent="0.3">
      <c r="A94" s="245"/>
      <c r="B94" s="3" t="s">
        <v>350</v>
      </c>
      <c r="C94" s="3" t="s">
        <v>1</v>
      </c>
      <c r="D94" s="3" t="s">
        <v>74</v>
      </c>
      <c r="E94" s="3"/>
      <c r="F94" s="3"/>
      <c r="G94" s="451" t="s">
        <v>130</v>
      </c>
      <c r="H94" s="451"/>
      <c r="I94" s="3" t="s">
        <v>1</v>
      </c>
      <c r="J94" s="3" t="s">
        <v>74</v>
      </c>
      <c r="K94" s="3"/>
      <c r="O94" s="307"/>
      <c r="P94" s="241"/>
      <c r="Q94" s="242"/>
      <c r="R94" s="243"/>
      <c r="S94" s="238"/>
      <c r="T94" s="238"/>
      <c r="U94" s="239"/>
      <c r="V94" s="239"/>
    </row>
    <row r="95" spans="1:22" ht="13.8" thickBot="1" x14ac:dyDescent="0.3">
      <c r="A95" s="245"/>
      <c r="B95" s="3" t="s">
        <v>20</v>
      </c>
      <c r="C95" s="3" t="s">
        <v>4</v>
      </c>
      <c r="D95" s="3" t="s">
        <v>4</v>
      </c>
      <c r="E95" s="3" t="s">
        <v>75</v>
      </c>
      <c r="F95" s="3" t="s">
        <v>75</v>
      </c>
      <c r="G95" s="202" t="s">
        <v>421</v>
      </c>
      <c r="H95" s="52" t="s">
        <v>72</v>
      </c>
      <c r="I95" s="3" t="s">
        <v>4</v>
      </c>
      <c r="J95" s="3" t="s">
        <v>4</v>
      </c>
      <c r="K95" s="3" t="s">
        <v>75</v>
      </c>
      <c r="O95" s="307"/>
      <c r="P95" s="241"/>
      <c r="Q95" s="242"/>
      <c r="R95" s="243"/>
      <c r="S95" s="238"/>
      <c r="T95" s="238"/>
      <c r="U95" s="239"/>
      <c r="V95" s="239"/>
    </row>
    <row r="96" spans="1:22" ht="13.8" thickBot="1" x14ac:dyDescent="0.3">
      <c r="A96" s="245"/>
      <c r="B96" s="42"/>
      <c r="C96" s="3"/>
      <c r="D96" s="3"/>
      <c r="E96" s="3" t="s">
        <v>69</v>
      </c>
      <c r="F96" s="26" t="s">
        <v>70</v>
      </c>
      <c r="G96" s="51"/>
      <c r="H96" s="53"/>
      <c r="I96" s="3" t="s">
        <v>69</v>
      </c>
      <c r="J96" s="3" t="s">
        <v>69</v>
      </c>
      <c r="K96" s="26" t="s">
        <v>70</v>
      </c>
      <c r="O96" s="307"/>
      <c r="P96" s="241"/>
      <c r="Q96" s="242"/>
      <c r="R96" s="243"/>
      <c r="S96" s="238"/>
      <c r="T96" s="238"/>
      <c r="U96" s="239"/>
      <c r="V96" s="239"/>
    </row>
    <row r="97" spans="1:22" ht="13.8" thickBot="1" x14ac:dyDescent="0.3">
      <c r="A97" s="258"/>
      <c r="B97" s="338"/>
      <c r="C97" s="370"/>
      <c r="D97" s="370"/>
      <c r="E97" s="370" t="str">
        <f>("[ "&amp;D92&amp;" - "&amp;C92&amp;" ]")</f>
        <v>[ C - B ]</v>
      </c>
      <c r="F97" s="370" t="str">
        <f>("[ "&amp;E92&amp;" / "&amp;C92&amp;" ]")</f>
        <v>[ D / B ]</v>
      </c>
      <c r="G97" s="353"/>
      <c r="H97" s="353"/>
      <c r="I97" s="370" t="str">
        <f>("["&amp;C92&amp;"+"&amp;$G$10&amp;"+"&amp;$H$10&amp;"]")</f>
        <v>[B+F+G]</v>
      </c>
      <c r="J97" s="370" t="str">
        <f>("["&amp;D92&amp;"+"&amp;$G$10&amp;"+"&amp;$H$10&amp;"]")</f>
        <v>[C+F+G]</v>
      </c>
      <c r="K97" s="370" t="str">
        <f>("[("&amp;J92&amp;" - "&amp;I92&amp;")"&amp;I92&amp;"]")</f>
        <v>[(I - H)H]</v>
      </c>
      <c r="O97" s="307"/>
      <c r="P97" s="241"/>
      <c r="Q97" s="242"/>
      <c r="R97" s="243"/>
      <c r="S97" s="238"/>
      <c r="T97" s="238"/>
      <c r="U97" s="239"/>
      <c r="V97" s="239"/>
    </row>
    <row r="98" spans="1:22" ht="13.8" thickBot="1" x14ac:dyDescent="0.3">
      <c r="A98" s="248" t="s">
        <v>99</v>
      </c>
      <c r="B98" s="248"/>
      <c r="C98" s="284"/>
      <c r="D98" s="285"/>
      <c r="E98" s="285"/>
      <c r="F98" s="236"/>
      <c r="G98" s="285"/>
      <c r="H98" s="285"/>
      <c r="I98" s="285"/>
      <c r="J98" s="285"/>
      <c r="K98" s="237"/>
      <c r="O98" s="249" t="s">
        <v>99</v>
      </c>
      <c r="P98" s="241"/>
      <c r="Q98" s="242"/>
      <c r="R98" s="243"/>
      <c r="S98" s="238"/>
      <c r="T98" s="238"/>
      <c r="U98" s="239"/>
      <c r="V98" s="239"/>
    </row>
    <row r="99" spans="1:22" ht="13.8" thickBot="1" x14ac:dyDescent="0.3">
      <c r="A99" s="245" t="s">
        <v>169</v>
      </c>
      <c r="B99" s="228">
        <f t="shared" ref="B99:B100" si="46">+R99</f>
        <v>0.35</v>
      </c>
      <c r="C99" s="284">
        <f t="shared" ref="C99:C100" si="47">+U99</f>
        <v>26.585588388793926</v>
      </c>
      <c r="D99" s="284">
        <f t="shared" ref="D99:D100" si="48">+V99</f>
        <v>26.585588388793926</v>
      </c>
      <c r="E99" s="285">
        <f t="shared" ref="E99:E100" si="49">+D99-C99</f>
        <v>0</v>
      </c>
      <c r="F99" s="418">
        <f t="shared" ref="F99:F100" si="50">+E99/D99</f>
        <v>0</v>
      </c>
      <c r="G99" s="285">
        <f t="shared" ref="G99:G100" si="51">+S99</f>
        <v>-0.50217664668558148</v>
      </c>
      <c r="H99" s="285">
        <f t="shared" ref="H99:H100" si="52">+T99</f>
        <v>5.4177650354795057</v>
      </c>
      <c r="I99" s="285">
        <f t="shared" ref="I99:I100" si="53">+C99+G99+H99</f>
        <v>31.501176777587851</v>
      </c>
      <c r="J99" s="285">
        <f t="shared" ref="J99:J100" si="54">+D99+G99+H99</f>
        <v>31.501176777587851</v>
      </c>
      <c r="K99" s="418">
        <f t="shared" ref="K99:K100" si="55">(J99-I99)/I99</f>
        <v>0</v>
      </c>
      <c r="N99" s="89">
        <v>481</v>
      </c>
      <c r="O99" s="246" t="s">
        <v>169</v>
      </c>
      <c r="P99" s="241">
        <f>+INPUT!Z54</f>
        <v>21.67</v>
      </c>
      <c r="Q99" s="242">
        <f>+INPUT!AA54</f>
        <v>21.67</v>
      </c>
      <c r="R99" s="243">
        <f>+INPUT!AB54</f>
        <v>0.35</v>
      </c>
      <c r="S99" s="238">
        <f>($R99*INPUT!$O$55)*INPUT!$G$58</f>
        <v>-0.50217664668558148</v>
      </c>
      <c r="T99" s="238">
        <f>($R99*INPUT!$O$55)*INPUT!$I$58</f>
        <v>5.4177650354795057</v>
      </c>
      <c r="U99" s="239">
        <f t="shared" ref="U99" si="56">+P99+S99+T99</f>
        <v>26.585588388793926</v>
      </c>
      <c r="V99" s="239">
        <f t="shared" ref="V99" si="57">+Q99+S99+T99</f>
        <v>26.585588388793926</v>
      </c>
    </row>
    <row r="100" spans="1:22" x14ac:dyDescent="0.25">
      <c r="A100" s="245" t="s">
        <v>170</v>
      </c>
      <c r="B100" s="228">
        <f t="shared" si="46"/>
        <v>0.35</v>
      </c>
      <c r="C100" s="284">
        <f t="shared" si="47"/>
        <v>36.345588388793928</v>
      </c>
      <c r="D100" s="284">
        <f t="shared" si="48"/>
        <v>45.525588388793921</v>
      </c>
      <c r="E100" s="285">
        <f t="shared" si="49"/>
        <v>9.1799999999999926</v>
      </c>
      <c r="F100" s="418">
        <f t="shared" si="50"/>
        <v>0.201644840295126</v>
      </c>
      <c r="G100" s="285">
        <f t="shared" si="51"/>
        <v>-0.50217664668558148</v>
      </c>
      <c r="H100" s="285">
        <f t="shared" si="52"/>
        <v>5.4177650354795057</v>
      </c>
      <c r="I100" s="285">
        <f t="shared" si="53"/>
        <v>41.261176777587849</v>
      </c>
      <c r="J100" s="285">
        <f t="shared" si="54"/>
        <v>50.441176777587842</v>
      </c>
      <c r="K100" s="418">
        <f t="shared" si="55"/>
        <v>0.22248517170228563</v>
      </c>
      <c r="L100" s="256" t="s">
        <v>53</v>
      </c>
      <c r="N100" s="89">
        <v>482</v>
      </c>
      <c r="O100" s="246" t="s">
        <v>170</v>
      </c>
      <c r="P100" s="241">
        <f>+INPUT!Z55</f>
        <v>31.43</v>
      </c>
      <c r="Q100" s="242">
        <f>+INPUT!AA55</f>
        <v>40.61</v>
      </c>
      <c r="R100" s="243">
        <f>+INPUT!AB55</f>
        <v>0.35</v>
      </c>
      <c r="S100" s="238">
        <f>($R100*INPUT!$O$55)*INPUT!$G$58</f>
        <v>-0.50217664668558148</v>
      </c>
      <c r="T100" s="238">
        <f>($R100*INPUT!$O$55)*INPUT!$I$58</f>
        <v>5.4177650354795057</v>
      </c>
      <c r="U100" s="239">
        <f t="shared" ref="U100" si="58">+P100+S100+T100</f>
        <v>36.345588388793928</v>
      </c>
      <c r="V100" s="239">
        <f t="shared" ref="V100" si="59">+Q100+S100+T100</f>
        <v>45.525588388793921</v>
      </c>
    </row>
    <row r="101" spans="1:22" ht="13.8" thickBot="1" x14ac:dyDescent="0.3">
      <c r="A101" s="245"/>
      <c r="B101" s="228"/>
      <c r="C101" s="284"/>
      <c r="D101" s="284"/>
      <c r="E101" s="285"/>
      <c r="F101" s="418"/>
      <c r="G101" s="286"/>
      <c r="H101" s="285"/>
      <c r="I101" s="285"/>
      <c r="J101" s="285"/>
      <c r="K101" s="418"/>
      <c r="O101" s="245"/>
      <c r="P101" s="257"/>
      <c r="Q101" s="257"/>
      <c r="R101" s="243"/>
      <c r="S101" s="238"/>
      <c r="T101" s="238"/>
      <c r="U101" s="239"/>
      <c r="V101" s="239"/>
    </row>
    <row r="102" spans="1:22" ht="15" thickBot="1" x14ac:dyDescent="0.3">
      <c r="A102" s="233" t="s">
        <v>406</v>
      </c>
      <c r="B102" s="248"/>
      <c r="C102" s="284"/>
      <c r="D102" s="285"/>
      <c r="E102" s="285"/>
      <c r="F102" s="423"/>
      <c r="G102" s="286"/>
      <c r="H102" s="285"/>
      <c r="I102" s="285"/>
      <c r="J102" s="285"/>
      <c r="K102" s="418"/>
      <c r="N102"/>
      <c r="O102" s="377" t="s">
        <v>397</v>
      </c>
      <c r="P102" s="410"/>
      <c r="Q102" s="411"/>
      <c r="R102"/>
      <c r="S102" s="238"/>
      <c r="T102" s="238"/>
      <c r="U102" s="239"/>
      <c r="V102" s="239"/>
    </row>
    <row r="103" spans="1:22" ht="14.4" thickBot="1" x14ac:dyDescent="0.3">
      <c r="A103" s="385" t="s">
        <v>407</v>
      </c>
      <c r="B103" s="228">
        <f t="shared" ref="B103:B106" si="60">+R103</f>
        <v>0.08</v>
      </c>
      <c r="C103" s="349">
        <f t="shared" ref="C103:C106" si="61">+U103</f>
        <v>0</v>
      </c>
      <c r="D103" s="349">
        <f t="shared" ref="D103:D106" si="62">+V103</f>
        <v>55.02356306029575</v>
      </c>
      <c r="E103" s="350">
        <f t="shared" ref="E103:E106" si="63">+D103-C103</f>
        <v>55.02356306029575</v>
      </c>
      <c r="F103" s="414" t="s">
        <v>429</v>
      </c>
      <c r="G103" s="350">
        <f t="shared" ref="G103:G106" si="64">+S103</f>
        <v>-0.11478323352813292</v>
      </c>
      <c r="H103" s="350">
        <f t="shared" ref="H103:H106" si="65">+T103</f>
        <v>1.2383462938238872</v>
      </c>
      <c r="I103" s="350">
        <f>+C103+G103+H103</f>
        <v>1.1235630602957543</v>
      </c>
      <c r="J103" s="350">
        <f>+D103+G103+H103</f>
        <v>56.147126120591501</v>
      </c>
      <c r="K103" s="414" t="s">
        <v>429</v>
      </c>
      <c r="N103">
        <v>496</v>
      </c>
      <c r="O103" s="374" t="s">
        <v>407</v>
      </c>
      <c r="P103" s="412">
        <v>0</v>
      </c>
      <c r="Q103" s="413">
        <v>53.9</v>
      </c>
      <c r="R103" s="243">
        <f>+INPUT!AB60</f>
        <v>0.08</v>
      </c>
      <c r="S103" s="238">
        <f>($R103*INPUT!$O$55)*INPUT!$G$58</f>
        <v>-0.11478323352813292</v>
      </c>
      <c r="T103" s="238">
        <f>($R103*INPUT!$O$55)*INPUT!$I$58</f>
        <v>1.2383462938238872</v>
      </c>
      <c r="U103" s="406">
        <v>0</v>
      </c>
      <c r="V103" s="239">
        <f t="shared" ref="V103:V106" si="66">+Q103+S103+T103</f>
        <v>55.02356306029575</v>
      </c>
    </row>
    <row r="104" spans="1:22" ht="14.4" thickBot="1" x14ac:dyDescent="0.3">
      <c r="A104" s="385" t="s">
        <v>408</v>
      </c>
      <c r="B104" s="228">
        <f t="shared" si="60"/>
        <v>0.13400000000000001</v>
      </c>
      <c r="C104" s="349">
        <f t="shared" si="61"/>
        <v>0</v>
      </c>
      <c r="D104" s="349">
        <f t="shared" si="62"/>
        <v>58.891968125995383</v>
      </c>
      <c r="E104" s="350">
        <f t="shared" si="63"/>
        <v>58.891968125995383</v>
      </c>
      <c r="F104" s="414" t="s">
        <v>429</v>
      </c>
      <c r="G104" s="350">
        <f t="shared" si="64"/>
        <v>-0.19226191615962265</v>
      </c>
      <c r="H104" s="350">
        <f t="shared" si="65"/>
        <v>2.0742300421550111</v>
      </c>
      <c r="I104" s="350">
        <f>+C104+G104+H104</f>
        <v>1.8819681259953884</v>
      </c>
      <c r="J104" s="350">
        <f>+D104+G104+H104</f>
        <v>60.773936251990769</v>
      </c>
      <c r="K104" s="414" t="s">
        <v>429</v>
      </c>
      <c r="N104">
        <v>497</v>
      </c>
      <c r="O104" s="374" t="s">
        <v>408</v>
      </c>
      <c r="P104" s="412">
        <v>0</v>
      </c>
      <c r="Q104" s="413">
        <v>57.01</v>
      </c>
      <c r="R104" s="243">
        <f>+INPUT!AB61</f>
        <v>0.13400000000000001</v>
      </c>
      <c r="S104" s="238">
        <f>($R104*INPUT!$O$55)*INPUT!$G$58</f>
        <v>-0.19226191615962265</v>
      </c>
      <c r="T104" s="238">
        <f>($R104*INPUT!$O$55)*INPUT!$I$58</f>
        <v>2.0742300421550111</v>
      </c>
      <c r="U104" s="406">
        <v>0</v>
      </c>
      <c r="V104" s="239">
        <f t="shared" si="66"/>
        <v>58.891968125995383</v>
      </c>
    </row>
    <row r="105" spans="1:22" ht="14.4" thickBot="1" x14ac:dyDescent="0.3">
      <c r="A105" s="385" t="s">
        <v>409</v>
      </c>
      <c r="B105" s="228">
        <f t="shared" si="60"/>
        <v>0.22800000000000001</v>
      </c>
      <c r="C105" s="349">
        <f t="shared" si="61"/>
        <v>0</v>
      </c>
      <c r="D105" s="349">
        <f t="shared" si="62"/>
        <v>69.662154721842896</v>
      </c>
      <c r="E105" s="350">
        <f t="shared" si="63"/>
        <v>69.662154721842896</v>
      </c>
      <c r="F105" s="414" t="s">
        <v>429</v>
      </c>
      <c r="G105" s="350">
        <f t="shared" si="64"/>
        <v>-0.3271322155551788</v>
      </c>
      <c r="H105" s="350">
        <f t="shared" si="65"/>
        <v>3.5292869373980782</v>
      </c>
      <c r="I105" s="350">
        <f>+C105+G105+H105</f>
        <v>3.2021547218428994</v>
      </c>
      <c r="J105" s="350">
        <f>+D105+G105+H105</f>
        <v>72.864309443685798</v>
      </c>
      <c r="K105" s="414" t="s">
        <v>429</v>
      </c>
      <c r="N105">
        <v>498</v>
      </c>
      <c r="O105" s="374" t="s">
        <v>409</v>
      </c>
      <c r="P105" s="412">
        <v>0</v>
      </c>
      <c r="Q105" s="413">
        <v>66.459999999999994</v>
      </c>
      <c r="R105" s="243">
        <f>+INPUT!AB62</f>
        <v>0.22800000000000001</v>
      </c>
      <c r="S105" s="238">
        <f>($R105*INPUT!$O$55)*INPUT!$G$58</f>
        <v>-0.3271322155551788</v>
      </c>
      <c r="T105" s="238">
        <f>($R105*INPUT!$O$55)*INPUT!$I$58</f>
        <v>3.5292869373980782</v>
      </c>
      <c r="U105" s="406">
        <v>0</v>
      </c>
      <c r="V105" s="239">
        <f t="shared" si="66"/>
        <v>69.662154721842896</v>
      </c>
    </row>
    <row r="106" spans="1:22" ht="14.4" thickBot="1" x14ac:dyDescent="0.3">
      <c r="A106" s="385" t="s">
        <v>410</v>
      </c>
      <c r="B106" s="228">
        <f t="shared" si="60"/>
        <v>6.8000000000000005E-2</v>
      </c>
      <c r="C106" s="349">
        <f t="shared" si="61"/>
        <v>0</v>
      </c>
      <c r="D106" s="349">
        <f t="shared" si="62"/>
        <v>47.405028601251388</v>
      </c>
      <c r="E106" s="350">
        <f t="shared" si="63"/>
        <v>47.405028601251388</v>
      </c>
      <c r="F106" s="414" t="s">
        <v>429</v>
      </c>
      <c r="G106" s="350">
        <f t="shared" si="64"/>
        <v>-9.7565748498912988E-2</v>
      </c>
      <c r="H106" s="350">
        <f t="shared" si="65"/>
        <v>1.0525943497503041</v>
      </c>
      <c r="I106" s="350">
        <f>+C106+G106+H106</f>
        <v>0.95502860125139111</v>
      </c>
      <c r="J106" s="350">
        <f>+D106+G106+H106</f>
        <v>48.360057202502773</v>
      </c>
      <c r="K106" s="414" t="s">
        <v>429</v>
      </c>
      <c r="N106">
        <v>499</v>
      </c>
      <c r="O106" s="374" t="s">
        <v>411</v>
      </c>
      <c r="P106" s="412">
        <v>0</v>
      </c>
      <c r="Q106" s="413">
        <v>46.45</v>
      </c>
      <c r="R106" s="243">
        <f>+INPUT!AB63</f>
        <v>6.8000000000000005E-2</v>
      </c>
      <c r="S106" s="238">
        <f>($R106*INPUT!$O$55)*INPUT!$G$58</f>
        <v>-9.7565748498912988E-2</v>
      </c>
      <c r="T106" s="238">
        <f>($R106*INPUT!$O$55)*INPUT!$I$58</f>
        <v>1.0525943497503041</v>
      </c>
      <c r="U106" s="406">
        <v>0</v>
      </c>
      <c r="V106" s="239">
        <f t="shared" si="66"/>
        <v>47.405028601251388</v>
      </c>
    </row>
    <row r="107" spans="1:22" x14ac:dyDescent="0.25">
      <c r="A107" s="245"/>
      <c r="B107" s="228"/>
      <c r="C107" s="284"/>
      <c r="D107" s="284"/>
      <c r="E107" s="285"/>
      <c r="F107" s="237"/>
      <c r="G107" s="286"/>
      <c r="H107" s="285"/>
      <c r="I107" s="285"/>
      <c r="J107" s="285"/>
      <c r="K107" s="237"/>
      <c r="O107" s="245"/>
      <c r="P107" s="257"/>
      <c r="Q107" s="257"/>
      <c r="R107" s="243"/>
      <c r="S107" s="238"/>
      <c r="T107" s="238"/>
      <c r="U107" s="239"/>
      <c r="V107" s="239"/>
    </row>
    <row r="108" spans="1:22" x14ac:dyDescent="0.25">
      <c r="A108" s="245"/>
      <c r="B108" s="228"/>
      <c r="C108" s="284"/>
      <c r="D108" s="284"/>
      <c r="E108" s="285"/>
      <c r="F108" s="237"/>
      <c r="G108" s="286"/>
      <c r="H108" s="285"/>
      <c r="I108" s="285"/>
      <c r="J108" s="285"/>
      <c r="K108" s="237"/>
      <c r="O108" s="245"/>
      <c r="P108" s="257"/>
      <c r="Q108" s="257"/>
      <c r="R108" s="243"/>
      <c r="S108" s="238"/>
      <c r="T108" s="238"/>
      <c r="U108" s="239"/>
      <c r="V108" s="239"/>
    </row>
    <row r="109" spans="1:22" x14ac:dyDescent="0.25">
      <c r="A109" s="245"/>
      <c r="B109" s="228"/>
      <c r="C109" s="284"/>
      <c r="D109" s="284"/>
      <c r="E109" s="285"/>
      <c r="F109" s="237"/>
      <c r="G109" s="286"/>
      <c r="H109" s="285"/>
      <c r="I109" s="285"/>
      <c r="J109" s="285"/>
      <c r="K109" s="237"/>
      <c r="O109" s="245"/>
      <c r="P109" s="257"/>
      <c r="Q109" s="257"/>
      <c r="R109" s="243"/>
      <c r="S109" s="238"/>
      <c r="T109" s="238"/>
      <c r="U109" s="239"/>
      <c r="V109" s="239"/>
    </row>
    <row r="110" spans="1:22" x14ac:dyDescent="0.25">
      <c r="A110" s="214" t="s">
        <v>336</v>
      </c>
      <c r="B110" s="228"/>
      <c r="C110" s="284"/>
      <c r="D110" s="284"/>
      <c r="E110" s="285"/>
      <c r="F110" s="237"/>
      <c r="G110" s="286"/>
      <c r="H110" s="285"/>
      <c r="I110" s="285"/>
      <c r="J110" s="285"/>
      <c r="K110" s="237"/>
      <c r="O110" s="245"/>
      <c r="P110" s="257"/>
      <c r="Q110" s="257"/>
      <c r="R110" s="243"/>
      <c r="S110" s="238"/>
      <c r="T110" s="238"/>
      <c r="U110" s="239"/>
      <c r="V110" s="239"/>
    </row>
    <row r="111" spans="1:22" x14ac:dyDescent="0.25">
      <c r="A111" s="210" t="s">
        <v>351</v>
      </c>
      <c r="B111" s="228"/>
      <c r="C111" s="284"/>
      <c r="D111" s="284"/>
      <c r="E111" s="285"/>
      <c r="F111" s="237"/>
      <c r="G111" s="286"/>
      <c r="H111" s="285"/>
      <c r="I111" s="285"/>
      <c r="J111" s="285"/>
      <c r="K111" s="237"/>
      <c r="O111" s="245"/>
      <c r="P111" s="257"/>
      <c r="Q111" s="257"/>
      <c r="R111" s="243"/>
      <c r="S111" s="238"/>
      <c r="T111" s="238"/>
      <c r="U111" s="239"/>
      <c r="V111" s="239"/>
    </row>
    <row r="112" spans="1:22" x14ac:dyDescent="0.25">
      <c r="A112" s="210" t="str">
        <f>+'Rate Case Constants'!$C$26</f>
        <v>Calculations may vary from other schedules due to rounding</v>
      </c>
      <c r="B112" s="228"/>
      <c r="C112" s="284"/>
      <c r="D112" s="284"/>
      <c r="E112" s="285"/>
      <c r="F112" s="237"/>
      <c r="G112" s="286"/>
      <c r="H112" s="285"/>
      <c r="I112" s="285"/>
      <c r="J112" s="285"/>
      <c r="K112" s="237"/>
      <c r="O112" s="245"/>
      <c r="P112" s="257"/>
      <c r="Q112" s="257"/>
      <c r="R112" s="243"/>
      <c r="S112" s="238"/>
      <c r="T112" s="238"/>
      <c r="U112" s="239"/>
      <c r="V112" s="239"/>
    </row>
    <row r="113" spans="1:22" x14ac:dyDescent="0.25">
      <c r="A113" s="245"/>
      <c r="B113" s="228"/>
      <c r="C113" s="284"/>
      <c r="D113" s="284"/>
      <c r="E113" s="285"/>
      <c r="F113" s="237"/>
      <c r="G113" s="286"/>
      <c r="H113" s="285"/>
      <c r="I113" s="285"/>
      <c r="J113" s="285"/>
      <c r="K113" s="237"/>
      <c r="O113" s="245"/>
      <c r="P113" s="257"/>
      <c r="Q113" s="257"/>
      <c r="R113" s="243"/>
      <c r="S113" s="238"/>
      <c r="T113" s="238"/>
      <c r="U113" s="239"/>
      <c r="V113" s="239"/>
    </row>
    <row r="114" spans="1:22" x14ac:dyDescent="0.25">
      <c r="A114" s="453" t="str">
        <f>+A1</f>
        <v>LOUISVILLE GAS AND ELECTRIC COMPANY</v>
      </c>
      <c r="B114" s="453"/>
      <c r="C114" s="453"/>
      <c r="D114" s="453"/>
      <c r="E114" s="453"/>
      <c r="F114" s="453"/>
      <c r="G114" s="453"/>
      <c r="H114" s="453"/>
      <c r="I114" s="453"/>
      <c r="J114" s="453"/>
      <c r="K114" s="453"/>
      <c r="O114" s="245"/>
      <c r="P114" s="257"/>
      <c r="Q114" s="257"/>
      <c r="R114" s="243"/>
      <c r="S114" s="238"/>
      <c r="T114" s="238"/>
      <c r="U114" s="239"/>
      <c r="V114" s="239"/>
    </row>
    <row r="115" spans="1:22" x14ac:dyDescent="0.25">
      <c r="A115" s="453" t="str">
        <f>+A2</f>
        <v>CASE NO. 2016-00371</v>
      </c>
      <c r="B115" s="453"/>
      <c r="C115" s="453"/>
      <c r="D115" s="453"/>
      <c r="E115" s="453"/>
      <c r="F115" s="453"/>
      <c r="G115" s="453"/>
      <c r="H115" s="453"/>
      <c r="I115" s="453"/>
      <c r="J115" s="453"/>
      <c r="K115" s="453"/>
      <c r="O115" s="245"/>
      <c r="P115" s="257"/>
      <c r="Q115" s="257"/>
      <c r="R115" s="243"/>
      <c r="S115" s="238"/>
      <c r="T115" s="238"/>
      <c r="U115" s="239"/>
      <c r="V115" s="239"/>
    </row>
    <row r="116" spans="1:22" x14ac:dyDescent="0.25">
      <c r="A116" s="453" t="str">
        <f>+A3</f>
        <v>Typical Electric Bill Comparison under Present &amp; Proposed Rates</v>
      </c>
      <c r="B116" s="453"/>
      <c r="C116" s="453"/>
      <c r="D116" s="453"/>
      <c r="E116" s="453"/>
      <c r="F116" s="453"/>
      <c r="G116" s="453"/>
      <c r="H116" s="453"/>
      <c r="I116" s="453"/>
      <c r="J116" s="453"/>
      <c r="K116" s="453"/>
      <c r="O116" s="245"/>
      <c r="P116" s="257"/>
      <c r="Q116" s="257"/>
      <c r="R116" s="243"/>
      <c r="S116" s="238"/>
      <c r="T116" s="238"/>
      <c r="U116" s="239"/>
      <c r="V116" s="239"/>
    </row>
    <row r="117" spans="1:22" x14ac:dyDescent="0.25">
      <c r="A117" s="453" t="str">
        <f>+A4</f>
        <v>FORECAST PERIOD FOR THE 12 MONTHS ENDED JUNE 30, 2018</v>
      </c>
      <c r="B117" s="453"/>
      <c r="C117" s="453"/>
      <c r="D117" s="453"/>
      <c r="E117" s="453"/>
      <c r="F117" s="453"/>
      <c r="G117" s="453"/>
      <c r="H117" s="453"/>
      <c r="I117" s="453"/>
      <c r="J117" s="453"/>
      <c r="K117" s="453"/>
      <c r="O117" s="245"/>
      <c r="P117" s="257"/>
      <c r="Q117" s="257"/>
      <c r="R117" s="243"/>
      <c r="S117" s="238"/>
      <c r="T117" s="238"/>
      <c r="U117" s="239"/>
      <c r="V117" s="239"/>
    </row>
    <row r="118" spans="1:22" x14ac:dyDescent="0.25">
      <c r="A118" s="400"/>
      <c r="B118" s="400"/>
      <c r="C118" s="372"/>
      <c r="D118" s="395"/>
      <c r="E118" s="395"/>
      <c r="F118" s="395"/>
      <c r="G118" s="396"/>
      <c r="H118" s="399"/>
      <c r="I118" s="399"/>
      <c r="J118" s="399"/>
      <c r="K118" s="396"/>
      <c r="O118" s="245"/>
      <c r="P118" s="257"/>
      <c r="Q118" s="257"/>
      <c r="R118" s="243"/>
      <c r="S118" s="238"/>
      <c r="T118" s="238"/>
      <c r="U118" s="239"/>
      <c r="V118" s="239"/>
    </row>
    <row r="119" spans="1:22" x14ac:dyDescent="0.25">
      <c r="A119" s="400" t="str">
        <f>+A6</f>
        <v>DATA: ____BASE PERIOD__X___FORECASTED PERIOD</v>
      </c>
      <c r="B119" s="400"/>
      <c r="C119" s="372"/>
      <c r="D119" s="395"/>
      <c r="E119" s="395"/>
      <c r="F119" s="395"/>
      <c r="G119" s="396"/>
      <c r="H119" s="399"/>
      <c r="I119" s="399"/>
      <c r="J119" s="399"/>
      <c r="K119" s="398" t="str">
        <f>+K6</f>
        <v>SCHEDULE N (Electric)</v>
      </c>
      <c r="O119" s="245"/>
      <c r="P119" s="257"/>
      <c r="Q119" s="257"/>
      <c r="R119" s="243"/>
      <c r="S119" s="238"/>
      <c r="T119" s="238"/>
      <c r="U119" s="239"/>
      <c r="V119" s="239"/>
    </row>
    <row r="120" spans="1:22" x14ac:dyDescent="0.25">
      <c r="A120" s="400" t="str">
        <f>+A7</f>
        <v>TYPE OF FILING: __X__ ORIGINAL  _____ UPDATED  _____ REVISED</v>
      </c>
      <c r="B120" s="400"/>
      <c r="C120" s="372"/>
      <c r="D120" s="395"/>
      <c r="E120" s="395"/>
      <c r="F120" s="395"/>
      <c r="G120" s="396"/>
      <c r="H120" s="399"/>
      <c r="I120" s="399"/>
      <c r="J120" s="399"/>
      <c r="K120" s="398" t="str">
        <f>+'Rate Case Constants'!L23</f>
        <v>PAGE 16 of 21</v>
      </c>
      <c r="O120" s="245"/>
      <c r="P120" s="257"/>
      <c r="Q120" s="257"/>
      <c r="R120" s="243"/>
      <c r="S120" s="238"/>
      <c r="T120" s="238"/>
      <c r="U120" s="239"/>
      <c r="V120" s="239"/>
    </row>
    <row r="121" spans="1:22" x14ac:dyDescent="0.25">
      <c r="A121" s="400" t="str">
        <f>+A8</f>
        <v>WORKPAPER REFERENCE NO(S):________</v>
      </c>
      <c r="B121" s="400"/>
      <c r="C121" s="372"/>
      <c r="D121" s="395"/>
      <c r="E121" s="395"/>
      <c r="F121" s="395"/>
      <c r="G121" s="396"/>
      <c r="H121" s="399"/>
      <c r="I121" s="399"/>
      <c r="J121" s="399"/>
      <c r="K121" s="398" t="str">
        <f>+K8</f>
        <v>WITNESS:   C. M. GARRETT</v>
      </c>
      <c r="O121" s="245"/>
      <c r="P121" s="257"/>
      <c r="Q121" s="257"/>
      <c r="R121" s="243"/>
      <c r="S121" s="238"/>
      <c r="T121" s="238"/>
      <c r="U121" s="239"/>
      <c r="V121" s="239"/>
    </row>
    <row r="122" spans="1:22" ht="13.8" thickBot="1" x14ac:dyDescent="0.3">
      <c r="A122" s="229"/>
      <c r="B122" s="229"/>
      <c r="C122" s="372"/>
      <c r="D122" s="395"/>
      <c r="E122" s="395"/>
      <c r="F122" s="395"/>
      <c r="G122" s="396"/>
      <c r="H122" s="399"/>
      <c r="I122" s="399"/>
      <c r="J122" s="399"/>
      <c r="K122" s="396"/>
      <c r="O122" s="219" t="s">
        <v>95</v>
      </c>
      <c r="R122" s="243"/>
      <c r="S122" s="238"/>
      <c r="T122" s="238"/>
      <c r="U122" s="239"/>
      <c r="V122" s="239"/>
    </row>
    <row r="123" spans="1:22" ht="13.8" thickBot="1" x14ac:dyDescent="0.3">
      <c r="A123" s="312" t="s">
        <v>95</v>
      </c>
      <c r="B123" s="3" t="s">
        <v>326</v>
      </c>
      <c r="C123" s="26" t="s">
        <v>327</v>
      </c>
      <c r="D123" s="26" t="s">
        <v>328</v>
      </c>
      <c r="E123" s="3" t="s">
        <v>329</v>
      </c>
      <c r="F123" s="3" t="s">
        <v>330</v>
      </c>
      <c r="G123" s="26" t="s">
        <v>331</v>
      </c>
      <c r="H123" s="3" t="s">
        <v>332</v>
      </c>
      <c r="I123" s="3" t="s">
        <v>333</v>
      </c>
      <c r="J123" s="3" t="s">
        <v>334</v>
      </c>
      <c r="K123" s="3" t="s">
        <v>335</v>
      </c>
      <c r="O123" s="260"/>
      <c r="P123" s="261" t="s">
        <v>86</v>
      </c>
      <c r="Q123" s="261" t="s">
        <v>86</v>
      </c>
      <c r="R123" s="243"/>
      <c r="S123" s="238"/>
      <c r="T123" s="238"/>
      <c r="U123" s="239"/>
      <c r="V123" s="239"/>
    </row>
    <row r="124" spans="1:22" ht="13.8" thickBot="1" x14ac:dyDescent="0.3">
      <c r="A124" s="259"/>
      <c r="B124" s="42"/>
      <c r="C124" s="313" t="s">
        <v>366</v>
      </c>
      <c r="D124" s="313" t="s">
        <v>366</v>
      </c>
      <c r="E124"/>
      <c r="F124"/>
      <c r="G124" s="30"/>
      <c r="H124" s="30"/>
      <c r="I124" s="3" t="s">
        <v>5</v>
      </c>
      <c r="J124" s="3" t="s">
        <v>5</v>
      </c>
      <c r="K124"/>
      <c r="O124" s="263"/>
      <c r="P124" s="309"/>
      <c r="Q124" s="309"/>
      <c r="R124" s="243"/>
      <c r="S124" s="238"/>
      <c r="T124" s="238"/>
      <c r="U124" s="239"/>
      <c r="V124" s="239"/>
    </row>
    <row r="125" spans="1:22" ht="13.8" thickBot="1" x14ac:dyDescent="0.3">
      <c r="A125" s="259"/>
      <c r="B125" s="3" t="s">
        <v>350</v>
      </c>
      <c r="C125" s="3" t="s">
        <v>1</v>
      </c>
      <c r="D125" s="3" t="s">
        <v>74</v>
      </c>
      <c r="E125" s="3"/>
      <c r="F125" s="3"/>
      <c r="G125" s="451" t="s">
        <v>130</v>
      </c>
      <c r="H125" s="451"/>
      <c r="I125" s="3" t="s">
        <v>1</v>
      </c>
      <c r="J125" s="3" t="s">
        <v>74</v>
      </c>
      <c r="K125" s="3"/>
      <c r="O125" s="263"/>
      <c r="P125" s="309"/>
      <c r="Q125" s="309"/>
      <c r="R125" s="243"/>
      <c r="S125" s="238"/>
      <c r="T125" s="238"/>
      <c r="U125" s="239"/>
      <c r="V125" s="239"/>
    </row>
    <row r="126" spans="1:22" ht="13.8" thickBot="1" x14ac:dyDescent="0.3">
      <c r="A126" s="259"/>
      <c r="B126" s="3" t="s">
        <v>20</v>
      </c>
      <c r="C126" s="3" t="s">
        <v>4</v>
      </c>
      <c r="D126" s="3" t="s">
        <v>4</v>
      </c>
      <c r="E126" s="3" t="s">
        <v>75</v>
      </c>
      <c r="F126" s="3" t="s">
        <v>75</v>
      </c>
      <c r="G126" s="202" t="s">
        <v>421</v>
      </c>
      <c r="H126" s="52" t="s">
        <v>72</v>
      </c>
      <c r="I126" s="3" t="s">
        <v>4</v>
      </c>
      <c r="J126" s="3" t="s">
        <v>4</v>
      </c>
      <c r="K126" s="3" t="s">
        <v>75</v>
      </c>
      <c r="O126" s="263"/>
      <c r="P126" s="309"/>
      <c r="Q126" s="309"/>
      <c r="R126" s="243"/>
      <c r="S126" s="238"/>
      <c r="T126" s="238"/>
      <c r="U126" s="239"/>
      <c r="V126" s="239"/>
    </row>
    <row r="127" spans="1:22" ht="13.8" thickBot="1" x14ac:dyDescent="0.3">
      <c r="A127" s="259"/>
      <c r="B127" s="42"/>
      <c r="C127" s="3"/>
      <c r="D127" s="3"/>
      <c r="E127" s="3" t="s">
        <v>69</v>
      </c>
      <c r="F127" s="26" t="s">
        <v>70</v>
      </c>
      <c r="G127" s="51"/>
      <c r="H127" s="53"/>
      <c r="I127" s="3" t="s">
        <v>69</v>
      </c>
      <c r="J127" s="3" t="s">
        <v>69</v>
      </c>
      <c r="K127" s="26" t="s">
        <v>70</v>
      </c>
      <c r="O127" s="263"/>
      <c r="P127" s="309"/>
      <c r="Q127" s="309"/>
      <c r="R127" s="243"/>
      <c r="S127" s="238"/>
      <c r="T127" s="238"/>
      <c r="U127" s="239"/>
      <c r="V127" s="239"/>
    </row>
    <row r="128" spans="1:22" ht="13.8" thickBot="1" x14ac:dyDescent="0.3">
      <c r="A128" s="354"/>
      <c r="B128" s="338"/>
      <c r="C128" s="370"/>
      <c r="D128" s="370"/>
      <c r="E128" s="370" t="str">
        <f>("[ "&amp;D123&amp;" - "&amp;C123&amp;" ]")</f>
        <v>[ C - B ]</v>
      </c>
      <c r="F128" s="370" t="str">
        <f>("[ "&amp;E123&amp;" / "&amp;C123&amp;" ]")</f>
        <v>[ D / B ]</v>
      </c>
      <c r="G128" s="353"/>
      <c r="H128" s="353"/>
      <c r="I128" s="370" t="str">
        <f>("["&amp;C123&amp;"+"&amp;$G$10&amp;"+"&amp;$H$10&amp;"]")</f>
        <v>[B+F+G]</v>
      </c>
      <c r="J128" s="370" t="str">
        <f>("["&amp;D123&amp;"+"&amp;$G$10&amp;"+"&amp;$H$10&amp;"]")</f>
        <v>[C+F+G]</v>
      </c>
      <c r="K128" s="370" t="str">
        <f>("[("&amp;J123&amp;" - "&amp;I123&amp;")"&amp;I123&amp;"]")</f>
        <v>[(I - H)H]</v>
      </c>
      <c r="O128" s="263"/>
      <c r="P128" s="226" t="s">
        <v>1</v>
      </c>
      <c r="Q128" s="264" t="s">
        <v>1</v>
      </c>
      <c r="R128" s="243"/>
      <c r="S128" s="238"/>
      <c r="T128" s="238"/>
      <c r="U128" s="239"/>
      <c r="V128" s="239"/>
    </row>
    <row r="129" spans="1:22" ht="13.8" thickBot="1" x14ac:dyDescent="0.3">
      <c r="A129" s="229" t="s">
        <v>87</v>
      </c>
      <c r="B129" s="265"/>
      <c r="G129" s="237"/>
      <c r="K129" s="237"/>
      <c r="O129" s="266" t="s">
        <v>87</v>
      </c>
      <c r="P129" s="267"/>
      <c r="Q129" s="268"/>
      <c r="R129" s="243"/>
      <c r="S129" s="238"/>
      <c r="T129" s="238"/>
    </row>
    <row r="130" spans="1:22" ht="13.8" thickBot="1" x14ac:dyDescent="0.3">
      <c r="A130" s="245" t="s">
        <v>100</v>
      </c>
      <c r="B130" s="262"/>
      <c r="G130" s="237"/>
      <c r="K130" s="237"/>
      <c r="O130" s="263" t="s">
        <v>100</v>
      </c>
      <c r="P130" s="269"/>
      <c r="Q130" s="270"/>
      <c r="R130" s="243"/>
      <c r="S130" s="238"/>
      <c r="T130" s="238"/>
    </row>
    <row r="131" spans="1:22" ht="14.4" thickBot="1" x14ac:dyDescent="0.3">
      <c r="A131" s="245" t="s">
        <v>173</v>
      </c>
      <c r="B131" s="228">
        <f t="shared" ref="B131:B137" si="67">+R131</f>
        <v>0.21</v>
      </c>
      <c r="C131" s="284">
        <f t="shared" ref="C131:D137" si="68">+U131</f>
        <v>13.199353033276356</v>
      </c>
      <c r="D131" s="284">
        <f t="shared" si="68"/>
        <v>13.509353033276355</v>
      </c>
      <c r="E131" s="285">
        <f t="shared" ref="E131:E137" si="69">+D131-C131</f>
        <v>0.30999999999999872</v>
      </c>
      <c r="F131" s="418">
        <f t="shared" ref="F131:F137" si="70">+E131/D131</f>
        <v>2.2947064839922687E-2</v>
      </c>
      <c r="G131" s="285">
        <f t="shared" ref="G131:H137" si="71">+S131</f>
        <v>-0.30130598801134889</v>
      </c>
      <c r="H131" s="285">
        <f t="shared" si="71"/>
        <v>3.2506590212877038</v>
      </c>
      <c r="I131" s="285">
        <f t="shared" ref="I131:I137" si="72">+C131+G131+H131</f>
        <v>16.148706066552712</v>
      </c>
      <c r="J131" s="285">
        <f t="shared" ref="J131:J137" si="73">+D131+G131+H131</f>
        <v>16.458706066552711</v>
      </c>
      <c r="K131" s="418">
        <f t="shared" ref="K131:K137" si="74">(J131-I131)/I131</f>
        <v>1.9196584464564154E-2</v>
      </c>
      <c r="N131" s="89">
        <v>252</v>
      </c>
      <c r="O131" s="271" t="s">
        <v>173</v>
      </c>
      <c r="P131" s="241">
        <f>+INPUT!Z70</f>
        <v>10.25</v>
      </c>
      <c r="Q131" s="241">
        <f>+INPUT!AA70</f>
        <v>10.56</v>
      </c>
      <c r="R131" s="243">
        <f>+INPUT!AB70</f>
        <v>0.21</v>
      </c>
      <c r="S131" s="238">
        <f>($R131*INPUT!$O$55)*INPUT!$G$58</f>
        <v>-0.30130598801134889</v>
      </c>
      <c r="T131" s="238">
        <f>($R131*INPUT!$O$55)*INPUT!$I$58</f>
        <v>3.2506590212877038</v>
      </c>
      <c r="U131" s="239">
        <f>+P131+S131+T131</f>
        <v>13.199353033276356</v>
      </c>
      <c r="V131" s="239">
        <f>+Q131+S131+T131</f>
        <v>13.509353033276355</v>
      </c>
    </row>
    <row r="132" spans="1:22" ht="14.4" thickBot="1" x14ac:dyDescent="0.3">
      <c r="A132" s="245" t="s">
        <v>174</v>
      </c>
      <c r="B132" s="228">
        <f t="shared" si="67"/>
        <v>0.29799999999999999</v>
      </c>
      <c r="C132" s="284">
        <f t="shared" si="68"/>
        <v>15.875272399601684</v>
      </c>
      <c r="D132" s="284">
        <f t="shared" si="68"/>
        <v>16.225272399601685</v>
      </c>
      <c r="E132" s="285">
        <f t="shared" si="69"/>
        <v>0.35000000000000142</v>
      </c>
      <c r="F132" s="418">
        <f t="shared" si="70"/>
        <v>2.1571286532520315E-2</v>
      </c>
      <c r="G132" s="285">
        <f t="shared" si="71"/>
        <v>-0.42756754489229509</v>
      </c>
      <c r="H132" s="285">
        <f t="shared" si="71"/>
        <v>4.61283994449398</v>
      </c>
      <c r="I132" s="285">
        <f t="shared" si="72"/>
        <v>20.06054479920337</v>
      </c>
      <c r="J132" s="285">
        <f t="shared" si="73"/>
        <v>20.410544799203372</v>
      </c>
      <c r="K132" s="418">
        <f t="shared" si="74"/>
        <v>1.7447183189855362E-2</v>
      </c>
      <c r="N132" s="89">
        <v>203</v>
      </c>
      <c r="O132" s="272" t="s">
        <v>174</v>
      </c>
      <c r="P132" s="241">
        <f>+INPUT!Z71</f>
        <v>11.69</v>
      </c>
      <c r="Q132" s="241">
        <f>+INPUT!AA71</f>
        <v>12.04</v>
      </c>
      <c r="R132" s="243">
        <f>+INPUT!AB71</f>
        <v>0.29799999999999999</v>
      </c>
      <c r="S132" s="238">
        <f>($R132*INPUT!$O$55)*INPUT!$G$58</f>
        <v>-0.42756754489229509</v>
      </c>
      <c r="T132" s="238">
        <f>($R132*INPUT!$O$55)*INPUT!$I$58</f>
        <v>4.61283994449398</v>
      </c>
      <c r="U132" s="239">
        <f>+P132+S132+T132</f>
        <v>15.875272399601684</v>
      </c>
      <c r="V132" s="239">
        <f>+Q132+S132+T132</f>
        <v>16.225272399601685</v>
      </c>
    </row>
    <row r="133" spans="1:22" ht="14.4" thickBot="1" x14ac:dyDescent="0.3">
      <c r="A133" s="245" t="s">
        <v>175</v>
      </c>
      <c r="B133" s="228">
        <f t="shared" si="67"/>
        <v>0.46200000000000002</v>
      </c>
      <c r="C133" s="284">
        <f t="shared" si="68"/>
        <v>20.89857667320798</v>
      </c>
      <c r="D133" s="284">
        <f t="shared" si="68"/>
        <v>21.32857667320798</v>
      </c>
      <c r="E133" s="285">
        <f t="shared" si="69"/>
        <v>0.42999999999999972</v>
      </c>
      <c r="F133" s="418">
        <f t="shared" si="70"/>
        <v>2.0160745209976755E-2</v>
      </c>
      <c r="G133" s="285">
        <f t="shared" si="71"/>
        <v>-0.66287317362496767</v>
      </c>
      <c r="H133" s="285">
        <f t="shared" si="71"/>
        <v>7.151449846832949</v>
      </c>
      <c r="I133" s="285">
        <f t="shared" si="72"/>
        <v>27.387153346415964</v>
      </c>
      <c r="J133" s="285">
        <f t="shared" si="73"/>
        <v>27.817153346415964</v>
      </c>
      <c r="K133" s="418">
        <f t="shared" si="74"/>
        <v>1.5700792067032111E-2</v>
      </c>
      <c r="N133" s="89">
        <v>204</v>
      </c>
      <c r="O133" s="272" t="s">
        <v>175</v>
      </c>
      <c r="P133" s="241">
        <f>+INPUT!Z72</f>
        <v>14.41</v>
      </c>
      <c r="Q133" s="241">
        <f>+INPUT!AA72</f>
        <v>14.84</v>
      </c>
      <c r="R133" s="243">
        <f>+INPUT!AB72</f>
        <v>0.46200000000000002</v>
      </c>
      <c r="S133" s="238">
        <f>($R133*INPUT!$O$55)*INPUT!$G$58</f>
        <v>-0.66287317362496767</v>
      </c>
      <c r="T133" s="238">
        <f>($R133*INPUT!$O$55)*INPUT!$I$58</f>
        <v>7.151449846832949</v>
      </c>
      <c r="U133" s="239">
        <f>+P133+S133+T133</f>
        <v>20.89857667320798</v>
      </c>
      <c r="V133" s="239">
        <f>+Q133+S133+T133</f>
        <v>21.32857667320798</v>
      </c>
    </row>
    <row r="134" spans="1:22" ht="14.4" thickBot="1" x14ac:dyDescent="0.3">
      <c r="A134" s="310" t="s">
        <v>363</v>
      </c>
      <c r="B134" s="228">
        <f t="shared" si="67"/>
        <v>1.18</v>
      </c>
      <c r="C134" s="284">
        <f t="shared" si="68"/>
        <v>46.032555139362373</v>
      </c>
      <c r="D134" s="284">
        <f t="shared" si="68"/>
        <v>46.912555139362368</v>
      </c>
      <c r="E134" s="285">
        <f t="shared" si="69"/>
        <v>0.87999999999999545</v>
      </c>
      <c r="F134" s="418">
        <f t="shared" si="70"/>
        <v>1.875830462412021E-2</v>
      </c>
      <c r="G134" s="285">
        <f t="shared" si="71"/>
        <v>-1.6930526945399602</v>
      </c>
      <c r="H134" s="285">
        <f t="shared" si="71"/>
        <v>18.265607833902333</v>
      </c>
      <c r="I134" s="285">
        <f t="shared" si="72"/>
        <v>62.605110278724752</v>
      </c>
      <c r="J134" s="285">
        <f t="shared" si="73"/>
        <v>63.485110278724747</v>
      </c>
      <c r="K134" s="418">
        <f t="shared" si="74"/>
        <v>1.4056360512458805E-2</v>
      </c>
      <c r="N134" s="89">
        <v>209</v>
      </c>
      <c r="O134" s="311" t="s">
        <v>364</v>
      </c>
      <c r="P134" s="241">
        <f>+INPUT!Z73</f>
        <v>29.46</v>
      </c>
      <c r="Q134" s="241">
        <f>+INPUT!AA73</f>
        <v>30.34</v>
      </c>
      <c r="R134" s="243">
        <f>+INPUT!AB73</f>
        <v>1.18</v>
      </c>
      <c r="S134" s="238">
        <f>($R134*INPUT!$O$55)*INPUT!$G$58</f>
        <v>-1.6930526945399602</v>
      </c>
      <c r="T134" s="238">
        <f>($R134*INPUT!$O$55)*INPUT!$I$58</f>
        <v>18.265607833902333</v>
      </c>
      <c r="U134" s="239">
        <f t="shared" ref="U134:U137" si="75">+P134+S134+T134</f>
        <v>46.032555139362373</v>
      </c>
      <c r="V134" s="239">
        <f t="shared" ref="V134:V137" si="76">+Q134+S134+T134</f>
        <v>46.912555139362368</v>
      </c>
    </row>
    <row r="135" spans="1:22" ht="14.4" thickBot="1" x14ac:dyDescent="0.3">
      <c r="A135" s="310" t="s">
        <v>365</v>
      </c>
      <c r="B135" s="228">
        <f t="shared" si="67"/>
        <v>0.46200000000000002</v>
      </c>
      <c r="C135" s="284">
        <f t="shared" si="68"/>
        <v>22.928576673207981</v>
      </c>
      <c r="D135" s="284">
        <f t="shared" si="68"/>
        <v>23.418576673207983</v>
      </c>
      <c r="E135" s="285">
        <f t="shared" si="69"/>
        <v>0.49000000000000199</v>
      </c>
      <c r="F135" s="418">
        <f t="shared" si="70"/>
        <v>2.0923560250379621E-2</v>
      </c>
      <c r="G135" s="285">
        <f t="shared" si="71"/>
        <v>-0.66287317362496767</v>
      </c>
      <c r="H135" s="285">
        <f t="shared" si="71"/>
        <v>7.151449846832949</v>
      </c>
      <c r="I135" s="285">
        <f t="shared" si="72"/>
        <v>29.417153346415965</v>
      </c>
      <c r="J135" s="285">
        <f t="shared" si="73"/>
        <v>29.907153346415967</v>
      </c>
      <c r="K135" s="418">
        <f t="shared" si="74"/>
        <v>1.6656948217584795E-2</v>
      </c>
      <c r="N135" s="89">
        <v>207</v>
      </c>
      <c r="O135" s="311" t="s">
        <v>365</v>
      </c>
      <c r="P135" s="241">
        <f>+INPUT!Z74</f>
        <v>16.440000000000001</v>
      </c>
      <c r="Q135" s="241">
        <f>+INPUT!AA74</f>
        <v>16.93</v>
      </c>
      <c r="R135" s="243">
        <f>+INPUT!AB74</f>
        <v>0.46200000000000002</v>
      </c>
      <c r="S135" s="238">
        <f>($R135*INPUT!$O$55)*INPUT!$G$58</f>
        <v>-0.66287317362496767</v>
      </c>
      <c r="T135" s="238">
        <f>($R135*INPUT!$O$55)*INPUT!$I$58</f>
        <v>7.151449846832949</v>
      </c>
      <c r="U135" s="239">
        <f t="shared" si="75"/>
        <v>22.928576673207981</v>
      </c>
      <c r="V135" s="239">
        <f t="shared" si="76"/>
        <v>23.418576673207983</v>
      </c>
    </row>
    <row r="136" spans="1:22" ht="14.4" thickBot="1" x14ac:dyDescent="0.3">
      <c r="A136" s="245" t="s">
        <v>176</v>
      </c>
      <c r="B136" s="228">
        <f t="shared" si="67"/>
        <v>1.18</v>
      </c>
      <c r="C136" s="284">
        <f t="shared" si="68"/>
        <v>47.232555139362375</v>
      </c>
      <c r="D136" s="284">
        <f t="shared" si="68"/>
        <v>48.15255513936237</v>
      </c>
      <c r="E136" s="285">
        <f t="shared" si="69"/>
        <v>0.9199999999999946</v>
      </c>
      <c r="F136" s="418">
        <f t="shared" si="70"/>
        <v>1.9105943544165935E-2</v>
      </c>
      <c r="G136" s="285">
        <f t="shared" si="71"/>
        <v>-1.6930526945399602</v>
      </c>
      <c r="H136" s="285">
        <f t="shared" si="71"/>
        <v>18.265607833902333</v>
      </c>
      <c r="I136" s="285">
        <f t="shared" si="72"/>
        <v>63.805110278724754</v>
      </c>
      <c r="J136" s="285">
        <f t="shared" si="73"/>
        <v>64.725110278724742</v>
      </c>
      <c r="K136" s="418">
        <f t="shared" si="74"/>
        <v>1.4418907764301025E-2</v>
      </c>
      <c r="N136" s="89">
        <v>210</v>
      </c>
      <c r="O136" s="272" t="s">
        <v>176</v>
      </c>
      <c r="P136" s="241">
        <f>+INPUT!Z75</f>
        <v>30.66</v>
      </c>
      <c r="Q136" s="241">
        <f>+INPUT!AA75</f>
        <v>31.58</v>
      </c>
      <c r="R136" s="243">
        <f>+INPUT!AB75</f>
        <v>1.18</v>
      </c>
      <c r="S136" s="238">
        <f>($R136*INPUT!$O$55)*INPUT!$G$58</f>
        <v>-1.6930526945399602</v>
      </c>
      <c r="T136" s="238">
        <f>($R136*INPUT!$O$55)*INPUT!$I$58</f>
        <v>18.265607833902333</v>
      </c>
      <c r="U136" s="239">
        <f t="shared" si="75"/>
        <v>47.232555139362375</v>
      </c>
      <c r="V136" s="239">
        <f t="shared" si="76"/>
        <v>48.15255513936237</v>
      </c>
    </row>
    <row r="137" spans="1:22" ht="14.4" thickBot="1" x14ac:dyDescent="0.3">
      <c r="A137" s="245" t="s">
        <v>177</v>
      </c>
      <c r="B137" s="228">
        <f t="shared" si="67"/>
        <v>0.1</v>
      </c>
      <c r="C137" s="284">
        <f t="shared" si="68"/>
        <v>10.174453825369692</v>
      </c>
      <c r="D137" s="284">
        <f t="shared" si="68"/>
        <v>9.7844538253696935</v>
      </c>
      <c r="E137" s="285">
        <f t="shared" si="69"/>
        <v>-0.38999999999999879</v>
      </c>
      <c r="F137" s="418">
        <f t="shared" si="70"/>
        <v>-3.9859148702688384E-2</v>
      </c>
      <c r="G137" s="286">
        <f t="shared" si="71"/>
        <v>-0.14347904191016617</v>
      </c>
      <c r="H137" s="286">
        <f t="shared" si="71"/>
        <v>1.5479328672798591</v>
      </c>
      <c r="I137" s="286">
        <f t="shared" si="72"/>
        <v>11.578907650739385</v>
      </c>
      <c r="J137" s="286">
        <f t="shared" si="73"/>
        <v>11.188907650739386</v>
      </c>
      <c r="K137" s="418">
        <f t="shared" si="74"/>
        <v>-3.3681933716354917E-2</v>
      </c>
      <c r="N137" s="89">
        <v>201</v>
      </c>
      <c r="O137" s="272" t="s">
        <v>177</v>
      </c>
      <c r="P137" s="241">
        <f>+INPUT!Z76</f>
        <v>8.77</v>
      </c>
      <c r="Q137" s="241">
        <f>+INPUT!AA76</f>
        <v>8.3800000000000008</v>
      </c>
      <c r="R137" s="243">
        <f>+INPUT!AB76</f>
        <v>0.1</v>
      </c>
      <c r="S137" s="238">
        <f>($R137*INPUT!$O$55)*INPUT!$G$58</f>
        <v>-0.14347904191016617</v>
      </c>
      <c r="T137" s="238">
        <f>($R137*INPUT!$O$55)*INPUT!$I$58</f>
        <v>1.5479328672798591</v>
      </c>
      <c r="U137" s="239">
        <f t="shared" si="75"/>
        <v>10.174453825369692</v>
      </c>
      <c r="V137" s="239">
        <f t="shared" si="76"/>
        <v>9.7844538253696935</v>
      </c>
    </row>
    <row r="138" spans="1:22" ht="13.5" customHeight="1" thickBot="1" x14ac:dyDescent="0.3">
      <c r="A138" s="245"/>
      <c r="B138" s="262"/>
      <c r="C138" s="284"/>
      <c r="D138" s="285"/>
      <c r="E138" s="285"/>
      <c r="F138" s="423"/>
      <c r="G138" s="286"/>
      <c r="H138" s="286"/>
      <c r="I138" s="286"/>
      <c r="J138" s="286"/>
      <c r="K138" s="418"/>
      <c r="N138" s="89" t="s">
        <v>145</v>
      </c>
      <c r="O138" s="273"/>
      <c r="P138" s="241"/>
      <c r="Q138" s="241"/>
      <c r="R138" s="243"/>
      <c r="S138" s="238"/>
      <c r="T138" s="238"/>
      <c r="U138" s="239"/>
      <c r="V138" s="239"/>
    </row>
    <row r="139" spans="1:22" ht="13.8" thickBot="1" x14ac:dyDescent="0.3">
      <c r="A139" s="233" t="s">
        <v>92</v>
      </c>
      <c r="B139" s="274"/>
      <c r="C139" s="284"/>
      <c r="D139" s="285"/>
      <c r="E139" s="285"/>
      <c r="F139" s="423"/>
      <c r="G139" s="285"/>
      <c r="H139" s="285"/>
      <c r="I139" s="285"/>
      <c r="J139" s="285"/>
      <c r="K139" s="418"/>
      <c r="O139" s="275" t="s">
        <v>92</v>
      </c>
      <c r="P139" s="241"/>
      <c r="Q139" s="241"/>
      <c r="R139" s="243"/>
      <c r="S139" s="238"/>
      <c r="T139" s="238"/>
      <c r="U139" s="239"/>
      <c r="V139" s="239"/>
    </row>
    <row r="140" spans="1:22" x14ac:dyDescent="0.25">
      <c r="A140" s="245" t="s">
        <v>427</v>
      </c>
      <c r="B140" s="228">
        <f>+R140</f>
        <v>0.15</v>
      </c>
      <c r="C140" s="284">
        <f>+U140</f>
        <v>15.91668073805454</v>
      </c>
      <c r="D140" s="284">
        <f>+V140</f>
        <v>15.91668073805454</v>
      </c>
      <c r="E140" s="285">
        <f>+D140-C140</f>
        <v>0</v>
      </c>
      <c r="F140" s="418">
        <f>+E140/D140</f>
        <v>0</v>
      </c>
      <c r="G140" s="285">
        <f>+S140</f>
        <v>-0.21521856286524921</v>
      </c>
      <c r="H140" s="285">
        <f>+T140</f>
        <v>2.3218993009197884</v>
      </c>
      <c r="I140" s="285">
        <f>+C140+G140+H140</f>
        <v>18.023361476109077</v>
      </c>
      <c r="J140" s="285">
        <f>+D140+G140+H140</f>
        <v>18.023361476109077</v>
      </c>
      <c r="K140" s="418">
        <f>(J140-I140)/I140</f>
        <v>0</v>
      </c>
      <c r="N140" s="89">
        <v>470</v>
      </c>
      <c r="O140" s="250" t="s">
        <v>142</v>
      </c>
      <c r="P140" s="241">
        <f>+INPUT!Z17</f>
        <v>13.81</v>
      </c>
      <c r="Q140" s="242">
        <f>+INPUT!AA17</f>
        <v>13.81</v>
      </c>
      <c r="R140" s="243">
        <f>+INPUT!AB17</f>
        <v>0.15</v>
      </c>
      <c r="S140" s="238">
        <f>($R140*INPUT!$O$55)*INPUT!$G$58</f>
        <v>-0.21521856286524921</v>
      </c>
      <c r="T140" s="238">
        <f>($R140*INPUT!$O$55)*INPUT!$I$58</f>
        <v>2.3218993009197884</v>
      </c>
      <c r="U140" s="239">
        <f>+P140+S140+T140</f>
        <v>15.91668073805454</v>
      </c>
      <c r="V140" s="239">
        <f>+Q140+S140+T140</f>
        <v>15.91668073805454</v>
      </c>
    </row>
    <row r="141" spans="1:22" ht="13.8" thickBot="1" x14ac:dyDescent="0.3">
      <c r="A141" s="245" t="s">
        <v>178</v>
      </c>
      <c r="B141" s="228">
        <f t="shared" ref="B141:B143" si="77">+R141</f>
        <v>0.15</v>
      </c>
      <c r="C141" s="284">
        <f t="shared" ref="C141:C143" si="78">+U141</f>
        <v>18.196680738054539</v>
      </c>
      <c r="D141" s="284">
        <f t="shared" ref="D141:D143" si="79">+V141</f>
        <v>18.666680738054538</v>
      </c>
      <c r="E141" s="285">
        <f t="shared" ref="E141:E143" si="80">+D141-C141</f>
        <v>0.46999999999999886</v>
      </c>
      <c r="F141" s="418">
        <f t="shared" ref="F141:F143" si="81">+E141/D141</f>
        <v>2.5178552448365428E-2</v>
      </c>
      <c r="G141" s="285">
        <f t="shared" ref="G141:G143" si="82">+S141</f>
        <v>-0.21521856286524921</v>
      </c>
      <c r="H141" s="285">
        <f t="shared" ref="H141:H143" si="83">+T141</f>
        <v>2.3218993009197884</v>
      </c>
      <c r="I141" s="285">
        <f t="shared" ref="I141:I143" si="84">+C141+G141+H141</f>
        <v>20.303361476109078</v>
      </c>
      <c r="J141" s="285">
        <f t="shared" ref="J141:J143" si="85">+D141+G141+H141</f>
        <v>20.773361476109077</v>
      </c>
      <c r="K141" s="418">
        <f t="shared" ref="K141:K143" si="86">(J141-I141)/I141</f>
        <v>2.3148876138222078E-2</v>
      </c>
      <c r="N141" s="89">
        <v>471</v>
      </c>
      <c r="O141" s="276" t="s">
        <v>178</v>
      </c>
      <c r="P141" s="241">
        <f>+INPUT!Z80</f>
        <v>16.09</v>
      </c>
      <c r="Q141" s="241">
        <f>+INPUT!AA80</f>
        <v>16.559999999999999</v>
      </c>
      <c r="R141" s="243">
        <f>+INPUT!AB80</f>
        <v>0.15</v>
      </c>
      <c r="S141" s="238">
        <f>($R141*INPUT!$O$55)*INPUT!$G$58</f>
        <v>-0.21521856286524921</v>
      </c>
      <c r="T141" s="238">
        <f>($R141*INPUT!$O$55)*INPUT!$I$58</f>
        <v>2.3218993009197884</v>
      </c>
      <c r="U141" s="239">
        <f t="shared" ref="U141:U143" si="87">+P141+S141+T141</f>
        <v>18.196680738054539</v>
      </c>
      <c r="V141" s="239">
        <f t="shared" ref="V141:V143" si="88">+Q141+S141+T141</f>
        <v>18.666680738054538</v>
      </c>
    </row>
    <row r="142" spans="1:22" ht="13.8" thickBot="1" x14ac:dyDescent="0.3">
      <c r="A142" s="245" t="s">
        <v>179</v>
      </c>
      <c r="B142" s="228">
        <f t="shared" si="77"/>
        <v>0.35</v>
      </c>
      <c r="C142" s="284">
        <f t="shared" si="78"/>
        <v>27.095588388793924</v>
      </c>
      <c r="D142" s="284">
        <f t="shared" si="79"/>
        <v>27.095588388793924</v>
      </c>
      <c r="E142" s="285">
        <f t="shared" si="80"/>
        <v>0</v>
      </c>
      <c r="F142" s="418">
        <f t="shared" si="81"/>
        <v>0</v>
      </c>
      <c r="G142" s="285">
        <f t="shared" si="82"/>
        <v>-0.50217664668558148</v>
      </c>
      <c r="H142" s="285">
        <f t="shared" si="83"/>
        <v>5.4177650354795057</v>
      </c>
      <c r="I142" s="285">
        <f t="shared" si="84"/>
        <v>32.011176777587849</v>
      </c>
      <c r="J142" s="285">
        <f t="shared" si="85"/>
        <v>32.011176777587849</v>
      </c>
      <c r="K142" s="418">
        <f t="shared" si="86"/>
        <v>0</v>
      </c>
      <c r="N142" s="89">
        <v>474</v>
      </c>
      <c r="O142" s="277" t="s">
        <v>179</v>
      </c>
      <c r="P142" s="241">
        <f>+INPUT!Z81</f>
        <v>22.18</v>
      </c>
      <c r="Q142" s="241">
        <f>+INPUT!AA81</f>
        <v>22.18</v>
      </c>
      <c r="R142" s="243">
        <f>+INPUT!AB81</f>
        <v>0.35</v>
      </c>
      <c r="S142" s="238">
        <f>($R142*INPUT!$O$55)*INPUT!$G$58</f>
        <v>-0.50217664668558148</v>
      </c>
      <c r="T142" s="238">
        <f>($R142*INPUT!$O$55)*INPUT!$I$58</f>
        <v>5.4177650354795057</v>
      </c>
      <c r="U142" s="239">
        <f t="shared" si="87"/>
        <v>27.095588388793924</v>
      </c>
      <c r="V142" s="239">
        <f t="shared" si="88"/>
        <v>27.095588388793924</v>
      </c>
    </row>
    <row r="143" spans="1:22" x14ac:dyDescent="0.25">
      <c r="A143" s="245" t="s">
        <v>180</v>
      </c>
      <c r="B143" s="228">
        <f t="shared" si="77"/>
        <v>0.35</v>
      </c>
      <c r="C143" s="284">
        <f t="shared" si="78"/>
        <v>34.555588388793929</v>
      </c>
      <c r="D143" s="284">
        <f t="shared" si="79"/>
        <v>34.555588388793929</v>
      </c>
      <c r="E143" s="285">
        <f t="shared" si="80"/>
        <v>0</v>
      </c>
      <c r="F143" s="418">
        <f t="shared" si="81"/>
        <v>0</v>
      </c>
      <c r="G143" s="285">
        <f t="shared" si="82"/>
        <v>-0.50217664668558148</v>
      </c>
      <c r="H143" s="285">
        <f t="shared" si="83"/>
        <v>5.4177650354795057</v>
      </c>
      <c r="I143" s="285">
        <f t="shared" si="84"/>
        <v>39.47117677758785</v>
      </c>
      <c r="J143" s="285">
        <f t="shared" si="85"/>
        <v>39.47117677758785</v>
      </c>
      <c r="K143" s="418">
        <f t="shared" si="86"/>
        <v>0</v>
      </c>
      <c r="N143" s="89">
        <v>475</v>
      </c>
      <c r="O143" s="277" t="s">
        <v>180</v>
      </c>
      <c r="P143" s="241">
        <f>+INPUT!Z82</f>
        <v>29.64</v>
      </c>
      <c r="Q143" s="241">
        <f>+INPUT!AA82</f>
        <v>29.64</v>
      </c>
      <c r="R143" s="243">
        <f>+INPUT!AB82</f>
        <v>0.35</v>
      </c>
      <c r="S143" s="238">
        <f>($R143*INPUT!$O$55)*INPUT!$G$58</f>
        <v>-0.50217664668558148</v>
      </c>
      <c r="T143" s="238">
        <f>($R143*INPUT!$O$55)*INPUT!$I$58</f>
        <v>5.4177650354795057</v>
      </c>
      <c r="U143" s="239">
        <f t="shared" si="87"/>
        <v>34.555588388793929</v>
      </c>
      <c r="V143" s="239">
        <f t="shared" si="88"/>
        <v>34.555588388793929</v>
      </c>
    </row>
    <row r="144" spans="1:22" ht="13.8" thickBot="1" x14ac:dyDescent="0.3">
      <c r="A144" s="245" t="s">
        <v>428</v>
      </c>
      <c r="B144" s="228">
        <f>+R144</f>
        <v>1.08</v>
      </c>
      <c r="C144" s="284">
        <f>+U144</f>
        <v>57.208101313992685</v>
      </c>
      <c r="D144" s="284">
        <f>+V144</f>
        <v>57.208101313992685</v>
      </c>
      <c r="E144" s="285">
        <f>+D144-C144</f>
        <v>0</v>
      </c>
      <c r="F144" s="418">
        <f>+E144/D144</f>
        <v>0</v>
      </c>
      <c r="G144" s="285">
        <f>+S144</f>
        <v>-1.5495736526297945</v>
      </c>
      <c r="H144" s="285">
        <f>+T144</f>
        <v>16.717674966622479</v>
      </c>
      <c r="I144" s="285">
        <f>+C144+G144+H144</f>
        <v>72.376202627985364</v>
      </c>
      <c r="J144" s="285">
        <f>+D144+G144+H144</f>
        <v>72.376202627985364</v>
      </c>
      <c r="K144" s="418">
        <f>(J144-I144)/I144</f>
        <v>0</v>
      </c>
      <c r="N144" s="89">
        <v>476</v>
      </c>
      <c r="O144" s="251" t="s">
        <v>144</v>
      </c>
      <c r="P144" s="241">
        <f>+INPUT!Z19</f>
        <v>42.04</v>
      </c>
      <c r="Q144" s="242">
        <f>+INPUT!AA19</f>
        <v>42.04</v>
      </c>
      <c r="R144" s="243">
        <f>+INPUT!AB19</f>
        <v>1.08</v>
      </c>
      <c r="S144" s="238">
        <f>($R144*INPUT!$O$55)*INPUT!$G$58</f>
        <v>-1.5495736526297945</v>
      </c>
      <c r="T144" s="238">
        <f>($R144*INPUT!$O$55)*INPUT!$I$58</f>
        <v>16.717674966622479</v>
      </c>
      <c r="U144" s="239">
        <f>+P144+S144+T144</f>
        <v>57.208101313992685</v>
      </c>
      <c r="V144" s="239">
        <f>+Q144+S144+T144</f>
        <v>57.208101313992685</v>
      </c>
    </row>
    <row r="145" spans="1:22" ht="13.8" thickBot="1" x14ac:dyDescent="0.3">
      <c r="A145" s="310" t="s">
        <v>362</v>
      </c>
      <c r="B145" s="228">
        <f t="shared" ref="B145" si="89">+R145</f>
        <v>1.08</v>
      </c>
      <c r="C145" s="284">
        <f>+U145</f>
        <v>60.398101313992683</v>
      </c>
      <c r="D145" s="284">
        <f>+V145</f>
        <v>60.398101313992683</v>
      </c>
      <c r="E145" s="285">
        <f>+D145-C145</f>
        <v>0</v>
      </c>
      <c r="F145" s="418">
        <f>+E145/D145</f>
        <v>0</v>
      </c>
      <c r="G145" s="285">
        <f>+S145</f>
        <v>-1.5495736526297945</v>
      </c>
      <c r="H145" s="285">
        <f>+T145</f>
        <v>16.717674966622479</v>
      </c>
      <c r="I145" s="285">
        <f>+C145+G145+H145</f>
        <v>75.566202627985362</v>
      </c>
      <c r="J145" s="285">
        <f>+D145+G145+H145</f>
        <v>75.566202627985362</v>
      </c>
      <c r="K145" s="418">
        <f>(J145-I145)/I145</f>
        <v>0</v>
      </c>
      <c r="N145" s="89">
        <v>477</v>
      </c>
      <c r="O145" s="299"/>
      <c r="P145" s="241">
        <f>+INPUT!Z84</f>
        <v>45.23</v>
      </c>
      <c r="Q145" s="241">
        <f>+INPUT!AA84</f>
        <v>45.23</v>
      </c>
      <c r="R145" s="243">
        <f>+INPUT!AB84</f>
        <v>1.08</v>
      </c>
      <c r="S145" s="238">
        <f>($R145*INPUT!$O$55)*INPUT!$G$58</f>
        <v>-1.5495736526297945</v>
      </c>
      <c r="T145" s="238">
        <f>($R145*INPUT!$O$55)*INPUT!$I$58</f>
        <v>16.717674966622479</v>
      </c>
      <c r="U145" s="239">
        <f t="shared" ref="U145" si="90">+P145+S145+T145</f>
        <v>60.398101313992683</v>
      </c>
      <c r="V145" s="239">
        <f t="shared" ref="V145" si="91">+Q145+S145+T145</f>
        <v>60.398101313992683</v>
      </c>
    </row>
    <row r="146" spans="1:22" ht="10.5" customHeight="1" thickBot="1" x14ac:dyDescent="0.3">
      <c r="A146" s="245"/>
      <c r="B146" s="262"/>
      <c r="C146" s="284"/>
      <c r="D146" s="285"/>
      <c r="E146" s="285"/>
      <c r="F146" s="236"/>
      <c r="G146" s="285"/>
      <c r="H146" s="285"/>
      <c r="I146" s="285"/>
      <c r="J146" s="285"/>
      <c r="K146" s="237"/>
      <c r="N146" s="89" t="s">
        <v>145</v>
      </c>
      <c r="O146" s="273"/>
      <c r="P146" s="241"/>
      <c r="Q146" s="241"/>
      <c r="R146" s="243"/>
      <c r="S146" s="238"/>
      <c r="T146" s="238"/>
      <c r="U146" s="239"/>
      <c r="V146" s="239"/>
    </row>
    <row r="147" spans="1:22" x14ac:dyDescent="0.25">
      <c r="A147" s="214" t="s">
        <v>336</v>
      </c>
    </row>
    <row r="148" spans="1:22" x14ac:dyDescent="0.25">
      <c r="A148" s="210" t="s">
        <v>351</v>
      </c>
    </row>
    <row r="149" spans="1:22" x14ac:dyDescent="0.25">
      <c r="A149" s="210" t="str">
        <f>+'Rate Case Constants'!$C$26</f>
        <v>Calculations may vary from other schedules due to rounding</v>
      </c>
    </row>
    <row r="150" spans="1:22" x14ac:dyDescent="0.25">
      <c r="A150" s="210" t="s">
        <v>422</v>
      </c>
    </row>
    <row r="152" spans="1:22" ht="15" customHeight="1" x14ac:dyDescent="0.25">
      <c r="A152" s="452" t="str">
        <f>+A1</f>
        <v>LOUISVILLE GAS AND ELECTRIC COMPANY</v>
      </c>
      <c r="B152" s="452"/>
      <c r="C152" s="452"/>
      <c r="D152" s="452"/>
      <c r="E152" s="452"/>
      <c r="F152" s="452"/>
      <c r="G152" s="452"/>
      <c r="H152" s="452"/>
      <c r="I152" s="452"/>
      <c r="J152" s="452"/>
      <c r="K152" s="452"/>
      <c r="O152" s="276"/>
      <c r="P152" s="241"/>
      <c r="Q152" s="241"/>
      <c r="R152" s="243"/>
      <c r="S152" s="238"/>
      <c r="T152" s="238"/>
      <c r="U152" s="239"/>
      <c r="V152" s="239"/>
    </row>
    <row r="153" spans="1:22" ht="15" customHeight="1" x14ac:dyDescent="0.25">
      <c r="A153" s="452" t="str">
        <f>+A2</f>
        <v>CASE NO. 2016-00371</v>
      </c>
      <c r="B153" s="452"/>
      <c r="C153" s="452"/>
      <c r="D153" s="452"/>
      <c r="E153" s="452"/>
      <c r="F153" s="452"/>
      <c r="G153" s="452"/>
      <c r="H153" s="452"/>
      <c r="I153" s="452"/>
      <c r="J153" s="452"/>
      <c r="K153" s="452"/>
      <c r="O153" s="276"/>
      <c r="P153" s="241"/>
      <c r="Q153" s="241"/>
      <c r="R153" s="243"/>
      <c r="S153" s="238"/>
      <c r="T153" s="238"/>
      <c r="U153" s="239"/>
      <c r="V153" s="239"/>
    </row>
    <row r="154" spans="1:22" ht="15" customHeight="1" x14ac:dyDescent="0.25">
      <c r="A154" s="452" t="str">
        <f>+A3</f>
        <v>Typical Electric Bill Comparison under Present &amp; Proposed Rates</v>
      </c>
      <c r="B154" s="452"/>
      <c r="C154" s="452"/>
      <c r="D154" s="452"/>
      <c r="E154" s="452"/>
      <c r="F154" s="452"/>
      <c r="G154" s="452"/>
      <c r="H154" s="452"/>
      <c r="I154" s="452"/>
      <c r="J154" s="452"/>
      <c r="K154" s="452"/>
      <c r="O154" s="276"/>
      <c r="P154" s="241"/>
      <c r="Q154" s="241"/>
      <c r="R154" s="243"/>
      <c r="S154" s="238"/>
      <c r="T154" s="238"/>
      <c r="U154" s="239"/>
      <c r="V154" s="239"/>
    </row>
    <row r="155" spans="1:22" ht="15" customHeight="1" x14ac:dyDescent="0.25">
      <c r="A155" s="452" t="str">
        <f>+A4</f>
        <v>FORECAST PERIOD FOR THE 12 MONTHS ENDED JUNE 30, 2018</v>
      </c>
      <c r="B155" s="452"/>
      <c r="C155" s="452"/>
      <c r="D155" s="452"/>
      <c r="E155" s="452"/>
      <c r="F155" s="452"/>
      <c r="G155" s="452"/>
      <c r="H155" s="452"/>
      <c r="I155" s="452"/>
      <c r="J155" s="452"/>
      <c r="K155" s="452"/>
      <c r="O155" s="276"/>
      <c r="P155" s="241"/>
      <c r="Q155" s="241"/>
      <c r="R155" s="243"/>
      <c r="S155" s="238"/>
      <c r="T155" s="238"/>
      <c r="U155" s="239"/>
      <c r="V155" s="239"/>
    </row>
    <row r="156" spans="1:22" ht="15" customHeight="1" x14ac:dyDescent="0.25">
      <c r="A156" s="229"/>
      <c r="B156" s="265"/>
      <c r="C156" s="372"/>
      <c r="D156" s="395"/>
      <c r="E156" s="395"/>
      <c r="F156" s="395"/>
      <c r="G156" s="396"/>
      <c r="H156" s="399"/>
      <c r="I156" s="399"/>
      <c r="J156" s="399"/>
      <c r="K156" s="396"/>
      <c r="O156" s="276"/>
      <c r="P156" s="241"/>
      <c r="Q156" s="241"/>
      <c r="R156" s="243"/>
      <c r="S156" s="238"/>
      <c r="T156" s="238"/>
      <c r="U156" s="239"/>
      <c r="V156" s="239"/>
    </row>
    <row r="157" spans="1:22" ht="15" customHeight="1" x14ac:dyDescent="0.25">
      <c r="A157" s="229" t="str">
        <f>+A6</f>
        <v>DATA: ____BASE PERIOD__X___FORECASTED PERIOD</v>
      </c>
      <c r="B157" s="229"/>
      <c r="C157" s="372"/>
      <c r="D157" s="395"/>
      <c r="E157" s="395"/>
      <c r="F157" s="395"/>
      <c r="G157" s="396"/>
      <c r="H157" s="399"/>
      <c r="I157" s="399"/>
      <c r="J157" s="399"/>
      <c r="K157" s="398" t="str">
        <f>+K6</f>
        <v>SCHEDULE N (Electric)</v>
      </c>
      <c r="O157" s="276"/>
      <c r="P157" s="241"/>
      <c r="Q157" s="241"/>
      <c r="R157" s="243"/>
      <c r="S157" s="238"/>
      <c r="T157" s="238"/>
      <c r="U157" s="239"/>
      <c r="V157" s="239"/>
    </row>
    <row r="158" spans="1:22" ht="15" customHeight="1" x14ac:dyDescent="0.25">
      <c r="A158" s="229" t="str">
        <f>+A7</f>
        <v>TYPE OF FILING: __X__ ORIGINAL  _____ UPDATED  _____ REVISED</v>
      </c>
      <c r="B158" s="229"/>
      <c r="C158" s="372"/>
      <c r="D158" s="395"/>
      <c r="E158" s="395"/>
      <c r="F158" s="395"/>
      <c r="G158" s="396"/>
      <c r="H158" s="399"/>
      <c r="I158" s="399"/>
      <c r="J158" s="399"/>
      <c r="K158" s="398" t="str">
        <f>+'Rate Case Constants'!L24</f>
        <v>PAGE 17 of 21</v>
      </c>
      <c r="O158" s="276"/>
      <c r="P158" s="241"/>
      <c r="Q158" s="241"/>
      <c r="R158" s="243"/>
      <c r="S158" s="238"/>
      <c r="T158" s="238"/>
      <c r="U158" s="239"/>
      <c r="V158" s="239"/>
    </row>
    <row r="159" spans="1:22" ht="15" customHeight="1" x14ac:dyDescent="0.25">
      <c r="A159" s="229" t="str">
        <f>+A8</f>
        <v>WORKPAPER REFERENCE NO(S):________</v>
      </c>
      <c r="B159" s="229"/>
      <c r="C159" s="372"/>
      <c r="D159" s="395"/>
      <c r="E159" s="395"/>
      <c r="F159" s="395"/>
      <c r="G159" s="396"/>
      <c r="H159" s="399"/>
      <c r="I159" s="399"/>
      <c r="J159" s="399"/>
      <c r="K159" s="398" t="str">
        <f>+K8</f>
        <v>WITNESS:   C. M. GARRETT</v>
      </c>
      <c r="O159" s="276"/>
      <c r="P159" s="241"/>
      <c r="Q159" s="241"/>
      <c r="R159" s="243"/>
      <c r="S159" s="238"/>
      <c r="T159" s="238"/>
      <c r="U159" s="239"/>
      <c r="V159" s="239"/>
    </row>
    <row r="160" spans="1:22" ht="12.75" customHeight="1" x14ac:dyDescent="0.25">
      <c r="A160" s="229"/>
      <c r="B160" s="229"/>
      <c r="C160" s="372"/>
      <c r="D160" s="395"/>
      <c r="E160" s="395"/>
      <c r="F160" s="395"/>
      <c r="G160" s="396"/>
      <c r="H160" s="399"/>
      <c r="I160" s="399"/>
      <c r="J160" s="399"/>
      <c r="K160" s="396"/>
      <c r="O160" s="276"/>
      <c r="P160" s="241"/>
      <c r="Q160" s="241"/>
      <c r="R160" s="243"/>
      <c r="S160" s="238"/>
      <c r="T160" s="238"/>
      <c r="U160" s="239"/>
      <c r="V160" s="239"/>
    </row>
    <row r="161" spans="1:22" ht="12.75" customHeight="1" x14ac:dyDescent="0.25">
      <c r="A161" s="312" t="s">
        <v>95</v>
      </c>
      <c r="B161" s="3" t="s">
        <v>326</v>
      </c>
      <c r="C161" s="26" t="s">
        <v>327</v>
      </c>
      <c r="D161" s="26" t="s">
        <v>328</v>
      </c>
      <c r="E161" s="3" t="s">
        <v>329</v>
      </c>
      <c r="F161" s="3" t="s">
        <v>330</v>
      </c>
      <c r="G161" s="26" t="s">
        <v>331</v>
      </c>
      <c r="H161" s="3" t="s">
        <v>332</v>
      </c>
      <c r="I161" s="3" t="s">
        <v>333</v>
      </c>
      <c r="J161" s="3" t="s">
        <v>334</v>
      </c>
      <c r="K161" s="3" t="s">
        <v>335</v>
      </c>
      <c r="O161" s="276"/>
      <c r="P161" s="241"/>
      <c r="Q161" s="241"/>
      <c r="R161" s="243"/>
      <c r="S161" s="238"/>
      <c r="T161" s="238"/>
      <c r="U161" s="239"/>
      <c r="V161" s="239"/>
    </row>
    <row r="162" spans="1:22" ht="12.75" customHeight="1" x14ac:dyDescent="0.25">
      <c r="A162" s="259"/>
      <c r="B162" s="42"/>
      <c r="C162" s="313" t="s">
        <v>366</v>
      </c>
      <c r="D162" s="313" t="s">
        <v>366</v>
      </c>
      <c r="E162"/>
      <c r="F162"/>
      <c r="G162" s="30"/>
      <c r="H162" s="30"/>
      <c r="I162" s="3" t="s">
        <v>5</v>
      </c>
      <c r="J162" s="3" t="s">
        <v>5</v>
      </c>
      <c r="K162"/>
      <c r="O162" s="276"/>
      <c r="P162" s="241"/>
      <c r="Q162" s="241"/>
      <c r="R162" s="243"/>
      <c r="S162" s="238"/>
      <c r="T162" s="238"/>
      <c r="U162" s="239"/>
      <c r="V162" s="239"/>
    </row>
    <row r="163" spans="1:22" ht="12.75" customHeight="1" x14ac:dyDescent="0.25">
      <c r="A163" s="259"/>
      <c r="B163" s="3" t="s">
        <v>350</v>
      </c>
      <c r="C163" s="3" t="s">
        <v>1</v>
      </c>
      <c r="D163" s="3" t="s">
        <v>74</v>
      </c>
      <c r="E163" s="3"/>
      <c r="F163" s="3"/>
      <c r="G163" s="451" t="s">
        <v>130</v>
      </c>
      <c r="H163" s="451"/>
      <c r="I163" s="3" t="s">
        <v>1</v>
      </c>
      <c r="J163" s="3" t="s">
        <v>74</v>
      </c>
      <c r="K163" s="3"/>
      <c r="O163" s="276"/>
      <c r="P163" s="241"/>
      <c r="Q163" s="241"/>
      <c r="R163" s="243"/>
      <c r="S163" s="238"/>
      <c r="T163" s="238"/>
      <c r="U163" s="239"/>
      <c r="V163" s="239"/>
    </row>
    <row r="164" spans="1:22" ht="12.75" customHeight="1" x14ac:dyDescent="0.25">
      <c r="A164" s="259"/>
      <c r="B164" s="3" t="s">
        <v>20</v>
      </c>
      <c r="C164" s="3" t="s">
        <v>4</v>
      </c>
      <c r="D164" s="3" t="s">
        <v>4</v>
      </c>
      <c r="E164" s="3" t="s">
        <v>75</v>
      </c>
      <c r="F164" s="3" t="s">
        <v>75</v>
      </c>
      <c r="G164" s="202" t="s">
        <v>421</v>
      </c>
      <c r="H164" s="52" t="s">
        <v>72</v>
      </c>
      <c r="I164" s="3" t="s">
        <v>4</v>
      </c>
      <c r="J164" s="3" t="s">
        <v>4</v>
      </c>
      <c r="K164" s="3" t="s">
        <v>75</v>
      </c>
      <c r="O164" s="276"/>
      <c r="P164" s="241"/>
      <c r="Q164" s="241"/>
      <c r="R164" s="243"/>
      <c r="S164" s="238"/>
      <c r="T164" s="238"/>
      <c r="U164" s="239"/>
      <c r="V164" s="239"/>
    </row>
    <row r="165" spans="1:22" ht="12.75" customHeight="1" x14ac:dyDescent="0.25">
      <c r="A165" s="259"/>
      <c r="B165" s="42"/>
      <c r="C165" s="3"/>
      <c r="D165" s="3"/>
      <c r="E165" s="3" t="s">
        <v>69</v>
      </c>
      <c r="F165" s="26" t="s">
        <v>70</v>
      </c>
      <c r="G165" s="51"/>
      <c r="H165" s="53"/>
      <c r="I165" s="3" t="s">
        <v>69</v>
      </c>
      <c r="J165" s="3" t="s">
        <v>69</v>
      </c>
      <c r="K165" s="26" t="s">
        <v>70</v>
      </c>
      <c r="O165" s="276"/>
      <c r="P165" s="241"/>
      <c r="Q165" s="241"/>
      <c r="R165" s="243"/>
      <c r="S165" s="238"/>
      <c r="T165" s="238"/>
      <c r="U165" s="239"/>
      <c r="V165" s="239"/>
    </row>
    <row r="166" spans="1:22" ht="12.75" customHeight="1" x14ac:dyDescent="0.25">
      <c r="A166" s="354"/>
      <c r="B166" s="338"/>
      <c r="C166" s="370"/>
      <c r="D166" s="370"/>
      <c r="E166" s="370" t="str">
        <f>("[ "&amp;D161&amp;" - "&amp;C161&amp;" ]")</f>
        <v>[ C - B ]</v>
      </c>
      <c r="F166" s="370" t="str">
        <f>("[ "&amp;E161&amp;" / "&amp;C161&amp;" ]")</f>
        <v>[ D / B ]</v>
      </c>
      <c r="G166" s="353"/>
      <c r="H166" s="353"/>
      <c r="I166" s="370" t="str">
        <f>("["&amp;C161&amp;"+"&amp;$G$10&amp;"+"&amp;$H$10&amp;"]")</f>
        <v>[B+F+G]</v>
      </c>
      <c r="J166" s="370" t="str">
        <f>("["&amp;D161&amp;"+"&amp;$G$10&amp;"+"&amp;$H$10&amp;"]")</f>
        <v>[C+F+G]</v>
      </c>
      <c r="K166" s="370" t="str">
        <f>("[("&amp;J161&amp;" - "&amp;I161&amp;")"&amp;I161&amp;"]")</f>
        <v>[(I - H)H]</v>
      </c>
      <c r="O166" s="276"/>
      <c r="P166" s="241"/>
      <c r="Q166" s="241"/>
      <c r="R166" s="243"/>
      <c r="S166" s="238"/>
      <c r="T166" s="238"/>
      <c r="U166" s="239"/>
      <c r="V166" s="239"/>
    </row>
    <row r="167" spans="1:22" ht="13.8" thickBot="1" x14ac:dyDescent="0.3">
      <c r="A167" s="229" t="s">
        <v>90</v>
      </c>
      <c r="B167" s="265"/>
      <c r="C167" s="284"/>
      <c r="D167" s="285"/>
      <c r="E167" s="285"/>
      <c r="F167" s="236"/>
      <c r="G167" s="285"/>
      <c r="H167" s="285"/>
      <c r="I167" s="285"/>
      <c r="J167" s="285"/>
      <c r="K167" s="237"/>
      <c r="O167" s="278" t="s">
        <v>90</v>
      </c>
      <c r="P167" s="241"/>
      <c r="Q167" s="241"/>
      <c r="R167" s="243"/>
      <c r="S167" s="238">
        <f>($R167*INPUT!$O$55)*INPUT!$G$58</f>
        <v>0</v>
      </c>
      <c r="T167" s="238">
        <f>($R167*INPUT!$O$55)*INPUT!$I$58</f>
        <v>0</v>
      </c>
      <c r="U167" s="239">
        <f>+P167+S167+T167</f>
        <v>0</v>
      </c>
      <c r="V167" s="239">
        <f>+Q167+S167+T167</f>
        <v>0</v>
      </c>
    </row>
    <row r="168" spans="1:22" ht="13.8" thickBot="1" x14ac:dyDescent="0.3">
      <c r="A168" s="233" t="s">
        <v>91</v>
      </c>
      <c r="B168" s="274"/>
      <c r="C168" s="284"/>
      <c r="D168" s="285"/>
      <c r="E168" s="285"/>
      <c r="F168" s="236"/>
      <c r="G168" s="285"/>
      <c r="H168" s="285"/>
      <c r="I168" s="285"/>
      <c r="J168" s="285"/>
      <c r="K168" s="237"/>
      <c r="O168" s="275" t="s">
        <v>91</v>
      </c>
      <c r="P168" s="241"/>
      <c r="Q168" s="241"/>
      <c r="R168" s="243"/>
      <c r="S168" s="238">
        <f>($R168*INPUT!$O$55)*INPUT!$G$58</f>
        <v>0</v>
      </c>
      <c r="T168" s="238">
        <f>($R168*INPUT!$O$55)*INPUT!$I$58</f>
        <v>0</v>
      </c>
      <c r="U168" s="239">
        <f>+P168+S168+T168</f>
        <v>0</v>
      </c>
      <c r="V168" s="239">
        <f>+Q168+S168+T168</f>
        <v>0</v>
      </c>
    </row>
    <row r="169" spans="1:22" x14ac:dyDescent="0.25">
      <c r="A169" s="245" t="s">
        <v>182</v>
      </c>
      <c r="B169" s="262"/>
      <c r="C169" s="284"/>
      <c r="D169" s="285"/>
      <c r="E169" s="285"/>
      <c r="F169" s="236"/>
      <c r="G169" s="286"/>
      <c r="H169" s="286"/>
      <c r="I169" s="286"/>
      <c r="J169" s="286"/>
      <c r="K169" s="237"/>
      <c r="N169" s="89">
        <v>275</v>
      </c>
      <c r="O169" s="276" t="s">
        <v>182</v>
      </c>
      <c r="P169" s="241"/>
      <c r="Q169" s="241"/>
      <c r="R169" s="243"/>
      <c r="S169" s="238"/>
      <c r="T169" s="238"/>
      <c r="U169" s="239"/>
      <c r="V169" s="239"/>
    </row>
    <row r="170" spans="1:22" ht="16.5" customHeight="1" thickBot="1" x14ac:dyDescent="0.3">
      <c r="A170" s="245" t="s">
        <v>183</v>
      </c>
      <c r="B170" s="228">
        <f t="shared" ref="B170" si="92">+R170</f>
        <v>0.18099999999999999</v>
      </c>
      <c r="C170" s="284">
        <f>+U170</f>
        <v>28.402061423919143</v>
      </c>
      <c r="D170" s="284">
        <f>+V170</f>
        <v>36.162061423919141</v>
      </c>
      <c r="E170" s="285">
        <f>+D170-C170</f>
        <v>7.759999999999998</v>
      </c>
      <c r="F170" s="418">
        <f>+E170/D170</f>
        <v>0.21458953650433216</v>
      </c>
      <c r="G170" s="286">
        <f>+S170</f>
        <v>-0.25969706585740071</v>
      </c>
      <c r="H170" s="286">
        <f>+T170</f>
        <v>2.8017584897765446</v>
      </c>
      <c r="I170" s="286">
        <f>+C170+G170+H170</f>
        <v>30.944122847838287</v>
      </c>
      <c r="J170" s="286">
        <f>+D170+G170+H170</f>
        <v>38.704122847838285</v>
      </c>
      <c r="K170" s="418">
        <f>(J170-I170)/I170</f>
        <v>0.25077459904610289</v>
      </c>
      <c r="N170" s="89">
        <v>275</v>
      </c>
      <c r="O170" s="276" t="s">
        <v>183</v>
      </c>
      <c r="P170" s="241">
        <f>+INPUT!Z89</f>
        <v>25.86</v>
      </c>
      <c r="Q170" s="241">
        <f>+INPUT!AA89</f>
        <v>33.619999999999997</v>
      </c>
      <c r="R170" s="243">
        <f>+INPUT!AB89</f>
        <v>0.18099999999999999</v>
      </c>
      <c r="S170" s="238">
        <f>($R170*INPUT!$O$55)*INPUT!$G$58</f>
        <v>-0.25969706585740071</v>
      </c>
      <c r="T170" s="238">
        <f>($R170*INPUT!$O$55)*INPUT!$I$58</f>
        <v>2.8017584897765446</v>
      </c>
      <c r="U170" s="239">
        <f>+P170+S170+T170</f>
        <v>28.402061423919143</v>
      </c>
      <c r="V170" s="239">
        <f>+Q170+S170+T170</f>
        <v>36.162061423919141</v>
      </c>
    </row>
    <row r="171" spans="1:22" x14ac:dyDescent="0.25">
      <c r="A171" s="245" t="s">
        <v>184</v>
      </c>
      <c r="B171" s="262"/>
      <c r="C171" s="284"/>
      <c r="D171" s="285"/>
      <c r="E171" s="285"/>
      <c r="F171" s="215"/>
      <c r="G171" s="285"/>
      <c r="H171" s="285"/>
      <c r="I171" s="285"/>
      <c r="J171" s="285"/>
      <c r="K171" s="418"/>
      <c r="N171" s="89">
        <v>266</v>
      </c>
      <c r="O171" s="277" t="s">
        <v>184</v>
      </c>
      <c r="P171" s="241"/>
      <c r="Q171" s="241"/>
      <c r="R171" s="243"/>
      <c r="S171" s="238"/>
      <c r="T171" s="238"/>
    </row>
    <row r="172" spans="1:22" ht="15.75" customHeight="1" thickBot="1" x14ac:dyDescent="0.3">
      <c r="A172" s="245" t="s">
        <v>183</v>
      </c>
      <c r="B172" s="228">
        <f t="shared" ref="B172" si="93">+R172</f>
        <v>0.29399999999999998</v>
      </c>
      <c r="C172" s="284">
        <f>+U172</f>
        <v>32.5690942465869</v>
      </c>
      <c r="D172" s="284">
        <f>+V172</f>
        <v>41.099094246586894</v>
      </c>
      <c r="E172" s="285">
        <f>+D172-C172</f>
        <v>8.529999999999994</v>
      </c>
      <c r="F172" s="418">
        <f>+E172/D172</f>
        <v>0.20754715295723031</v>
      </c>
      <c r="G172" s="285">
        <f>+S172</f>
        <v>-0.42182838321588845</v>
      </c>
      <c r="H172" s="285">
        <f>+T172</f>
        <v>4.5509226298027849</v>
      </c>
      <c r="I172" s="285">
        <f>+C172+G172+H172</f>
        <v>36.698188493173795</v>
      </c>
      <c r="J172" s="285">
        <f>+D172+G172+H172</f>
        <v>45.228188493173789</v>
      </c>
      <c r="K172" s="418">
        <f>(J172-I172)/I172</f>
        <v>0.23243654115479442</v>
      </c>
      <c r="N172" s="89">
        <v>266</v>
      </c>
      <c r="O172" s="276" t="s">
        <v>183</v>
      </c>
      <c r="P172" s="241">
        <f>+INPUT!Z91</f>
        <v>28.44</v>
      </c>
      <c r="Q172" s="241">
        <f>+INPUT!AA91</f>
        <v>36.97</v>
      </c>
      <c r="R172" s="243">
        <f>+INPUT!AB91</f>
        <v>0.29399999999999998</v>
      </c>
      <c r="S172" s="238">
        <f>($R172*INPUT!$O$55)*INPUT!$G$58</f>
        <v>-0.42182838321588845</v>
      </c>
      <c r="T172" s="238">
        <f>($R172*INPUT!$O$55)*INPUT!$I$58</f>
        <v>4.5509226298027849</v>
      </c>
      <c r="U172" s="239">
        <f t="shared" ref="U172" si="94">+P172+S172+T172</f>
        <v>32.5690942465869</v>
      </c>
      <c r="V172" s="239">
        <f t="shared" ref="V172" si="95">+Q172+S172+T172</f>
        <v>41.099094246586894</v>
      </c>
    </row>
    <row r="173" spans="1:22" x14ac:dyDescent="0.25">
      <c r="A173" s="245" t="s">
        <v>185</v>
      </c>
      <c r="B173" s="262"/>
      <c r="C173" s="284"/>
      <c r="D173" s="285"/>
      <c r="E173" s="285"/>
      <c r="F173" s="423"/>
      <c r="G173" s="285"/>
      <c r="H173" s="285"/>
      <c r="I173" s="285"/>
      <c r="J173" s="285"/>
      <c r="K173" s="418"/>
      <c r="N173" s="89">
        <v>267</v>
      </c>
      <c r="O173" s="277" t="s">
        <v>185</v>
      </c>
      <c r="P173" s="241"/>
      <c r="Q173" s="241"/>
      <c r="R173" s="243"/>
      <c r="S173" s="238"/>
      <c r="T173" s="238"/>
      <c r="U173" s="239"/>
      <c r="V173" s="239"/>
    </row>
    <row r="174" spans="1:22" ht="16.5" customHeight="1" thickBot="1" x14ac:dyDescent="0.3">
      <c r="A174" s="245" t="s">
        <v>183</v>
      </c>
      <c r="B174" s="228">
        <f t="shared" ref="B174" si="96">+R174</f>
        <v>0.47099999999999997</v>
      </c>
      <c r="C174" s="284">
        <f>+U174</f>
        <v>39.254977517491255</v>
      </c>
      <c r="D174" s="284">
        <f>+V174</f>
        <v>49.044977517491255</v>
      </c>
      <c r="E174" s="285">
        <f>+D174-C174</f>
        <v>9.7899999999999991</v>
      </c>
      <c r="F174" s="418">
        <f>+E174/D174</f>
        <v>0.19961269217645217</v>
      </c>
      <c r="G174" s="285">
        <f>+S174</f>
        <v>-0.67578628739688251</v>
      </c>
      <c r="H174" s="285">
        <f>+T174</f>
        <v>7.2907638048881358</v>
      </c>
      <c r="I174" s="285">
        <f>+C174+G174+H174</f>
        <v>45.86995503498251</v>
      </c>
      <c r="J174" s="285">
        <f>+D174+G174+H174</f>
        <v>55.659955034982509</v>
      </c>
      <c r="K174" s="418">
        <f>(J174-I174)/I174</f>
        <v>0.21342946581337829</v>
      </c>
      <c r="N174" s="89">
        <v>267</v>
      </c>
      <c r="O174" s="276" t="s">
        <v>183</v>
      </c>
      <c r="P174" s="241">
        <f>+INPUT!Z93</f>
        <v>32.64</v>
      </c>
      <c r="Q174" s="241">
        <f>+INPUT!AA93</f>
        <v>42.43</v>
      </c>
      <c r="R174" s="243">
        <f>+INPUT!AB93</f>
        <v>0.47099999999999997</v>
      </c>
      <c r="S174" s="238">
        <f>($R174*INPUT!$O$55)*INPUT!$G$58</f>
        <v>-0.67578628739688251</v>
      </c>
      <c r="T174" s="238">
        <f>($R174*INPUT!$O$55)*INPUT!$I$58</f>
        <v>7.2907638048881358</v>
      </c>
      <c r="U174" s="239">
        <f t="shared" ref="U174:U176" si="97">+P174+S174+T174</f>
        <v>39.254977517491255</v>
      </c>
      <c r="V174" s="239">
        <f t="shared" ref="V174:V176" si="98">+Q174+S174+T174</f>
        <v>49.044977517491255</v>
      </c>
    </row>
    <row r="175" spans="1:22" x14ac:dyDescent="0.25">
      <c r="A175" s="245" t="s">
        <v>186</v>
      </c>
      <c r="B175" s="262"/>
      <c r="C175" s="284"/>
      <c r="D175" s="285"/>
      <c r="E175" s="285"/>
      <c r="F175" s="423"/>
      <c r="G175" s="285"/>
      <c r="H175" s="285"/>
      <c r="I175" s="285"/>
      <c r="J175" s="285"/>
      <c r="K175" s="418"/>
      <c r="N175" s="89">
        <v>276</v>
      </c>
      <c r="O175" s="277" t="s">
        <v>186</v>
      </c>
      <c r="P175" s="241"/>
      <c r="Q175" s="241"/>
      <c r="R175" s="243"/>
      <c r="S175" s="238">
        <f>($R175*INPUT!$O$55)*INPUT!$G$58</f>
        <v>0</v>
      </c>
      <c r="T175" s="238">
        <f>($R175*INPUT!$O$55)*INPUT!$I$58</f>
        <v>0</v>
      </c>
      <c r="U175" s="239">
        <f t="shared" si="97"/>
        <v>0</v>
      </c>
      <c r="V175" s="239">
        <f t="shared" si="98"/>
        <v>0</v>
      </c>
    </row>
    <row r="176" spans="1:22" ht="12.75" customHeight="1" x14ac:dyDescent="0.25">
      <c r="A176" s="245" t="s">
        <v>183</v>
      </c>
      <c r="B176" s="228">
        <f t="shared" ref="B176" si="99">+R176</f>
        <v>8.3000000000000004E-2</v>
      </c>
      <c r="C176" s="284">
        <f>+U176</f>
        <v>16.365696675056846</v>
      </c>
      <c r="D176" s="284">
        <f>+V176</f>
        <v>20.925696675056848</v>
      </c>
      <c r="E176" s="285">
        <f>+D176-C176</f>
        <v>4.5600000000000023</v>
      </c>
      <c r="F176" s="418">
        <f>+E176/D176</f>
        <v>0.21791389174800863</v>
      </c>
      <c r="G176" s="285">
        <f>+S176</f>
        <v>-0.11908760478543791</v>
      </c>
      <c r="H176" s="285">
        <f>+T176</f>
        <v>1.2847842798422828</v>
      </c>
      <c r="I176" s="285">
        <f>+C176+G176+H176</f>
        <v>17.531393350113689</v>
      </c>
      <c r="J176" s="285">
        <f>+D176+G176+H176</f>
        <v>22.091393350113691</v>
      </c>
      <c r="K176" s="418">
        <f>(J176-I176)/I176</f>
        <v>0.26010482503779037</v>
      </c>
      <c r="N176" s="89">
        <v>276</v>
      </c>
      <c r="O176" s="276" t="s">
        <v>183</v>
      </c>
      <c r="P176" s="241">
        <f>+INPUT!Z95</f>
        <v>15.2</v>
      </c>
      <c r="Q176" s="241">
        <f>+INPUT!AA95</f>
        <v>19.760000000000002</v>
      </c>
      <c r="R176" s="243">
        <f>+INPUT!AB95</f>
        <v>8.3000000000000004E-2</v>
      </c>
      <c r="S176" s="238">
        <f>($R176*INPUT!$O$55)*INPUT!$G$58</f>
        <v>-0.11908760478543791</v>
      </c>
      <c r="T176" s="238">
        <f>($R176*INPUT!$O$55)*INPUT!$I$58</f>
        <v>1.2847842798422828</v>
      </c>
      <c r="U176" s="239">
        <f t="shared" si="97"/>
        <v>16.365696675056846</v>
      </c>
      <c r="V176" s="239">
        <f t="shared" si="98"/>
        <v>20.925696675056848</v>
      </c>
    </row>
    <row r="177" spans="1:22" ht="12.75" customHeight="1" thickBot="1" x14ac:dyDescent="0.3">
      <c r="A177" s="245"/>
      <c r="B177" s="245"/>
      <c r="C177" s="303"/>
      <c r="D177" s="305"/>
      <c r="E177" s="305"/>
      <c r="F177" s="424"/>
      <c r="G177" s="304"/>
      <c r="H177" s="306"/>
      <c r="I177" s="306"/>
      <c r="J177" s="306"/>
      <c r="K177" s="419"/>
      <c r="O177" s="276"/>
      <c r="P177" s="241"/>
      <c r="Q177" s="241"/>
      <c r="R177" s="243"/>
      <c r="S177" s="238"/>
      <c r="T177" s="238"/>
      <c r="U177" s="239"/>
      <c r="V177" s="239"/>
    </row>
    <row r="178" spans="1:22" x14ac:dyDescent="0.25">
      <c r="A178" s="245" t="s">
        <v>187</v>
      </c>
      <c r="B178" s="262"/>
      <c r="D178" s="236"/>
      <c r="E178" s="236"/>
      <c r="F178" s="423"/>
      <c r="G178" s="237"/>
      <c r="H178" s="239"/>
      <c r="I178" s="239"/>
      <c r="J178" s="239"/>
      <c r="K178" s="418"/>
      <c r="N178" s="89">
        <v>274</v>
      </c>
      <c r="O178" s="277" t="s">
        <v>187</v>
      </c>
      <c r="P178" s="241"/>
      <c r="Q178" s="241"/>
      <c r="R178" s="243"/>
      <c r="S178" s="238"/>
      <c r="T178" s="238"/>
      <c r="U178" s="239"/>
      <c r="V178" s="239"/>
    </row>
    <row r="179" spans="1:22" ht="15.75" customHeight="1" thickBot="1" x14ac:dyDescent="0.3">
      <c r="A179" s="245" t="s">
        <v>183</v>
      </c>
      <c r="B179" s="228">
        <f t="shared" ref="B179" si="100">+R179</f>
        <v>0.11700000000000001</v>
      </c>
      <c r="C179" s="284">
        <f>+U179</f>
        <v>19.903210975682541</v>
      </c>
      <c r="D179" s="284">
        <f>+V179</f>
        <v>24.49321097568254</v>
      </c>
      <c r="E179" s="285">
        <f>+D179-C179</f>
        <v>4.59</v>
      </c>
      <c r="F179" s="418">
        <f>+E179/D179</f>
        <v>0.18739886757016319</v>
      </c>
      <c r="G179" s="285">
        <f>+S179</f>
        <v>-0.16787047903489441</v>
      </c>
      <c r="H179" s="285">
        <f>+T179</f>
        <v>1.8110814547174352</v>
      </c>
      <c r="I179" s="285">
        <f>+C179+G179+H179</f>
        <v>21.54642195136508</v>
      </c>
      <c r="J179" s="285">
        <f>+D179+G179+H179</f>
        <v>26.13642195136508</v>
      </c>
      <c r="K179" s="418">
        <f>(J179-I179)/I179</f>
        <v>0.21302840955962987</v>
      </c>
      <c r="N179" s="89">
        <v>274</v>
      </c>
      <c r="O179" s="276" t="s">
        <v>183</v>
      </c>
      <c r="P179" s="241">
        <f>+INPUT!Z97</f>
        <v>18.260000000000002</v>
      </c>
      <c r="Q179" s="241">
        <f>+INPUT!AA97</f>
        <v>22.85</v>
      </c>
      <c r="R179" s="243">
        <f>+INPUT!AB97</f>
        <v>0.11700000000000001</v>
      </c>
      <c r="S179" s="238">
        <f>($R179*INPUT!$O$55)*INPUT!$G$58</f>
        <v>-0.16787047903489441</v>
      </c>
      <c r="T179" s="238">
        <f>($R179*INPUT!$O$55)*INPUT!$I$58</f>
        <v>1.8110814547174352</v>
      </c>
      <c r="U179" s="239">
        <f t="shared" ref="U179" si="101">+P179+S179+T179</f>
        <v>19.903210975682541</v>
      </c>
      <c r="V179" s="239">
        <f t="shared" ref="V179" si="102">+Q179+S179+T179</f>
        <v>24.49321097568254</v>
      </c>
    </row>
    <row r="180" spans="1:22" x14ac:dyDescent="0.25">
      <c r="A180" s="245" t="s">
        <v>188</v>
      </c>
      <c r="B180" s="262"/>
      <c r="C180" s="284"/>
      <c r="D180" s="285"/>
      <c r="E180" s="285"/>
      <c r="F180" s="215"/>
      <c r="G180" s="286"/>
      <c r="H180" s="285"/>
      <c r="I180" s="285"/>
      <c r="J180" s="285"/>
      <c r="K180" s="418"/>
      <c r="N180" s="89">
        <v>277</v>
      </c>
      <c r="O180" s="277" t="s">
        <v>188</v>
      </c>
      <c r="P180" s="241"/>
      <c r="Q180" s="241"/>
      <c r="R180" s="243"/>
      <c r="S180" s="238"/>
      <c r="T180" s="238"/>
    </row>
    <row r="181" spans="1:22" ht="13.5" customHeight="1" thickBot="1" x14ac:dyDescent="0.3">
      <c r="A181" s="245" t="s">
        <v>183</v>
      </c>
      <c r="B181" s="228">
        <f t="shared" ref="B181:B182" si="103">+R181</f>
        <v>0.18099999999999999</v>
      </c>
      <c r="C181" s="284">
        <f>+U181</f>
        <v>25.652061423919143</v>
      </c>
      <c r="D181" s="284">
        <f>+V181</f>
        <v>26.602061423919142</v>
      </c>
      <c r="E181" s="285">
        <f>+D181-C181</f>
        <v>0.94999999999999929</v>
      </c>
      <c r="F181" s="418">
        <f>+E181/D181</f>
        <v>3.5711518173768685E-2</v>
      </c>
      <c r="G181" s="285">
        <f>+S181</f>
        <v>-0.25969706585740071</v>
      </c>
      <c r="H181" s="285">
        <f>+T181</f>
        <v>2.8017584897765446</v>
      </c>
      <c r="I181" s="285">
        <f>+C181+G181+H181</f>
        <v>28.194122847838287</v>
      </c>
      <c r="J181" s="285">
        <f>+D181+G181+H181</f>
        <v>29.144122847838286</v>
      </c>
      <c r="K181" s="418">
        <f>(J181-I181)/I181</f>
        <v>3.3694965618440514E-2</v>
      </c>
      <c r="N181" s="89">
        <v>277</v>
      </c>
      <c r="O181" s="276" t="s">
        <v>183</v>
      </c>
      <c r="P181" s="241">
        <f>+INPUT!Z99</f>
        <v>23.11</v>
      </c>
      <c r="Q181" s="241">
        <f>+INPUT!AA99</f>
        <v>24.06</v>
      </c>
      <c r="R181" s="243">
        <f>+INPUT!AB99</f>
        <v>0.18099999999999999</v>
      </c>
      <c r="S181" s="238">
        <f>($R181*INPUT!$O$55)*INPUT!$G$58</f>
        <v>-0.25969706585740071</v>
      </c>
      <c r="T181" s="238">
        <f>($R181*INPUT!$O$55)*INPUT!$I$58</f>
        <v>2.8017584897765446</v>
      </c>
      <c r="U181" s="239">
        <f t="shared" ref="U181" si="104">+P181+S181+T181</f>
        <v>25.652061423919143</v>
      </c>
      <c r="V181" s="239">
        <f t="shared" ref="V181" si="105">+Q181+S181+T181</f>
        <v>26.602061423919142</v>
      </c>
    </row>
    <row r="182" spans="1:22" ht="13.8" thickBot="1" x14ac:dyDescent="0.3">
      <c r="A182" s="245" t="s">
        <v>189</v>
      </c>
      <c r="B182" s="228">
        <f t="shared" si="103"/>
        <v>1</v>
      </c>
      <c r="C182" s="284">
        <f>+U182</f>
        <v>59.154538253696927</v>
      </c>
      <c r="D182" s="284">
        <f>+V182</f>
        <v>59.154538253696927</v>
      </c>
      <c r="E182" s="285">
        <f>+D182-C182</f>
        <v>0</v>
      </c>
      <c r="F182" s="418">
        <f>+E182/D182</f>
        <v>0</v>
      </c>
      <c r="G182" s="285">
        <f>+S182</f>
        <v>-1.4347904191016614</v>
      </c>
      <c r="H182" s="285">
        <f>+T182</f>
        <v>15.479328672798589</v>
      </c>
      <c r="I182" s="285">
        <f>+C182+G182+H182</f>
        <v>73.199076507393855</v>
      </c>
      <c r="J182" s="285">
        <f>+D182+G182+H182</f>
        <v>73.199076507393855</v>
      </c>
      <c r="K182" s="418">
        <f>(J182-I182)/I182</f>
        <v>0</v>
      </c>
      <c r="N182" s="89">
        <v>279</v>
      </c>
      <c r="O182" s="277" t="s">
        <v>189</v>
      </c>
      <c r="P182" s="241">
        <f>+INPUT!Z102</f>
        <v>45.11</v>
      </c>
      <c r="Q182" s="241">
        <f>+INPUT!AA102</f>
        <v>45.11</v>
      </c>
      <c r="R182" s="243">
        <f>+INPUT!AB102</f>
        <v>1</v>
      </c>
      <c r="S182" s="238">
        <f>($R182*INPUT!$O$55)*INPUT!$G$58</f>
        <v>-1.4347904191016614</v>
      </c>
      <c r="T182" s="238">
        <f>($R182*INPUT!$O$55)*INPUT!$I$58</f>
        <v>15.479328672798589</v>
      </c>
      <c r="U182" s="239">
        <f t="shared" ref="U182:U186" si="106">+P182+S182+T182</f>
        <v>59.154538253696927</v>
      </c>
      <c r="V182" s="239">
        <f t="shared" ref="V182:V186" si="107">+Q182+S182+T182</f>
        <v>59.154538253696927</v>
      </c>
    </row>
    <row r="183" spans="1:22" ht="13.5" customHeight="1" x14ac:dyDescent="0.25">
      <c r="A183" s="245" t="s">
        <v>190</v>
      </c>
      <c r="B183" s="262"/>
      <c r="C183" s="284"/>
      <c r="D183" s="285"/>
      <c r="E183" s="285"/>
      <c r="F183" s="423"/>
      <c r="G183" s="286"/>
      <c r="H183" s="285"/>
      <c r="I183" s="285"/>
      <c r="J183" s="285"/>
      <c r="K183" s="418"/>
      <c r="N183" s="89">
        <v>278</v>
      </c>
      <c r="O183" s="277" t="s">
        <v>190</v>
      </c>
      <c r="P183" s="241"/>
      <c r="Q183" s="241"/>
      <c r="R183" s="243"/>
      <c r="S183" s="238"/>
      <c r="T183" s="238"/>
      <c r="U183" s="239"/>
      <c r="V183" s="239"/>
    </row>
    <row r="184" spans="1:22" ht="14.25" customHeight="1" thickBot="1" x14ac:dyDescent="0.3">
      <c r="A184" s="245" t="s">
        <v>183</v>
      </c>
      <c r="B184" s="228">
        <f t="shared" ref="B184:B217" si="108">+R184</f>
        <v>1</v>
      </c>
      <c r="C184" s="284">
        <f t="shared" ref="C184:C216" si="109">+U184</f>
        <v>90.284538253696923</v>
      </c>
      <c r="D184" s="284">
        <f t="shared" ref="D184:D216" si="110">+V184</f>
        <v>90.284538253696923</v>
      </c>
      <c r="E184" s="285">
        <f t="shared" ref="E184:E216" si="111">+D184-C184</f>
        <v>0</v>
      </c>
      <c r="F184" s="418">
        <f t="shared" ref="F184:F216" si="112">+E184/D184</f>
        <v>0</v>
      </c>
      <c r="G184" s="285">
        <f t="shared" ref="G184:G216" si="113">+S184</f>
        <v>-1.4347904191016614</v>
      </c>
      <c r="H184" s="285">
        <f t="shared" ref="H184:H216" si="114">+T184</f>
        <v>15.479328672798589</v>
      </c>
      <c r="I184" s="285">
        <f t="shared" ref="I184:I216" si="115">+C184+G184+H184</f>
        <v>104.32907650739385</v>
      </c>
      <c r="J184" s="285">
        <f t="shared" ref="J184:J216" si="116">+D184+G184+H184</f>
        <v>104.32907650739385</v>
      </c>
      <c r="K184" s="418">
        <f t="shared" ref="K184:K216" si="117">(J184-I184)/I184</f>
        <v>0</v>
      </c>
      <c r="N184" s="89">
        <v>278</v>
      </c>
      <c r="O184" s="276" t="s">
        <v>183</v>
      </c>
      <c r="P184" s="241">
        <f>+INPUT!Z104</f>
        <v>76.239999999999995</v>
      </c>
      <c r="Q184" s="241">
        <f>+INPUT!AA104</f>
        <v>76.239999999999995</v>
      </c>
      <c r="R184" s="243">
        <f>+INPUT!AB104</f>
        <v>1</v>
      </c>
      <c r="S184" s="238">
        <f>($R184*INPUT!$O$55)*INPUT!$G$58</f>
        <v>-1.4347904191016614</v>
      </c>
      <c r="T184" s="238">
        <f>($R184*INPUT!$O$55)*INPUT!$I$58</f>
        <v>15.479328672798589</v>
      </c>
      <c r="U184" s="239">
        <f t="shared" si="106"/>
        <v>90.284538253696923</v>
      </c>
      <c r="V184" s="239">
        <f t="shared" si="107"/>
        <v>90.284538253696923</v>
      </c>
    </row>
    <row r="185" spans="1:22" ht="13.8" thickBot="1" x14ac:dyDescent="0.3">
      <c r="A185" s="245" t="s">
        <v>191</v>
      </c>
      <c r="B185" s="228">
        <f t="shared" si="108"/>
        <v>0.11700000000000001</v>
      </c>
      <c r="C185" s="284">
        <f t="shared" si="109"/>
        <v>26.393210975682539</v>
      </c>
      <c r="D185" s="284">
        <f t="shared" si="110"/>
        <v>26.973210975682537</v>
      </c>
      <c r="E185" s="285">
        <f t="shared" si="111"/>
        <v>0.57999999999999829</v>
      </c>
      <c r="F185" s="418">
        <f t="shared" si="112"/>
        <v>2.150281627659726E-2</v>
      </c>
      <c r="G185" s="285">
        <f t="shared" si="113"/>
        <v>-0.16787047903489441</v>
      </c>
      <c r="H185" s="285">
        <f t="shared" si="114"/>
        <v>1.8110814547174352</v>
      </c>
      <c r="I185" s="285">
        <f t="shared" si="115"/>
        <v>28.036421951365078</v>
      </c>
      <c r="J185" s="285">
        <f t="shared" si="116"/>
        <v>28.616421951365076</v>
      </c>
      <c r="K185" s="418">
        <f t="shared" si="117"/>
        <v>2.068737590717272E-2</v>
      </c>
      <c r="N185" s="89">
        <v>417</v>
      </c>
      <c r="O185" s="277" t="s">
        <v>191</v>
      </c>
      <c r="P185" s="241">
        <f>+INPUT!Z105</f>
        <v>24.75</v>
      </c>
      <c r="Q185" s="241">
        <f>+INPUT!AA105</f>
        <v>25.33</v>
      </c>
      <c r="R185" s="243">
        <f>+INPUT!AB105</f>
        <v>0.11700000000000001</v>
      </c>
      <c r="S185" s="238">
        <f>($R185*INPUT!$O$55)*INPUT!$G$58</f>
        <v>-0.16787047903489441</v>
      </c>
      <c r="T185" s="238">
        <f>($R185*INPUT!$O$55)*INPUT!$I$58</f>
        <v>1.8110814547174352</v>
      </c>
      <c r="U185" s="239">
        <f t="shared" si="106"/>
        <v>26.393210975682539</v>
      </c>
      <c r="V185" s="239">
        <f t="shared" si="107"/>
        <v>26.973210975682537</v>
      </c>
    </row>
    <row r="186" spans="1:22" ht="13.8" thickBot="1" x14ac:dyDescent="0.3">
      <c r="A186" s="245" t="s">
        <v>192</v>
      </c>
      <c r="B186" s="228">
        <f t="shared" si="108"/>
        <v>0.11700000000000001</v>
      </c>
      <c r="C186" s="284">
        <f t="shared" si="109"/>
        <v>27.94321097568254</v>
      </c>
      <c r="D186" s="284">
        <f t="shared" si="110"/>
        <v>28.123210975682539</v>
      </c>
      <c r="E186" s="285">
        <f t="shared" si="111"/>
        <v>0.17999999999999972</v>
      </c>
      <c r="F186" s="418">
        <f t="shared" si="112"/>
        <v>6.4004071283197839E-3</v>
      </c>
      <c r="G186" s="285">
        <f t="shared" si="113"/>
        <v>-0.16787047903489441</v>
      </c>
      <c r="H186" s="285">
        <f t="shared" si="114"/>
        <v>1.8110814547174352</v>
      </c>
      <c r="I186" s="285">
        <f t="shared" si="115"/>
        <v>29.586421951365079</v>
      </c>
      <c r="J186" s="285">
        <f t="shared" si="116"/>
        <v>29.766421951365079</v>
      </c>
      <c r="K186" s="418">
        <f t="shared" si="117"/>
        <v>6.0838718617576785E-3</v>
      </c>
      <c r="N186" s="89">
        <v>419</v>
      </c>
      <c r="O186" s="277" t="s">
        <v>192</v>
      </c>
      <c r="P186" s="241">
        <f>+INPUT!Z106</f>
        <v>26.3</v>
      </c>
      <c r="Q186" s="241">
        <f>+INPUT!AA106</f>
        <v>26.48</v>
      </c>
      <c r="R186" s="243">
        <f>+INPUT!AB106</f>
        <v>0.11700000000000001</v>
      </c>
      <c r="S186" s="238">
        <f>($R186*INPUT!$O$55)*INPUT!$G$58</f>
        <v>-0.16787047903489441</v>
      </c>
      <c r="T186" s="238">
        <f>($R186*INPUT!$O$55)*INPUT!$I$58</f>
        <v>1.8110814547174352</v>
      </c>
      <c r="U186" s="239">
        <f t="shared" si="106"/>
        <v>27.94321097568254</v>
      </c>
      <c r="V186" s="239">
        <f t="shared" si="107"/>
        <v>28.123210975682539</v>
      </c>
    </row>
    <row r="187" spans="1:22" ht="13.8" thickBot="1" x14ac:dyDescent="0.3">
      <c r="A187" s="245"/>
      <c r="B187" s="228"/>
      <c r="C187" s="284"/>
      <c r="D187" s="284"/>
      <c r="E187" s="285"/>
      <c r="F187" s="237"/>
      <c r="G187" s="285"/>
      <c r="H187" s="285"/>
      <c r="I187" s="285"/>
      <c r="J187" s="285"/>
      <c r="K187" s="237"/>
      <c r="O187" s="298"/>
      <c r="P187" s="241"/>
      <c r="Q187" s="241"/>
      <c r="R187" s="243"/>
      <c r="S187" s="238"/>
      <c r="T187" s="238"/>
      <c r="U187" s="239"/>
      <c r="V187" s="239"/>
    </row>
    <row r="188" spans="1:22" ht="13.8" thickBot="1" x14ac:dyDescent="0.3">
      <c r="A188" s="214" t="s">
        <v>336</v>
      </c>
      <c r="B188" s="228"/>
      <c r="C188" s="284"/>
      <c r="D188" s="284"/>
      <c r="E188" s="285"/>
      <c r="F188" s="237"/>
      <c r="G188" s="285"/>
      <c r="H188" s="285"/>
      <c r="I188" s="285"/>
      <c r="J188" s="285"/>
      <c r="K188" s="237"/>
      <c r="O188" s="298"/>
      <c r="P188" s="241"/>
      <c r="Q188" s="241"/>
      <c r="R188" s="243"/>
      <c r="S188" s="238"/>
      <c r="T188" s="238"/>
      <c r="U188" s="239"/>
      <c r="V188" s="239"/>
    </row>
    <row r="189" spans="1:22" ht="13.8" thickBot="1" x14ac:dyDescent="0.3">
      <c r="A189" s="210" t="s">
        <v>351</v>
      </c>
      <c r="B189" s="228"/>
      <c r="C189" s="284"/>
      <c r="D189" s="284"/>
      <c r="E189" s="285"/>
      <c r="F189" s="237"/>
      <c r="G189" s="285"/>
      <c r="H189" s="285"/>
      <c r="I189" s="285"/>
      <c r="J189" s="285"/>
      <c r="K189" s="237"/>
      <c r="O189" s="298"/>
      <c r="P189" s="241"/>
      <c r="Q189" s="241"/>
      <c r="R189" s="243"/>
      <c r="S189" s="238"/>
      <c r="T189" s="238"/>
      <c r="U189" s="239"/>
      <c r="V189" s="239"/>
    </row>
    <row r="190" spans="1:22" ht="13.8" thickBot="1" x14ac:dyDescent="0.3">
      <c r="A190" s="210" t="str">
        <f>+'Rate Case Constants'!$C$26</f>
        <v>Calculations may vary from other schedules due to rounding</v>
      </c>
      <c r="B190" s="228"/>
      <c r="C190" s="284"/>
      <c r="D190" s="284"/>
      <c r="E190" s="285"/>
      <c r="F190" s="237"/>
      <c r="G190" s="285"/>
      <c r="H190" s="285"/>
      <c r="I190" s="285"/>
      <c r="J190" s="285"/>
      <c r="K190" s="237"/>
      <c r="O190" s="298"/>
      <c r="P190" s="241"/>
      <c r="Q190" s="241"/>
      <c r="R190" s="243"/>
      <c r="S190" s="238"/>
      <c r="T190" s="238"/>
      <c r="U190" s="239"/>
      <c r="V190" s="239"/>
    </row>
    <row r="191" spans="1:22" ht="13.8" thickBot="1" x14ac:dyDescent="0.3">
      <c r="A191" s="308"/>
      <c r="B191" s="228"/>
      <c r="C191" s="284"/>
      <c r="D191" s="284"/>
      <c r="E191" s="285"/>
      <c r="F191" s="237"/>
      <c r="G191" s="285"/>
      <c r="H191" s="285"/>
      <c r="I191" s="285"/>
      <c r="J191" s="285"/>
      <c r="K191" s="237"/>
      <c r="O191" s="298"/>
      <c r="P191" s="241"/>
      <c r="Q191" s="241"/>
      <c r="R191" s="243"/>
      <c r="S191" s="238"/>
      <c r="T191" s="238"/>
      <c r="U191" s="239"/>
      <c r="V191" s="239"/>
    </row>
    <row r="192" spans="1:22" ht="13.8" thickBot="1" x14ac:dyDescent="0.3">
      <c r="A192" s="450" t="str">
        <f>+A1</f>
        <v>LOUISVILLE GAS AND ELECTRIC COMPANY</v>
      </c>
      <c r="B192" s="450"/>
      <c r="C192" s="450"/>
      <c r="D192" s="450"/>
      <c r="E192" s="450"/>
      <c r="F192" s="450"/>
      <c r="G192" s="450"/>
      <c r="H192" s="450"/>
      <c r="I192" s="450"/>
      <c r="J192" s="450"/>
      <c r="K192" s="450"/>
      <c r="O192" s="298"/>
      <c r="P192" s="241"/>
      <c r="Q192" s="241"/>
      <c r="R192" s="243"/>
      <c r="S192" s="238"/>
      <c r="T192" s="238"/>
      <c r="U192" s="239"/>
      <c r="V192" s="239"/>
    </row>
    <row r="193" spans="1:22" ht="13.8" thickBot="1" x14ac:dyDescent="0.3">
      <c r="A193" s="450" t="str">
        <f>+A2</f>
        <v>CASE NO. 2016-00371</v>
      </c>
      <c r="B193" s="450"/>
      <c r="C193" s="450"/>
      <c r="D193" s="450"/>
      <c r="E193" s="450"/>
      <c r="F193" s="450"/>
      <c r="G193" s="450"/>
      <c r="H193" s="450"/>
      <c r="I193" s="450"/>
      <c r="J193" s="450"/>
      <c r="K193" s="450"/>
      <c r="O193" s="298"/>
      <c r="P193" s="241"/>
      <c r="Q193" s="241"/>
      <c r="R193" s="243"/>
      <c r="S193" s="238"/>
      <c r="T193" s="238"/>
      <c r="U193" s="239"/>
      <c r="V193" s="239"/>
    </row>
    <row r="194" spans="1:22" ht="13.8" thickBot="1" x14ac:dyDescent="0.3">
      <c r="A194" s="450" t="str">
        <f>+A3</f>
        <v>Typical Electric Bill Comparison under Present &amp; Proposed Rates</v>
      </c>
      <c r="B194" s="450"/>
      <c r="C194" s="450"/>
      <c r="D194" s="450"/>
      <c r="E194" s="450"/>
      <c r="F194" s="450"/>
      <c r="G194" s="450"/>
      <c r="H194" s="450"/>
      <c r="I194" s="450"/>
      <c r="J194" s="450"/>
      <c r="K194" s="450"/>
      <c r="O194" s="298"/>
      <c r="P194" s="241"/>
      <c r="Q194" s="241"/>
      <c r="R194" s="243"/>
      <c r="S194" s="238"/>
      <c r="T194" s="238"/>
      <c r="U194" s="239"/>
      <c r="V194" s="239"/>
    </row>
    <row r="195" spans="1:22" ht="13.8" thickBot="1" x14ac:dyDescent="0.3">
      <c r="A195" s="450" t="str">
        <f>+A4</f>
        <v>FORECAST PERIOD FOR THE 12 MONTHS ENDED JUNE 30, 2018</v>
      </c>
      <c r="B195" s="450"/>
      <c r="C195" s="450"/>
      <c r="D195" s="450"/>
      <c r="E195" s="450"/>
      <c r="F195" s="450"/>
      <c r="G195" s="450"/>
      <c r="H195" s="450"/>
      <c r="I195" s="450"/>
      <c r="J195" s="450"/>
      <c r="K195" s="450"/>
      <c r="O195" s="298"/>
      <c r="P195" s="241"/>
      <c r="Q195" s="241"/>
      <c r="R195" s="243"/>
      <c r="S195" s="238"/>
      <c r="T195" s="238"/>
      <c r="U195" s="239"/>
      <c r="V195" s="239"/>
    </row>
    <row r="196" spans="1:22" ht="13.8" thickBot="1" x14ac:dyDescent="0.3">
      <c r="A196" s="330"/>
      <c r="B196" s="331"/>
      <c r="C196" s="332"/>
      <c r="D196" s="332"/>
      <c r="E196" s="333"/>
      <c r="F196" s="334"/>
      <c r="G196" s="333"/>
      <c r="H196" s="333"/>
      <c r="I196" s="333"/>
      <c r="J196" s="333"/>
      <c r="K196" s="334"/>
      <c r="O196" s="298"/>
      <c r="P196" s="241"/>
      <c r="Q196" s="241"/>
      <c r="R196" s="243"/>
      <c r="S196" s="238"/>
      <c r="T196" s="238"/>
      <c r="U196" s="239"/>
      <c r="V196" s="239"/>
    </row>
    <row r="197" spans="1:22" ht="13.8" thickBot="1" x14ac:dyDescent="0.3">
      <c r="A197" s="330" t="str">
        <f>+A157</f>
        <v>DATA: ____BASE PERIOD__X___FORECASTED PERIOD</v>
      </c>
      <c r="B197" s="331"/>
      <c r="C197" s="332"/>
      <c r="D197" s="332"/>
      <c r="E197" s="333"/>
      <c r="F197" s="334"/>
      <c r="G197" s="333"/>
      <c r="H197" s="333"/>
      <c r="I197" s="333"/>
      <c r="J197" s="333"/>
      <c r="K197" s="335" t="str">
        <f>+K157</f>
        <v>SCHEDULE N (Electric)</v>
      </c>
      <c r="O197" s="298"/>
      <c r="P197" s="241"/>
      <c r="Q197" s="241"/>
      <c r="R197" s="243"/>
      <c r="S197" s="238"/>
      <c r="T197" s="238"/>
      <c r="U197" s="239"/>
      <c r="V197" s="239"/>
    </row>
    <row r="198" spans="1:22" ht="13.8" thickBot="1" x14ac:dyDescent="0.3">
      <c r="A198" s="330" t="str">
        <f t="shared" ref="A198:A199" si="118">+A158</f>
        <v>TYPE OF FILING: __X__ ORIGINAL  _____ UPDATED  _____ REVISED</v>
      </c>
      <c r="B198" s="331"/>
      <c r="C198" s="332"/>
      <c r="D198" s="332"/>
      <c r="E198" s="333"/>
      <c r="F198" s="334"/>
      <c r="G198" s="333"/>
      <c r="H198" s="333"/>
      <c r="I198" s="333"/>
      <c r="J198" s="333"/>
      <c r="K198" s="335" t="str">
        <f>+'Rate Case Constants'!L25</f>
        <v>PAGE 18 of 21</v>
      </c>
      <c r="O198" s="298"/>
      <c r="P198" s="241"/>
      <c r="Q198" s="241"/>
      <c r="R198" s="243"/>
      <c r="S198" s="238"/>
      <c r="T198" s="238"/>
      <c r="U198" s="239"/>
      <c r="V198" s="239"/>
    </row>
    <row r="199" spans="1:22" ht="13.8" thickBot="1" x14ac:dyDescent="0.3">
      <c r="A199" s="330" t="str">
        <f t="shared" si="118"/>
        <v>WORKPAPER REFERENCE NO(S):________</v>
      </c>
      <c r="B199" s="331"/>
      <c r="C199" s="332"/>
      <c r="D199" s="332"/>
      <c r="E199" s="333"/>
      <c r="F199" s="334"/>
      <c r="G199" s="333"/>
      <c r="H199" s="333"/>
      <c r="I199" s="333"/>
      <c r="J199" s="333"/>
      <c r="K199" s="335" t="str">
        <f>+K159</f>
        <v>WITNESS:   C. M. GARRETT</v>
      </c>
      <c r="O199" s="298"/>
      <c r="P199" s="241"/>
      <c r="Q199" s="241"/>
      <c r="R199" s="243"/>
      <c r="S199" s="238"/>
      <c r="T199" s="238"/>
      <c r="U199" s="239"/>
      <c r="V199" s="239"/>
    </row>
    <row r="200" spans="1:22" ht="13.8" thickBot="1" x14ac:dyDescent="0.3">
      <c r="A200" s="348"/>
      <c r="B200" s="228"/>
      <c r="C200" s="349"/>
      <c r="D200" s="349"/>
      <c r="E200" s="350"/>
      <c r="F200" s="304"/>
      <c r="G200" s="350"/>
      <c r="H200" s="350"/>
      <c r="I200" s="350"/>
      <c r="J200" s="350"/>
      <c r="K200" s="304"/>
      <c r="O200" s="298"/>
      <c r="P200" s="241"/>
      <c r="Q200" s="241"/>
      <c r="R200" s="243"/>
      <c r="S200" s="238"/>
      <c r="T200" s="238"/>
      <c r="U200" s="239"/>
      <c r="V200" s="239"/>
    </row>
    <row r="201" spans="1:22" ht="13.8" thickBot="1" x14ac:dyDescent="0.3">
      <c r="A201" s="312" t="s">
        <v>95</v>
      </c>
      <c r="B201" s="228"/>
      <c r="C201" s="349"/>
      <c r="D201" s="349"/>
      <c r="E201" s="350"/>
      <c r="F201" s="304"/>
      <c r="G201" s="350"/>
      <c r="H201" s="350"/>
      <c r="I201" s="350"/>
      <c r="J201" s="350"/>
      <c r="K201" s="304"/>
      <c r="O201" s="298"/>
      <c r="P201" s="241"/>
      <c r="Q201" s="241"/>
      <c r="R201" s="243"/>
      <c r="S201" s="238"/>
      <c r="T201" s="238"/>
      <c r="U201" s="239"/>
      <c r="V201" s="239"/>
    </row>
    <row r="202" spans="1:22" ht="13.8" thickBot="1" x14ac:dyDescent="0.3">
      <c r="A202" s="89"/>
      <c r="B202" s="3" t="s">
        <v>326</v>
      </c>
      <c r="C202" s="26" t="s">
        <v>327</v>
      </c>
      <c r="D202" s="26" t="s">
        <v>328</v>
      </c>
      <c r="E202" s="3" t="s">
        <v>329</v>
      </c>
      <c r="F202" s="3" t="s">
        <v>330</v>
      </c>
      <c r="G202" s="26" t="s">
        <v>331</v>
      </c>
      <c r="H202" s="3" t="s">
        <v>332</v>
      </c>
      <c r="I202" s="3" t="s">
        <v>333</v>
      </c>
      <c r="J202" s="3" t="s">
        <v>334</v>
      </c>
      <c r="K202" s="3" t="s">
        <v>335</v>
      </c>
      <c r="O202" s="298"/>
      <c r="P202" s="241"/>
      <c r="Q202" s="241"/>
      <c r="R202" s="243"/>
      <c r="S202" s="238"/>
      <c r="T202" s="238"/>
      <c r="U202" s="239"/>
      <c r="V202" s="239"/>
    </row>
    <row r="203" spans="1:22" ht="13.8" thickBot="1" x14ac:dyDescent="0.3">
      <c r="A203" s="259"/>
      <c r="B203" s="42"/>
      <c r="C203" s="313" t="s">
        <v>366</v>
      </c>
      <c r="D203" s="313" t="s">
        <v>366</v>
      </c>
      <c r="E203"/>
      <c r="F203"/>
      <c r="G203" s="30"/>
      <c r="H203" s="30"/>
      <c r="I203" s="3" t="s">
        <v>5</v>
      </c>
      <c r="J203" s="3" t="s">
        <v>5</v>
      </c>
      <c r="K203"/>
      <c r="O203" s="298"/>
      <c r="P203" s="241"/>
      <c r="Q203" s="241"/>
      <c r="R203" s="243"/>
      <c r="S203" s="238"/>
      <c r="T203" s="238"/>
      <c r="U203" s="239"/>
      <c r="V203" s="239"/>
    </row>
    <row r="204" spans="1:22" ht="13.8" thickBot="1" x14ac:dyDescent="0.3">
      <c r="A204" s="259"/>
      <c r="B204" s="3" t="s">
        <v>350</v>
      </c>
      <c r="C204" s="3" t="s">
        <v>1</v>
      </c>
      <c r="D204" s="3" t="s">
        <v>74</v>
      </c>
      <c r="E204" s="3"/>
      <c r="F204" s="3"/>
      <c r="G204" s="451" t="s">
        <v>130</v>
      </c>
      <c r="H204" s="451"/>
      <c r="I204" s="3" t="s">
        <v>1</v>
      </c>
      <c r="J204" s="3" t="s">
        <v>74</v>
      </c>
      <c r="K204" s="3"/>
      <c r="O204" s="298"/>
      <c r="P204" s="241"/>
      <c r="Q204" s="241"/>
      <c r="R204" s="243"/>
      <c r="S204" s="238"/>
      <c r="T204" s="238"/>
      <c r="U204" s="239"/>
      <c r="V204" s="239"/>
    </row>
    <row r="205" spans="1:22" ht="13.8" thickBot="1" x14ac:dyDescent="0.3">
      <c r="A205" s="259"/>
      <c r="B205" s="3" t="s">
        <v>20</v>
      </c>
      <c r="C205" s="3" t="s">
        <v>4</v>
      </c>
      <c r="D205" s="3" t="s">
        <v>4</v>
      </c>
      <c r="E205" s="3" t="s">
        <v>75</v>
      </c>
      <c r="F205" s="3" t="s">
        <v>75</v>
      </c>
      <c r="G205" s="202" t="s">
        <v>421</v>
      </c>
      <c r="H205" s="52" t="s">
        <v>72</v>
      </c>
      <c r="I205" s="3" t="s">
        <v>4</v>
      </c>
      <c r="J205" s="3" t="s">
        <v>4</v>
      </c>
      <c r="K205" s="3" t="s">
        <v>75</v>
      </c>
      <c r="O205" s="298"/>
      <c r="P205" s="241"/>
      <c r="Q205" s="241"/>
      <c r="R205" s="243"/>
      <c r="S205" s="238"/>
      <c r="T205" s="238"/>
      <c r="U205" s="239"/>
      <c r="V205" s="239"/>
    </row>
    <row r="206" spans="1:22" ht="13.8" thickBot="1" x14ac:dyDescent="0.3">
      <c r="A206" s="259"/>
      <c r="B206" s="42"/>
      <c r="C206" s="3"/>
      <c r="D206" s="3"/>
      <c r="E206" s="3" t="s">
        <v>69</v>
      </c>
      <c r="F206" s="26" t="s">
        <v>70</v>
      </c>
      <c r="G206" s="51"/>
      <c r="H206" s="53"/>
      <c r="I206" s="3" t="s">
        <v>69</v>
      </c>
      <c r="J206" s="3" t="s">
        <v>69</v>
      </c>
      <c r="K206" s="26" t="s">
        <v>70</v>
      </c>
      <c r="O206" s="298"/>
      <c r="P206" s="241"/>
      <c r="Q206" s="241"/>
      <c r="R206" s="243"/>
      <c r="S206" s="238"/>
      <c r="T206" s="238"/>
      <c r="U206" s="239"/>
      <c r="V206" s="239"/>
    </row>
    <row r="207" spans="1:22" ht="13.8" thickBot="1" x14ac:dyDescent="0.3">
      <c r="A207" s="354"/>
      <c r="B207" s="338"/>
      <c r="C207" s="325"/>
      <c r="D207" s="325"/>
      <c r="E207" s="325" t="str">
        <f>("[ "&amp;D202&amp;" - "&amp;C202&amp;" ]")</f>
        <v>[ C - B ]</v>
      </c>
      <c r="F207" s="325" t="str">
        <f>("[ "&amp;E202&amp;" / "&amp;C202&amp;" ]")</f>
        <v>[ D / B ]</v>
      </c>
      <c r="G207" s="353"/>
      <c r="H207" s="353"/>
      <c r="I207" s="325" t="str">
        <f>("["&amp;C202&amp;"+"&amp;$G$10&amp;"+"&amp;$H$10&amp;"]")</f>
        <v>[B+F+G]</v>
      </c>
      <c r="J207" s="325" t="str">
        <f>("["&amp;D202&amp;"+"&amp;$G$10&amp;"+"&amp;$H$10&amp;"]")</f>
        <v>[C+F+G]</v>
      </c>
      <c r="K207" s="325" t="str">
        <f>("[("&amp;J202&amp;" - "&amp;I202&amp;")"&amp;I202&amp;"]")</f>
        <v>[(I - H)H]</v>
      </c>
      <c r="O207" s="298"/>
      <c r="P207" s="241"/>
      <c r="Q207" s="241"/>
      <c r="R207" s="243"/>
      <c r="S207" s="238"/>
      <c r="T207" s="238"/>
      <c r="U207" s="239"/>
      <c r="V207" s="239"/>
    </row>
    <row r="208" spans="1:22" ht="13.8" thickBot="1" x14ac:dyDescent="0.3">
      <c r="A208" s="229" t="s">
        <v>90</v>
      </c>
      <c r="B208" s="389"/>
      <c r="C208" s="405"/>
      <c r="D208" s="405"/>
      <c r="E208" s="405"/>
      <c r="F208" s="405"/>
      <c r="G208" s="192"/>
      <c r="H208" s="192"/>
      <c r="I208" s="405"/>
      <c r="J208" s="405"/>
      <c r="K208" s="405"/>
      <c r="O208" s="298"/>
      <c r="P208" s="241"/>
      <c r="Q208" s="241"/>
      <c r="R208" s="243"/>
      <c r="S208" s="238"/>
      <c r="T208" s="238"/>
      <c r="U208" s="239"/>
      <c r="V208" s="239"/>
    </row>
    <row r="209" spans="1:22" ht="13.8" thickBot="1" x14ac:dyDescent="0.3">
      <c r="A209" s="233" t="s">
        <v>91</v>
      </c>
      <c r="B209" s="389"/>
      <c r="C209" s="405"/>
      <c r="D209" s="405"/>
      <c r="E209" s="405"/>
      <c r="F209" s="416"/>
      <c r="G209" s="192"/>
      <c r="H209" s="192"/>
      <c r="I209" s="405"/>
      <c r="J209" s="405"/>
      <c r="K209" s="405"/>
      <c r="O209" s="298"/>
      <c r="P209" s="241"/>
      <c r="Q209" s="241"/>
      <c r="R209" s="243"/>
      <c r="S209" s="238"/>
      <c r="T209" s="238"/>
      <c r="U209" s="239"/>
      <c r="V209" s="239"/>
    </row>
    <row r="210" spans="1:22" ht="13.8" thickBot="1" x14ac:dyDescent="0.3">
      <c r="A210" s="245" t="s">
        <v>193</v>
      </c>
      <c r="B210" s="228">
        <f t="shared" si="108"/>
        <v>8.3000000000000004E-2</v>
      </c>
      <c r="C210" s="284">
        <f t="shared" si="109"/>
        <v>21.575696675056847</v>
      </c>
      <c r="D210" s="284">
        <f t="shared" si="110"/>
        <v>27.695696675056844</v>
      </c>
      <c r="E210" s="285">
        <f t="shared" si="111"/>
        <v>6.1199999999999974</v>
      </c>
      <c r="F210" s="418">
        <f t="shared" si="112"/>
        <v>0.22097295734437186</v>
      </c>
      <c r="G210" s="285">
        <f t="shared" si="113"/>
        <v>-0.11908760478543791</v>
      </c>
      <c r="H210" s="285">
        <f t="shared" si="114"/>
        <v>1.2847842798422828</v>
      </c>
      <c r="I210" s="285">
        <f t="shared" si="115"/>
        <v>22.74139335011369</v>
      </c>
      <c r="J210" s="285">
        <f t="shared" si="116"/>
        <v>28.861393350113687</v>
      </c>
      <c r="K210" s="418">
        <f t="shared" si="117"/>
        <v>0.26911279822568135</v>
      </c>
      <c r="N210" s="89">
        <v>280</v>
      </c>
      <c r="O210" s="277" t="s">
        <v>193</v>
      </c>
      <c r="P210" s="241">
        <f>+INPUT!Z107</f>
        <v>20.41</v>
      </c>
      <c r="Q210" s="241">
        <f>+INPUT!AA107</f>
        <v>26.53</v>
      </c>
      <c r="R210" s="243">
        <f>+INPUT!AB107</f>
        <v>8.3000000000000004E-2</v>
      </c>
      <c r="S210" s="238">
        <f>($R210*INPUT!$O$55)*INPUT!$G$58</f>
        <v>-0.11908760478543791</v>
      </c>
      <c r="T210" s="238">
        <f>($R210*INPUT!$O$55)*INPUT!$I$58</f>
        <v>1.2847842798422828</v>
      </c>
      <c r="U210" s="239">
        <f t="shared" ref="U210:U217" si="119">+P210+S210+T210</f>
        <v>21.575696675056847</v>
      </c>
      <c r="V210" s="239">
        <f t="shared" ref="V210:V217" si="120">+Q210+S210+T210</f>
        <v>27.695696675056844</v>
      </c>
    </row>
    <row r="211" spans="1:22" ht="13.8" thickBot="1" x14ac:dyDescent="0.3">
      <c r="A211" s="245" t="s">
        <v>194</v>
      </c>
      <c r="B211" s="228">
        <f t="shared" si="108"/>
        <v>0.11700000000000001</v>
      </c>
      <c r="C211" s="284">
        <f t="shared" si="109"/>
        <v>23.063210975682541</v>
      </c>
      <c r="D211" s="284">
        <f t="shared" si="110"/>
        <v>29.49321097568254</v>
      </c>
      <c r="E211" s="285">
        <f t="shared" si="111"/>
        <v>6.43</v>
      </c>
      <c r="F211" s="418">
        <f t="shared" si="112"/>
        <v>0.21801627517945069</v>
      </c>
      <c r="G211" s="285">
        <f t="shared" si="113"/>
        <v>-0.16787047903489441</v>
      </c>
      <c r="H211" s="285">
        <f t="shared" si="114"/>
        <v>1.8110814547174352</v>
      </c>
      <c r="I211" s="285">
        <f t="shared" si="115"/>
        <v>24.70642195136508</v>
      </c>
      <c r="J211" s="285">
        <f t="shared" si="116"/>
        <v>31.13642195136508</v>
      </c>
      <c r="K211" s="418">
        <f t="shared" si="117"/>
        <v>0.26025622053478809</v>
      </c>
      <c r="N211" s="89">
        <v>281</v>
      </c>
      <c r="O211" s="277" t="s">
        <v>194</v>
      </c>
      <c r="P211" s="241">
        <f>+INPUT!Z108</f>
        <v>21.42</v>
      </c>
      <c r="Q211" s="241">
        <f>+INPUT!AA108</f>
        <v>27.85</v>
      </c>
      <c r="R211" s="243">
        <f>+INPUT!AB108</f>
        <v>0.11700000000000001</v>
      </c>
      <c r="S211" s="238">
        <f>($R211*INPUT!$O$55)*INPUT!$G$58</f>
        <v>-0.16787047903489441</v>
      </c>
      <c r="T211" s="238">
        <f>($R211*INPUT!$O$55)*INPUT!$I$58</f>
        <v>1.8110814547174352</v>
      </c>
      <c r="U211" s="239">
        <f t="shared" si="119"/>
        <v>23.063210975682541</v>
      </c>
      <c r="V211" s="239">
        <f t="shared" si="120"/>
        <v>29.49321097568254</v>
      </c>
    </row>
    <row r="212" spans="1:22" ht="13.8" thickBot="1" x14ac:dyDescent="0.3">
      <c r="A212" s="245" t="s">
        <v>195</v>
      </c>
      <c r="B212" s="228">
        <f t="shared" si="108"/>
        <v>8.3000000000000004E-2</v>
      </c>
      <c r="C212" s="284">
        <f t="shared" si="109"/>
        <v>21.725696675056845</v>
      </c>
      <c r="D212" s="284">
        <f t="shared" si="110"/>
        <v>27.895696675056847</v>
      </c>
      <c r="E212" s="285">
        <f t="shared" si="111"/>
        <v>6.1700000000000017</v>
      </c>
      <c r="F212" s="418">
        <f t="shared" si="112"/>
        <v>0.22118106860249004</v>
      </c>
      <c r="G212" s="285">
        <f t="shared" si="113"/>
        <v>-0.11908760478543791</v>
      </c>
      <c r="H212" s="285">
        <f t="shared" si="114"/>
        <v>1.2847842798422828</v>
      </c>
      <c r="I212" s="285">
        <f t="shared" si="115"/>
        <v>22.891393350113688</v>
      </c>
      <c r="J212" s="285">
        <f t="shared" si="116"/>
        <v>29.06139335011369</v>
      </c>
      <c r="K212" s="418">
        <f t="shared" si="117"/>
        <v>0.26953361491074806</v>
      </c>
      <c r="N212" s="89">
        <v>282</v>
      </c>
      <c r="O212" s="277" t="s">
        <v>195</v>
      </c>
      <c r="P212" s="241">
        <f>+INPUT!Z109</f>
        <v>20.56</v>
      </c>
      <c r="Q212" s="241">
        <f>+INPUT!AA109</f>
        <v>26.73</v>
      </c>
      <c r="R212" s="243">
        <f>+INPUT!AB109</f>
        <v>8.3000000000000004E-2</v>
      </c>
      <c r="S212" s="238">
        <f>($R212*INPUT!$O$55)*INPUT!$G$58</f>
        <v>-0.11908760478543791</v>
      </c>
      <c r="T212" s="238">
        <f>($R212*INPUT!$O$55)*INPUT!$I$58</f>
        <v>1.2847842798422828</v>
      </c>
      <c r="U212" s="239">
        <f t="shared" si="119"/>
        <v>21.725696675056845</v>
      </c>
      <c r="V212" s="239">
        <f t="shared" si="120"/>
        <v>27.895696675056847</v>
      </c>
    </row>
    <row r="213" spans="1:22" ht="13.8" thickBot="1" x14ac:dyDescent="0.3">
      <c r="A213" s="245" t="s">
        <v>196</v>
      </c>
      <c r="B213" s="228">
        <f t="shared" si="108"/>
        <v>0.11700000000000001</v>
      </c>
      <c r="C213" s="284">
        <f t="shared" si="109"/>
        <v>23.623210975682539</v>
      </c>
      <c r="D213" s="284">
        <f t="shared" si="110"/>
        <v>30.10321097568254</v>
      </c>
      <c r="E213" s="285">
        <f t="shared" si="111"/>
        <v>6.48</v>
      </c>
      <c r="F213" s="418">
        <f t="shared" si="112"/>
        <v>0.21525942881091864</v>
      </c>
      <c r="G213" s="285">
        <f t="shared" si="113"/>
        <v>-0.16787047903489441</v>
      </c>
      <c r="H213" s="285">
        <f t="shared" si="114"/>
        <v>1.8110814547174352</v>
      </c>
      <c r="I213" s="285">
        <f t="shared" si="115"/>
        <v>25.266421951365079</v>
      </c>
      <c r="J213" s="285">
        <f t="shared" si="116"/>
        <v>31.746421951365079</v>
      </c>
      <c r="K213" s="418">
        <f t="shared" si="117"/>
        <v>0.25646686390630402</v>
      </c>
      <c r="N213" s="89">
        <v>283</v>
      </c>
      <c r="O213" s="277" t="s">
        <v>196</v>
      </c>
      <c r="P213" s="241">
        <f>+INPUT!Z110</f>
        <v>21.98</v>
      </c>
      <c r="Q213" s="241">
        <f>+INPUT!AA110</f>
        <v>28.46</v>
      </c>
      <c r="R213" s="243">
        <f>+INPUT!AB110</f>
        <v>0.11700000000000001</v>
      </c>
      <c r="S213" s="238">
        <f>($R213*INPUT!$O$55)*INPUT!$G$58</f>
        <v>-0.16787047903489441</v>
      </c>
      <c r="T213" s="238">
        <f>($R213*INPUT!$O$55)*INPUT!$I$58</f>
        <v>1.8110814547174352</v>
      </c>
      <c r="U213" s="239">
        <f t="shared" si="119"/>
        <v>23.623210975682539</v>
      </c>
      <c r="V213" s="239">
        <f t="shared" si="120"/>
        <v>30.10321097568254</v>
      </c>
    </row>
    <row r="214" spans="1:22" ht="13.8" thickBot="1" x14ac:dyDescent="0.3">
      <c r="A214" s="245" t="s">
        <v>197</v>
      </c>
      <c r="B214" s="228">
        <f t="shared" si="108"/>
        <v>8.3000000000000004E-2</v>
      </c>
      <c r="C214" s="284">
        <f t="shared" si="109"/>
        <v>35.425696675056848</v>
      </c>
      <c r="D214" s="284">
        <f t="shared" si="110"/>
        <v>37.535696675056847</v>
      </c>
      <c r="E214" s="285">
        <f t="shared" si="111"/>
        <v>2.1099999999999994</v>
      </c>
      <c r="F214" s="418">
        <f t="shared" si="112"/>
        <v>5.6213156725611883E-2</v>
      </c>
      <c r="G214" s="285">
        <f t="shared" si="113"/>
        <v>-0.11908760478543791</v>
      </c>
      <c r="H214" s="285">
        <f t="shared" si="114"/>
        <v>1.2847842798422828</v>
      </c>
      <c r="I214" s="285">
        <f t="shared" si="115"/>
        <v>36.591393350113698</v>
      </c>
      <c r="J214" s="285">
        <f t="shared" si="116"/>
        <v>38.701393350113698</v>
      </c>
      <c r="K214" s="418">
        <f t="shared" si="117"/>
        <v>5.7663833126306546E-2</v>
      </c>
      <c r="N214" s="89">
        <v>426</v>
      </c>
      <c r="O214" s="277" t="s">
        <v>197</v>
      </c>
      <c r="P214" s="241">
        <f>+INPUT!Z111</f>
        <v>34.26</v>
      </c>
      <c r="Q214" s="241">
        <f>+INPUT!AA111</f>
        <v>36.369999999999997</v>
      </c>
      <c r="R214" s="243">
        <f>+INPUT!AB111</f>
        <v>8.3000000000000004E-2</v>
      </c>
      <c r="S214" s="238">
        <f>($R214*INPUT!$O$55)*INPUT!$G$58</f>
        <v>-0.11908760478543791</v>
      </c>
      <c r="T214" s="238">
        <f>($R214*INPUT!$O$55)*INPUT!$I$58</f>
        <v>1.2847842798422828</v>
      </c>
      <c r="U214" s="239">
        <f t="shared" si="119"/>
        <v>35.425696675056848</v>
      </c>
      <c r="V214" s="239">
        <f t="shared" si="120"/>
        <v>37.535696675056847</v>
      </c>
    </row>
    <row r="215" spans="1:22" ht="13.8" thickBot="1" x14ac:dyDescent="0.3">
      <c r="A215" s="245" t="s">
        <v>198</v>
      </c>
      <c r="B215" s="228">
        <f t="shared" si="108"/>
        <v>0.11</v>
      </c>
      <c r="C215" s="284">
        <f t="shared" si="109"/>
        <v>36.714899207906662</v>
      </c>
      <c r="D215" s="284">
        <f t="shared" si="110"/>
        <v>37.374899207906658</v>
      </c>
      <c r="E215" s="285">
        <f t="shared" si="111"/>
        <v>0.65999999999999659</v>
      </c>
      <c r="F215" s="418">
        <f t="shared" si="112"/>
        <v>1.7658910498422793E-2</v>
      </c>
      <c r="G215" s="285">
        <f t="shared" si="113"/>
        <v>-0.15782694610118275</v>
      </c>
      <c r="H215" s="285">
        <f t="shared" si="114"/>
        <v>1.7027261540078447</v>
      </c>
      <c r="I215" s="285">
        <f t="shared" si="115"/>
        <v>38.259798415813322</v>
      </c>
      <c r="J215" s="285">
        <f t="shared" si="116"/>
        <v>38.919798415813318</v>
      </c>
      <c r="K215" s="418">
        <f t="shared" si="117"/>
        <v>1.7250482943663634E-2</v>
      </c>
      <c r="N215" s="89">
        <v>428</v>
      </c>
      <c r="O215" s="277" t="s">
        <v>198</v>
      </c>
      <c r="P215" s="241">
        <f>+INPUT!Z112</f>
        <v>35.17</v>
      </c>
      <c r="Q215" s="241">
        <f>+INPUT!AA112</f>
        <v>35.83</v>
      </c>
      <c r="R215" s="243">
        <f>+INPUT!AB112</f>
        <v>0.11</v>
      </c>
      <c r="S215" s="238">
        <f>($R215*INPUT!$O$55)*INPUT!$G$58</f>
        <v>-0.15782694610118275</v>
      </c>
      <c r="T215" s="238">
        <f>($R215*INPUT!$O$55)*INPUT!$I$58</f>
        <v>1.7027261540078447</v>
      </c>
      <c r="U215" s="239">
        <f t="shared" si="119"/>
        <v>36.714899207906662</v>
      </c>
      <c r="V215" s="239">
        <f t="shared" si="120"/>
        <v>37.374899207906658</v>
      </c>
    </row>
    <row r="216" spans="1:22" ht="13.8" thickBot="1" x14ac:dyDescent="0.3">
      <c r="A216" s="245" t="s">
        <v>199</v>
      </c>
      <c r="B216" s="228">
        <f t="shared" si="108"/>
        <v>8.3000000000000004E-2</v>
      </c>
      <c r="C216" s="284">
        <f t="shared" si="109"/>
        <v>34.465696675056847</v>
      </c>
      <c r="D216" s="284">
        <f t="shared" si="110"/>
        <v>37.175696675056848</v>
      </c>
      <c r="E216" s="285">
        <f t="shared" si="111"/>
        <v>2.7100000000000009</v>
      </c>
      <c r="F216" s="418">
        <f t="shared" si="112"/>
        <v>7.2897087139681876E-2</v>
      </c>
      <c r="G216" s="285">
        <f t="shared" si="113"/>
        <v>-0.11908760478543791</v>
      </c>
      <c r="H216" s="285">
        <f t="shared" si="114"/>
        <v>1.2847842798422828</v>
      </c>
      <c r="I216" s="285">
        <f t="shared" si="115"/>
        <v>35.631393350113697</v>
      </c>
      <c r="J216" s="285">
        <f t="shared" si="116"/>
        <v>38.341393350113698</v>
      </c>
      <c r="K216" s="418">
        <f t="shared" si="117"/>
        <v>7.6056526147365869E-2</v>
      </c>
      <c r="N216" s="89">
        <v>430</v>
      </c>
      <c r="O216" s="277" t="s">
        <v>199</v>
      </c>
      <c r="P216" s="241">
        <f>+INPUT!Z113</f>
        <v>33.299999999999997</v>
      </c>
      <c r="Q216" s="241">
        <f>+INPUT!AA113</f>
        <v>36.01</v>
      </c>
      <c r="R216" s="243">
        <f>+INPUT!AB113</f>
        <v>8.3000000000000004E-2</v>
      </c>
      <c r="S216" s="238">
        <f>($R216*INPUT!$O$55)*INPUT!$G$58</f>
        <v>-0.11908760478543791</v>
      </c>
      <c r="T216" s="238">
        <f>($R216*INPUT!$O$55)*INPUT!$I$58</f>
        <v>1.2847842798422828</v>
      </c>
      <c r="U216" s="239">
        <f t="shared" si="119"/>
        <v>34.465696675056847</v>
      </c>
      <c r="V216" s="239">
        <f t="shared" si="120"/>
        <v>37.175696675056848</v>
      </c>
    </row>
    <row r="217" spans="1:22" ht="13.8" thickBot="1" x14ac:dyDescent="0.3">
      <c r="A217" s="245" t="s">
        <v>200</v>
      </c>
      <c r="B217" s="228">
        <f t="shared" si="108"/>
        <v>0.11700000000000001</v>
      </c>
      <c r="C217" s="284">
        <f>+U217</f>
        <v>37.053210975682539</v>
      </c>
      <c r="D217" s="284">
        <f>+V217</f>
        <v>37.963210975682543</v>
      </c>
      <c r="E217" s="285">
        <f>+D217-C217</f>
        <v>0.91000000000000369</v>
      </c>
      <c r="F217" s="418">
        <f>+E217/D217</f>
        <v>2.3970575107119023E-2</v>
      </c>
      <c r="G217" s="285">
        <f>+S217</f>
        <v>-0.16787047903489441</v>
      </c>
      <c r="H217" s="285">
        <f>+T217</f>
        <v>1.8110814547174352</v>
      </c>
      <c r="I217" s="285">
        <f>+C217+G217+H217</f>
        <v>38.696421951365082</v>
      </c>
      <c r="J217" s="285">
        <f>+D217+G217+H217</f>
        <v>39.606421951365085</v>
      </c>
      <c r="K217" s="418">
        <f>(J217-I217)/I217</f>
        <v>2.3516386118171886E-2</v>
      </c>
      <c r="N217" s="89">
        <v>432</v>
      </c>
      <c r="O217" s="277" t="s">
        <v>200</v>
      </c>
      <c r="P217" s="241">
        <f>+INPUT!Z114</f>
        <v>35.409999999999997</v>
      </c>
      <c r="Q217" s="241">
        <f>+INPUT!AA114</f>
        <v>36.32</v>
      </c>
      <c r="R217" s="243">
        <f>+INPUT!AB114</f>
        <v>0.11700000000000001</v>
      </c>
      <c r="S217" s="238">
        <f>($R217*INPUT!$O$55)*INPUT!$G$58</f>
        <v>-0.16787047903489441</v>
      </c>
      <c r="T217" s="238">
        <f>($R217*INPUT!$O$55)*INPUT!$I$58</f>
        <v>1.8110814547174352</v>
      </c>
      <c r="U217" s="239">
        <f t="shared" si="119"/>
        <v>37.053210975682539</v>
      </c>
      <c r="V217" s="239">
        <f t="shared" si="120"/>
        <v>37.963210975682543</v>
      </c>
    </row>
    <row r="218" spans="1:22" ht="6.75" customHeight="1" thickBot="1" x14ac:dyDescent="0.3">
      <c r="A218" s="254"/>
      <c r="B218" s="279"/>
      <c r="C218" s="284"/>
      <c r="D218" s="285"/>
      <c r="E218" s="285"/>
      <c r="F218" s="423"/>
      <c r="G218" s="286"/>
      <c r="H218" s="285"/>
      <c r="I218" s="285"/>
      <c r="J218" s="285"/>
      <c r="K218" s="418"/>
      <c r="N218" s="89" t="s">
        <v>145</v>
      </c>
      <c r="O218" s="280"/>
      <c r="P218" s="241"/>
      <c r="Q218" s="241"/>
      <c r="R218" s="243"/>
      <c r="S218" s="238"/>
      <c r="T218" s="238"/>
      <c r="U218" s="239"/>
      <c r="V218" s="239"/>
    </row>
    <row r="219" spans="1:22" ht="13.8" thickBot="1" x14ac:dyDescent="0.3">
      <c r="A219" s="245" t="s">
        <v>100</v>
      </c>
      <c r="B219" s="262"/>
      <c r="C219" s="284"/>
      <c r="D219" s="285"/>
      <c r="E219" s="285"/>
      <c r="F219" s="215"/>
      <c r="G219" s="286"/>
      <c r="H219" s="285"/>
      <c r="I219" s="285"/>
      <c r="J219" s="285"/>
      <c r="K219" s="418"/>
      <c r="O219" s="281" t="s">
        <v>100</v>
      </c>
      <c r="P219" s="241"/>
      <c r="Q219" s="241"/>
      <c r="R219" s="243"/>
    </row>
    <row r="220" spans="1:22" ht="13.8" thickBot="1" x14ac:dyDescent="0.3">
      <c r="A220" s="245" t="s">
        <v>201</v>
      </c>
      <c r="B220" s="228">
        <f t="shared" ref="B220:B224" si="121">+R220</f>
        <v>0.21</v>
      </c>
      <c r="C220" s="284">
        <f t="shared" ref="C220:C224" si="122">+U220</f>
        <v>21.039353033276353</v>
      </c>
      <c r="D220" s="284">
        <f t="shared" ref="D220:D224" si="123">+V220</f>
        <v>22.509353033276351</v>
      </c>
      <c r="E220" s="285">
        <f t="shared" ref="E220:E224" si="124">+D220-C220</f>
        <v>1.4699999999999989</v>
      </c>
      <c r="F220" s="418">
        <f t="shared" ref="F220:F224" si="125">+E220/D220</f>
        <v>6.5306186180777714E-2</v>
      </c>
      <c r="G220" s="285">
        <f t="shared" ref="G220:G224" si="126">+S220</f>
        <v>-0.30130598801134889</v>
      </c>
      <c r="H220" s="285">
        <f t="shared" ref="H220:H224" si="127">+T220</f>
        <v>3.2506590212877038</v>
      </c>
      <c r="I220" s="285">
        <f t="shared" ref="I220:I224" si="128">+C220+G220+H220</f>
        <v>23.988706066552705</v>
      </c>
      <c r="J220" s="285">
        <f t="shared" ref="J220:J224" si="129">+D220+G220+H220</f>
        <v>25.458706066552704</v>
      </c>
      <c r="K220" s="418">
        <f t="shared" ref="K220:K224" si="130">(J220-I220)/I220</f>
        <v>6.1278836629275732E-2</v>
      </c>
      <c r="N220" s="89">
        <v>318</v>
      </c>
      <c r="O220" s="276" t="s">
        <v>201</v>
      </c>
      <c r="P220" s="241">
        <f>+INPUT!Z117</f>
        <v>18.09</v>
      </c>
      <c r="Q220" s="241">
        <f>+INPUT!AA117</f>
        <v>19.559999999999999</v>
      </c>
      <c r="R220" s="243">
        <f>+INPUT!AB117</f>
        <v>0.21</v>
      </c>
      <c r="S220" s="238">
        <f>($R220*INPUT!$O$55)*INPUT!$G$58</f>
        <v>-0.30130598801134889</v>
      </c>
      <c r="T220" s="238">
        <f>($R220*INPUT!$O$55)*INPUT!$I$58</f>
        <v>3.2506590212877038</v>
      </c>
      <c r="U220" s="239">
        <f t="shared" ref="U220:U224" si="131">+P220+S220+T220</f>
        <v>21.039353033276353</v>
      </c>
      <c r="V220" s="239">
        <f t="shared" ref="V220:V224" si="132">+Q220+S220+T220</f>
        <v>22.509353033276351</v>
      </c>
    </row>
    <row r="221" spans="1:22" ht="13.8" thickBot="1" x14ac:dyDescent="0.3">
      <c r="A221" s="245" t="s">
        <v>202</v>
      </c>
      <c r="B221" s="228">
        <f t="shared" si="121"/>
        <v>0.29799999999999999</v>
      </c>
      <c r="C221" s="284">
        <f t="shared" si="122"/>
        <v>24.115272399601686</v>
      </c>
      <c r="D221" s="284">
        <f t="shared" si="123"/>
        <v>25.725272399601685</v>
      </c>
      <c r="E221" s="285">
        <f t="shared" si="124"/>
        <v>1.6099999999999994</v>
      </c>
      <c r="F221" s="418">
        <f t="shared" si="125"/>
        <v>6.2584371313593082E-2</v>
      </c>
      <c r="G221" s="285">
        <f t="shared" si="126"/>
        <v>-0.42756754489229509</v>
      </c>
      <c r="H221" s="285">
        <f t="shared" si="127"/>
        <v>4.61283994449398</v>
      </c>
      <c r="I221" s="285">
        <f t="shared" si="128"/>
        <v>28.300544799203372</v>
      </c>
      <c r="J221" s="285">
        <f t="shared" si="129"/>
        <v>29.910544799203372</v>
      </c>
      <c r="K221" s="418">
        <f t="shared" si="130"/>
        <v>5.6889364195042598E-2</v>
      </c>
      <c r="N221" s="89">
        <v>314</v>
      </c>
      <c r="O221" s="277" t="s">
        <v>202</v>
      </c>
      <c r="P221" s="241">
        <f>+INPUT!Z118</f>
        <v>19.93</v>
      </c>
      <c r="Q221" s="241">
        <f>+INPUT!AA118</f>
        <v>21.54</v>
      </c>
      <c r="R221" s="243">
        <f>+INPUT!AB118</f>
        <v>0.29799999999999999</v>
      </c>
      <c r="S221" s="238">
        <f>($R221*INPUT!$O$55)*INPUT!$G$58</f>
        <v>-0.42756754489229509</v>
      </c>
      <c r="T221" s="238">
        <f>($R221*INPUT!$O$55)*INPUT!$I$58</f>
        <v>4.61283994449398</v>
      </c>
      <c r="U221" s="239">
        <f t="shared" si="131"/>
        <v>24.115272399601686</v>
      </c>
      <c r="V221" s="239">
        <f t="shared" si="132"/>
        <v>25.725272399601685</v>
      </c>
    </row>
    <row r="222" spans="1:22" ht="13.8" thickBot="1" x14ac:dyDescent="0.3">
      <c r="A222" s="245" t="s">
        <v>203</v>
      </c>
      <c r="B222" s="228">
        <f t="shared" si="121"/>
        <v>0.46200000000000002</v>
      </c>
      <c r="C222" s="284">
        <f t="shared" si="122"/>
        <v>30.338576673207985</v>
      </c>
      <c r="D222" s="284">
        <f t="shared" si="123"/>
        <v>32.268576673207981</v>
      </c>
      <c r="E222" s="285">
        <f t="shared" si="124"/>
        <v>1.9299999999999962</v>
      </c>
      <c r="F222" s="418">
        <f t="shared" si="125"/>
        <v>5.9810509138521761E-2</v>
      </c>
      <c r="G222" s="285">
        <f t="shared" si="126"/>
        <v>-0.66287317362496767</v>
      </c>
      <c r="H222" s="285">
        <f t="shared" si="127"/>
        <v>7.151449846832949</v>
      </c>
      <c r="I222" s="285">
        <f t="shared" si="128"/>
        <v>36.827153346415969</v>
      </c>
      <c r="J222" s="285">
        <f t="shared" si="129"/>
        <v>38.757153346415961</v>
      </c>
      <c r="K222" s="418">
        <f t="shared" si="130"/>
        <v>5.2406983017269267E-2</v>
      </c>
      <c r="N222" s="89">
        <v>315</v>
      </c>
      <c r="O222" s="277" t="s">
        <v>203</v>
      </c>
      <c r="P222" s="241">
        <f>+INPUT!Z119</f>
        <v>23.85</v>
      </c>
      <c r="Q222" s="241">
        <f>+INPUT!AA119</f>
        <v>25.78</v>
      </c>
      <c r="R222" s="243">
        <f>+INPUT!AB119</f>
        <v>0.46200000000000002</v>
      </c>
      <c r="S222" s="238">
        <f>($R222*INPUT!$O$55)*INPUT!$G$58</f>
        <v>-0.66287317362496767</v>
      </c>
      <c r="T222" s="238">
        <f>($R222*INPUT!$O$55)*INPUT!$I$58</f>
        <v>7.151449846832949</v>
      </c>
      <c r="U222" s="239">
        <f t="shared" si="131"/>
        <v>30.338576673207985</v>
      </c>
      <c r="V222" s="239">
        <f t="shared" si="132"/>
        <v>32.268576673207981</v>
      </c>
    </row>
    <row r="223" spans="1:22" ht="13.8" thickBot="1" x14ac:dyDescent="0.3">
      <c r="A223" s="245" t="s">
        <v>204</v>
      </c>
      <c r="B223" s="228">
        <f t="shared" si="121"/>
        <v>0.1</v>
      </c>
      <c r="C223" s="284">
        <f t="shared" si="122"/>
        <v>14.484453825369693</v>
      </c>
      <c r="D223" s="284">
        <f t="shared" si="123"/>
        <v>15.544453825369693</v>
      </c>
      <c r="E223" s="285">
        <f t="shared" si="124"/>
        <v>1.0600000000000005</v>
      </c>
      <c r="F223" s="418">
        <f t="shared" si="125"/>
        <v>6.8191524250919802E-2</v>
      </c>
      <c r="G223" s="285">
        <f t="shared" si="126"/>
        <v>-0.14347904191016617</v>
      </c>
      <c r="H223" s="285">
        <f t="shared" si="127"/>
        <v>1.5479328672798591</v>
      </c>
      <c r="I223" s="285">
        <f t="shared" si="128"/>
        <v>15.888907650739386</v>
      </c>
      <c r="J223" s="285">
        <f t="shared" si="129"/>
        <v>16.948907650739386</v>
      </c>
      <c r="K223" s="418">
        <f t="shared" si="130"/>
        <v>6.6713207937279043E-2</v>
      </c>
      <c r="N223" s="89">
        <v>206</v>
      </c>
      <c r="O223" s="277" t="s">
        <v>204</v>
      </c>
      <c r="P223" s="241">
        <f>+INPUT!Z120</f>
        <v>13.08</v>
      </c>
      <c r="Q223" s="241">
        <f>+INPUT!AA120</f>
        <v>14.14</v>
      </c>
      <c r="R223" s="243">
        <f>+INPUT!AB120</f>
        <v>0.1</v>
      </c>
      <c r="S223" s="238">
        <f>($R223*INPUT!$O$55)*INPUT!$G$58</f>
        <v>-0.14347904191016617</v>
      </c>
      <c r="T223" s="238">
        <f>($R223*INPUT!$O$55)*INPUT!$I$58</f>
        <v>1.5479328672798591</v>
      </c>
      <c r="U223" s="239">
        <f t="shared" si="131"/>
        <v>14.484453825369693</v>
      </c>
      <c r="V223" s="239">
        <f t="shared" si="132"/>
        <v>15.544453825369693</v>
      </c>
    </row>
    <row r="224" spans="1:22" ht="13.8" thickBot="1" x14ac:dyDescent="0.3">
      <c r="A224" s="245" t="s">
        <v>205</v>
      </c>
      <c r="B224" s="228">
        <f t="shared" si="121"/>
        <v>0.21</v>
      </c>
      <c r="C224" s="284">
        <f t="shared" si="122"/>
        <v>17.859353033276356</v>
      </c>
      <c r="D224" s="284">
        <f t="shared" si="123"/>
        <v>19.069353033276357</v>
      </c>
      <c r="E224" s="285">
        <f t="shared" si="124"/>
        <v>1.2100000000000009</v>
      </c>
      <c r="F224" s="418">
        <f t="shared" si="125"/>
        <v>6.3452598412150091E-2</v>
      </c>
      <c r="G224" s="285">
        <f t="shared" si="126"/>
        <v>-0.30130598801134889</v>
      </c>
      <c r="H224" s="285">
        <f t="shared" si="127"/>
        <v>3.2506590212877038</v>
      </c>
      <c r="I224" s="285">
        <f t="shared" si="128"/>
        <v>20.808706066552709</v>
      </c>
      <c r="J224" s="285">
        <f t="shared" si="129"/>
        <v>22.01870606655271</v>
      </c>
      <c r="K224" s="418">
        <f t="shared" si="130"/>
        <v>5.814873813537684E-2</v>
      </c>
      <c r="N224" s="89">
        <v>208</v>
      </c>
      <c r="O224" s="277" t="s">
        <v>205</v>
      </c>
      <c r="P224" s="241">
        <f>+INPUT!Z121</f>
        <v>14.91</v>
      </c>
      <c r="Q224" s="241">
        <f>+INPUT!AA121</f>
        <v>16.12</v>
      </c>
      <c r="R224" s="243">
        <f>+INPUT!AB121</f>
        <v>0.21</v>
      </c>
      <c r="S224" s="238">
        <f>($R224*INPUT!$O$55)*INPUT!$G$58</f>
        <v>-0.30130598801134889</v>
      </c>
      <c r="T224" s="238">
        <f>($R224*INPUT!$O$55)*INPUT!$I$58</f>
        <v>3.2506590212877038</v>
      </c>
      <c r="U224" s="239">
        <f t="shared" si="131"/>
        <v>17.859353033276356</v>
      </c>
      <c r="V224" s="239">
        <f t="shared" si="132"/>
        <v>19.069353033276357</v>
      </c>
    </row>
    <row r="225" spans="1:22" ht="6.75" customHeight="1" thickBot="1" x14ac:dyDescent="0.3">
      <c r="A225" s="254"/>
      <c r="B225" s="279"/>
      <c r="C225" s="284"/>
      <c r="D225" s="285"/>
      <c r="E225" s="285"/>
      <c r="F225" s="215"/>
      <c r="G225" s="286"/>
      <c r="H225" s="285"/>
      <c r="I225" s="285"/>
      <c r="J225" s="285"/>
      <c r="K225" s="418"/>
      <c r="N225" s="89" t="s">
        <v>145</v>
      </c>
      <c r="O225" s="280"/>
      <c r="P225" s="241"/>
      <c r="Q225" s="241"/>
      <c r="R225" s="243"/>
    </row>
    <row r="226" spans="1:22" x14ac:dyDescent="0.25">
      <c r="A226" s="233" t="s">
        <v>92</v>
      </c>
      <c r="F226" s="215"/>
      <c r="G226" s="237"/>
      <c r="K226" s="418"/>
      <c r="O226" s="89"/>
      <c r="R226" s="283"/>
    </row>
    <row r="227" spans="1:22" ht="13.8" thickBot="1" x14ac:dyDescent="0.3">
      <c r="A227" s="245" t="s">
        <v>423</v>
      </c>
      <c r="B227" s="228">
        <f>+R227</f>
        <v>0.15</v>
      </c>
      <c r="C227" s="284">
        <f t="shared" ref="C227:D230" si="133">+U227</f>
        <v>17.186680738054537</v>
      </c>
      <c r="D227" s="284">
        <f t="shared" si="133"/>
        <v>19.286680738054539</v>
      </c>
      <c r="E227" s="285">
        <f>+D227-C227</f>
        <v>2.1000000000000014</v>
      </c>
      <c r="F227" s="418">
        <f>+E227/D227</f>
        <v>0.10888343248491134</v>
      </c>
      <c r="G227" s="285">
        <f t="shared" ref="G227:H230" si="134">+S227</f>
        <v>-0.21521856286524921</v>
      </c>
      <c r="H227" s="285">
        <f t="shared" si="134"/>
        <v>2.3218993009197884</v>
      </c>
      <c r="I227" s="285">
        <f>+C227+G227+H227</f>
        <v>19.293361476109077</v>
      </c>
      <c r="J227" s="285">
        <f>+D227+G227+H227</f>
        <v>21.393361476109078</v>
      </c>
      <c r="K227" s="418">
        <f>(J227-I227)/I227</f>
        <v>0.10884572927327497</v>
      </c>
      <c r="N227" s="89">
        <v>479</v>
      </c>
      <c r="O227" s="250" t="s">
        <v>167</v>
      </c>
      <c r="P227" s="241">
        <f>+INPUT!Z52</f>
        <v>15.08</v>
      </c>
      <c r="Q227" s="242">
        <f>+INPUT!AA52</f>
        <v>17.18</v>
      </c>
      <c r="R227" s="243">
        <f>+INPUT!AB52</f>
        <v>0.15</v>
      </c>
      <c r="S227" s="238">
        <f>($R227*INPUT!$O$55)*INPUT!$G$58</f>
        <v>-0.21521856286524921</v>
      </c>
      <c r="T227" s="238">
        <f>($R227*INPUT!$O$55)*INPUT!$I$58</f>
        <v>2.3218993009197884</v>
      </c>
      <c r="U227" s="239">
        <f>+P227+S227+T227</f>
        <v>17.186680738054537</v>
      </c>
      <c r="V227" s="239">
        <f>+Q227+S227+T227</f>
        <v>19.286680738054539</v>
      </c>
    </row>
    <row r="228" spans="1:22" ht="13.8" thickBot="1" x14ac:dyDescent="0.3">
      <c r="A228" s="245" t="s">
        <v>424</v>
      </c>
      <c r="B228" s="228">
        <f>+R228</f>
        <v>0.15</v>
      </c>
      <c r="C228" s="284">
        <f t="shared" si="133"/>
        <v>26.956680738054541</v>
      </c>
      <c r="D228" s="284">
        <f t="shared" si="133"/>
        <v>34.416680738054545</v>
      </c>
      <c r="E228" s="285">
        <f>+D228-C228</f>
        <v>7.4600000000000044</v>
      </c>
      <c r="F228" s="418">
        <f>+E228/D228</f>
        <v>0.21675535932061799</v>
      </c>
      <c r="G228" s="285">
        <f t="shared" si="134"/>
        <v>-0.21521856286524921</v>
      </c>
      <c r="H228" s="285">
        <f t="shared" si="134"/>
        <v>2.3218993009197884</v>
      </c>
      <c r="I228" s="285">
        <f>+C228+G228+H228</f>
        <v>29.06336147610908</v>
      </c>
      <c r="J228" s="285">
        <f>+D228+G228+H228</f>
        <v>36.523361476109088</v>
      </c>
      <c r="K228" s="418">
        <f>(J228-I228)/I228</f>
        <v>0.25668056346931317</v>
      </c>
      <c r="N228" s="89">
        <v>480</v>
      </c>
      <c r="O228" s="246" t="s">
        <v>168</v>
      </c>
      <c r="P228" s="241">
        <f>+INPUT!Z53</f>
        <v>24.85</v>
      </c>
      <c r="Q228" s="242">
        <f>+INPUT!AA53</f>
        <v>32.31</v>
      </c>
      <c r="R228" s="243">
        <f>+INPUT!AB53</f>
        <v>0.15</v>
      </c>
      <c r="S228" s="238">
        <f>($R228*INPUT!$O$55)*INPUT!$G$58</f>
        <v>-0.21521856286524921</v>
      </c>
      <c r="T228" s="238">
        <f>($R228*INPUT!$O$55)*INPUT!$I$58</f>
        <v>2.3218993009197884</v>
      </c>
      <c r="U228" s="239">
        <f>+P228+S228+T228</f>
        <v>26.956680738054541</v>
      </c>
      <c r="V228" s="239">
        <f>+Q228+S228+T228</f>
        <v>34.416680738054545</v>
      </c>
    </row>
    <row r="229" spans="1:22" ht="13.8" thickBot="1" x14ac:dyDescent="0.3">
      <c r="A229" s="245" t="s">
        <v>425</v>
      </c>
      <c r="B229" s="228">
        <f>+R229</f>
        <v>1.08</v>
      </c>
      <c r="C229" s="284">
        <f t="shared" si="133"/>
        <v>60.178101313992684</v>
      </c>
      <c r="D229" s="284">
        <f t="shared" si="133"/>
        <v>60.178101313992684</v>
      </c>
      <c r="E229" s="285">
        <f>+D229-C229</f>
        <v>0</v>
      </c>
      <c r="F229" s="418">
        <f>+E229/D229</f>
        <v>0</v>
      </c>
      <c r="G229" s="285">
        <f t="shared" si="134"/>
        <v>-1.5495736526297945</v>
      </c>
      <c r="H229" s="285">
        <f t="shared" si="134"/>
        <v>16.717674966622479</v>
      </c>
      <c r="I229" s="285">
        <f>+C229+G229+H229</f>
        <v>75.346202627985363</v>
      </c>
      <c r="J229" s="285">
        <f>+D229+G229+H229</f>
        <v>75.346202627985363</v>
      </c>
      <c r="K229" s="418">
        <f>(J229-I229)/I229</f>
        <v>0</v>
      </c>
      <c r="N229" s="89">
        <v>483</v>
      </c>
      <c r="O229" s="247" t="s">
        <v>171</v>
      </c>
      <c r="P229" s="241">
        <f>+INPUT!Z56</f>
        <v>45.01</v>
      </c>
      <c r="Q229" s="242">
        <f>+INPUT!AA56</f>
        <v>45.01</v>
      </c>
      <c r="R229" s="243">
        <f>+INPUT!AB56</f>
        <v>1.08</v>
      </c>
      <c r="S229" s="238">
        <f>($R229*INPUT!$O$55)*INPUT!$G$58</f>
        <v>-1.5495736526297945</v>
      </c>
      <c r="T229" s="238">
        <f>($R229*INPUT!$O$55)*INPUT!$I$58</f>
        <v>16.717674966622479</v>
      </c>
      <c r="U229" s="239">
        <f t="shared" ref="U229:U230" si="135">+P229+S229+T229</f>
        <v>60.178101313992684</v>
      </c>
      <c r="V229" s="239">
        <f t="shared" ref="V229:V230" si="136">+Q229+S229+T229</f>
        <v>60.178101313992684</v>
      </c>
    </row>
    <row r="230" spans="1:22" ht="13.8" thickBot="1" x14ac:dyDescent="0.3">
      <c r="A230" s="245" t="s">
        <v>426</v>
      </c>
      <c r="B230" s="228">
        <f>+R230</f>
        <v>1.08</v>
      </c>
      <c r="C230" s="284">
        <f t="shared" si="133"/>
        <v>69.928101313992684</v>
      </c>
      <c r="D230" s="284">
        <f t="shared" si="133"/>
        <v>73.518101313992688</v>
      </c>
      <c r="E230" s="285">
        <f>+D230-C230</f>
        <v>3.5900000000000034</v>
      </c>
      <c r="F230" s="418">
        <f>+E230/D230</f>
        <v>4.8831511367074976E-2</v>
      </c>
      <c r="G230" s="286">
        <f t="shared" si="134"/>
        <v>-1.5495736526297945</v>
      </c>
      <c r="H230" s="285">
        <f t="shared" si="134"/>
        <v>16.717674966622479</v>
      </c>
      <c r="I230" s="285">
        <f>+C230+G230+H230</f>
        <v>85.096202627985377</v>
      </c>
      <c r="J230" s="285">
        <f>+D230+G230+H230</f>
        <v>88.686202627985381</v>
      </c>
      <c r="K230" s="418">
        <f>(J230-I230)/I230</f>
        <v>4.2187546437229259E-2</v>
      </c>
      <c r="N230" s="89">
        <v>484</v>
      </c>
      <c r="O230" s="251" t="s">
        <v>172</v>
      </c>
      <c r="P230" s="241">
        <f>+INPUT!Z57</f>
        <v>54.76</v>
      </c>
      <c r="Q230" s="242">
        <f>+INPUT!AA57</f>
        <v>58.35</v>
      </c>
      <c r="R230" s="243">
        <f>+INPUT!AB57</f>
        <v>1.08</v>
      </c>
      <c r="S230" s="238">
        <f>($R230*INPUT!$O$55)*INPUT!$G$58</f>
        <v>-1.5495736526297945</v>
      </c>
      <c r="T230" s="238">
        <f>($R230*INPUT!$O$55)*INPUT!$I$58</f>
        <v>16.717674966622479</v>
      </c>
      <c r="U230" s="239">
        <f t="shared" si="135"/>
        <v>69.928101313992684</v>
      </c>
      <c r="V230" s="239">
        <f t="shared" si="136"/>
        <v>73.518101313992688</v>
      </c>
    </row>
    <row r="231" spans="1:22" ht="7.2" customHeight="1" x14ac:dyDescent="0.25">
      <c r="A231" s="245"/>
      <c r="B231" s="228"/>
      <c r="C231" s="284"/>
      <c r="D231" s="284"/>
      <c r="E231" s="285"/>
      <c r="F231" s="418"/>
      <c r="G231" s="286"/>
      <c r="H231" s="285"/>
      <c r="I231" s="285"/>
      <c r="J231" s="285"/>
      <c r="K231" s="418"/>
      <c r="O231" s="245"/>
      <c r="P231" s="241"/>
      <c r="Q231" s="242"/>
      <c r="R231" s="243"/>
      <c r="S231" s="238"/>
      <c r="T231" s="238"/>
      <c r="U231" s="239"/>
      <c r="V231" s="239"/>
    </row>
    <row r="232" spans="1:22" ht="13.8" thickBot="1" x14ac:dyDescent="0.3">
      <c r="A232" s="229" t="s">
        <v>101</v>
      </c>
      <c r="B232" s="265"/>
      <c r="C232" s="284"/>
      <c r="D232" s="285"/>
      <c r="E232" s="285"/>
      <c r="F232" s="215"/>
      <c r="G232" s="286"/>
      <c r="H232" s="285"/>
      <c r="I232" s="285"/>
      <c r="J232" s="285"/>
      <c r="K232" s="418"/>
      <c r="O232" s="278" t="s">
        <v>101</v>
      </c>
      <c r="P232" s="241"/>
      <c r="Q232" s="241"/>
      <c r="R232" s="243"/>
    </row>
    <row r="233" spans="1:22" ht="14.25" customHeight="1" thickBot="1" x14ac:dyDescent="0.3">
      <c r="A233" s="245" t="s">
        <v>206</v>
      </c>
      <c r="B233" s="228">
        <f t="shared" ref="B233:B234" si="137">+R233</f>
        <v>0.10199999999999999</v>
      </c>
      <c r="C233" s="284">
        <f t="shared" ref="C233:C234" si="138">+U233</f>
        <v>11.002542901877087</v>
      </c>
      <c r="D233" s="284">
        <f t="shared" ref="D233:D234" si="139">+V233</f>
        <v>11.002542901877087</v>
      </c>
      <c r="E233" s="285">
        <f t="shared" ref="E233:E234" si="140">+D233-C233</f>
        <v>0</v>
      </c>
      <c r="F233" s="418">
        <f t="shared" ref="F233:F234" si="141">+E233/D233</f>
        <v>0</v>
      </c>
      <c r="G233" s="285">
        <f t="shared" ref="G233:G234" si="142">+S233</f>
        <v>-0.14634862274836943</v>
      </c>
      <c r="H233" s="285">
        <f t="shared" ref="H233:H234" si="143">+T233</f>
        <v>1.5788915246254558</v>
      </c>
      <c r="I233" s="285">
        <f t="shared" ref="I233:I234" si="144">+C233+G233+H233</f>
        <v>12.435085803754173</v>
      </c>
      <c r="J233" s="285">
        <f t="shared" ref="J233:J234" si="145">+D233+G233+H233</f>
        <v>12.435085803754173</v>
      </c>
      <c r="K233" s="418">
        <f t="shared" ref="K233:K234" si="146">(J233-I233)/I233</f>
        <v>0</v>
      </c>
      <c r="N233" s="89">
        <v>349</v>
      </c>
      <c r="O233" s="281" t="s">
        <v>206</v>
      </c>
      <c r="P233" s="241">
        <f>+INPUT!Z124</f>
        <v>9.57</v>
      </c>
      <c r="Q233" s="241">
        <f>+INPUT!AA124</f>
        <v>9.57</v>
      </c>
      <c r="R233" s="243">
        <f>+INPUT!AB124</f>
        <v>0.10199999999999999</v>
      </c>
      <c r="S233" s="238">
        <f>($R233*INPUT!$O$55)*INPUT!$G$58</f>
        <v>-0.14634862274836943</v>
      </c>
      <c r="T233" s="238">
        <f>($R233*INPUT!$O$55)*INPUT!$I$58</f>
        <v>1.5788915246254558</v>
      </c>
      <c r="U233" s="239">
        <f t="shared" ref="U233:U234" si="147">+P233+S233+T233</f>
        <v>11.002542901877087</v>
      </c>
      <c r="V233" s="239">
        <f t="shared" ref="V233:V234" si="148">+Q233+S233+T233</f>
        <v>11.002542901877087</v>
      </c>
    </row>
    <row r="234" spans="1:22" ht="13.8" thickBot="1" x14ac:dyDescent="0.3">
      <c r="A234" s="245" t="s">
        <v>207</v>
      </c>
      <c r="B234" s="228">
        <f t="shared" si="137"/>
        <v>0.44700000000000001</v>
      </c>
      <c r="C234" s="284">
        <f t="shared" si="138"/>
        <v>20.207908599402529</v>
      </c>
      <c r="D234" s="284">
        <f t="shared" si="139"/>
        <v>20.207908599402529</v>
      </c>
      <c r="E234" s="285">
        <f t="shared" si="140"/>
        <v>0</v>
      </c>
      <c r="F234" s="418">
        <f t="shared" si="141"/>
        <v>0</v>
      </c>
      <c r="G234" s="285">
        <f t="shared" si="142"/>
        <v>-0.64135131733844275</v>
      </c>
      <c r="H234" s="285">
        <f t="shared" si="143"/>
        <v>6.9192599167409696</v>
      </c>
      <c r="I234" s="285">
        <f t="shared" si="144"/>
        <v>26.485817198805055</v>
      </c>
      <c r="J234" s="285">
        <f t="shared" si="145"/>
        <v>26.485817198805055</v>
      </c>
      <c r="K234" s="418">
        <f t="shared" si="146"/>
        <v>0</v>
      </c>
      <c r="N234" s="89">
        <v>348</v>
      </c>
      <c r="O234" s="282" t="s">
        <v>207</v>
      </c>
      <c r="P234" s="241">
        <f>+INPUT!Z125</f>
        <v>13.93</v>
      </c>
      <c r="Q234" s="241">
        <f>+INPUT!AA125</f>
        <v>13.93</v>
      </c>
      <c r="R234" s="243">
        <f>+INPUT!AB125</f>
        <v>0.44700000000000001</v>
      </c>
      <c r="S234" s="238">
        <f>($R234*INPUT!$O$55)*INPUT!$G$58</f>
        <v>-0.64135131733844275</v>
      </c>
      <c r="T234" s="238">
        <f>($R234*INPUT!$O$55)*INPUT!$I$58</f>
        <v>6.9192599167409696</v>
      </c>
      <c r="U234" s="239">
        <f t="shared" si="147"/>
        <v>20.207908599402529</v>
      </c>
      <c r="V234" s="239">
        <f t="shared" si="148"/>
        <v>20.207908599402529</v>
      </c>
    </row>
    <row r="235" spans="1:22" x14ac:dyDescent="0.25">
      <c r="A235" s="245"/>
      <c r="B235" s="228"/>
      <c r="C235" s="284"/>
      <c r="D235" s="284"/>
      <c r="E235" s="285"/>
      <c r="F235" s="237"/>
      <c r="G235" s="285"/>
      <c r="H235" s="285"/>
      <c r="I235" s="285"/>
      <c r="J235" s="285"/>
      <c r="K235" s="237"/>
      <c r="O235" s="300"/>
      <c r="P235" s="257"/>
      <c r="Q235" s="257"/>
      <c r="R235" s="243"/>
      <c r="S235" s="238"/>
      <c r="T235" s="238"/>
      <c r="U235" s="239"/>
      <c r="V235" s="239"/>
    </row>
    <row r="236" spans="1:22" x14ac:dyDescent="0.25">
      <c r="A236" s="214" t="s">
        <v>336</v>
      </c>
      <c r="G236" s="237"/>
      <c r="K236" s="237"/>
      <c r="O236" s="89"/>
      <c r="P236" s="89"/>
      <c r="Q236" s="89"/>
      <c r="R236" s="283"/>
    </row>
    <row r="237" spans="1:22" x14ac:dyDescent="0.25">
      <c r="A237" s="210" t="s">
        <v>351</v>
      </c>
      <c r="G237" s="237"/>
      <c r="K237" s="237"/>
      <c r="O237" s="89"/>
      <c r="P237" s="89"/>
      <c r="Q237" s="89"/>
      <c r="R237" s="283"/>
    </row>
    <row r="238" spans="1:22" x14ac:dyDescent="0.25">
      <c r="A238" s="210" t="str">
        <f>+'Rate Case Constants'!$C$26</f>
        <v>Calculations may vary from other schedules due to rounding</v>
      </c>
      <c r="G238" s="237"/>
      <c r="K238" s="237"/>
      <c r="O238" s="89"/>
      <c r="R238" s="283"/>
    </row>
    <row r="239" spans="1:22" x14ac:dyDescent="0.25">
      <c r="A239" s="210" t="s">
        <v>422</v>
      </c>
      <c r="G239" s="237"/>
      <c r="K239" s="237"/>
      <c r="O239" s="89"/>
      <c r="R239" s="283"/>
    </row>
    <row r="240" spans="1:22" x14ac:dyDescent="0.25">
      <c r="A240" s="210"/>
      <c r="G240" s="237"/>
      <c r="K240" s="237"/>
      <c r="O240" s="89"/>
      <c r="R240" s="283"/>
    </row>
    <row r="246" spans="15:18" x14ac:dyDescent="0.25">
      <c r="O246" s="89"/>
      <c r="R246" s="283"/>
    </row>
    <row r="247" spans="15:18" x14ac:dyDescent="0.25">
      <c r="O247" s="89"/>
      <c r="R247" s="283"/>
    </row>
    <row r="248" spans="15:18" x14ac:dyDescent="0.25">
      <c r="O248" s="89"/>
      <c r="R248" s="283"/>
    </row>
    <row r="249" spans="15:18" x14ac:dyDescent="0.25">
      <c r="O249" s="89"/>
      <c r="R249" s="235"/>
    </row>
    <row r="250" spans="15:18" x14ac:dyDescent="0.25">
      <c r="O250" s="89"/>
      <c r="R250" s="235"/>
    </row>
    <row r="251" spans="15:18" x14ac:dyDescent="0.25">
      <c r="O251" s="89"/>
      <c r="R251" s="235"/>
    </row>
    <row r="252" spans="15:18" x14ac:dyDescent="0.25">
      <c r="O252" s="89"/>
      <c r="R252" s="235"/>
    </row>
    <row r="253" spans="15:18" x14ac:dyDescent="0.25">
      <c r="O253" s="89"/>
      <c r="R253" s="235"/>
    </row>
    <row r="254" spans="15:18" x14ac:dyDescent="0.25">
      <c r="O254" s="89"/>
      <c r="R254" s="235"/>
    </row>
    <row r="255" spans="15:18" x14ac:dyDescent="0.25">
      <c r="R255" s="235"/>
    </row>
    <row r="256" spans="15:18" x14ac:dyDescent="0.25">
      <c r="R256" s="235"/>
    </row>
    <row r="257" spans="18:18" x14ac:dyDescent="0.25">
      <c r="R257" s="235"/>
    </row>
    <row r="258" spans="18:18" x14ac:dyDescent="0.25">
      <c r="R258" s="235"/>
    </row>
  </sheetData>
  <mergeCells count="30">
    <mergeCell ref="A116:K116"/>
    <mergeCell ref="A117:K117"/>
    <mergeCell ref="A114:K114"/>
    <mergeCell ref="A40:K40"/>
    <mergeCell ref="A41:K41"/>
    <mergeCell ref="A42:K42"/>
    <mergeCell ref="G12:H12"/>
    <mergeCell ref="A115:K115"/>
    <mergeCell ref="A1:K1"/>
    <mergeCell ref="A2:K2"/>
    <mergeCell ref="A3:K3"/>
    <mergeCell ref="A4:K4"/>
    <mergeCell ref="A39:K39"/>
    <mergeCell ref="G50:H50"/>
    <mergeCell ref="A83:K83"/>
    <mergeCell ref="A84:K84"/>
    <mergeCell ref="A85:K85"/>
    <mergeCell ref="A86:K86"/>
    <mergeCell ref="G94:H94"/>
    <mergeCell ref="A195:K195"/>
    <mergeCell ref="G204:H204"/>
    <mergeCell ref="G125:H125"/>
    <mergeCell ref="G163:H163"/>
    <mergeCell ref="A192:K192"/>
    <mergeCell ref="A193:K193"/>
    <mergeCell ref="A194:K194"/>
    <mergeCell ref="A152:K152"/>
    <mergeCell ref="A154:K154"/>
    <mergeCell ref="A155:K155"/>
    <mergeCell ref="A153:K153"/>
  </mergeCells>
  <phoneticPr fontId="5" type="noConversion"/>
  <printOptions horizontalCentered="1"/>
  <pageMargins left="0.75" right="0.75" top="1.5" bottom="0.5" header="1" footer="0.5"/>
  <pageSetup scale="77" fitToWidth="0" fitToHeight="0" orientation="landscape" r:id="rId1"/>
  <headerFooter alignWithMargins="0"/>
  <rowBreaks count="5" manualBreakCount="5">
    <brk id="38" max="10" man="1"/>
    <brk id="82" max="10" man="1"/>
    <brk id="113" max="10" man="1"/>
    <brk id="151" max="10" man="1"/>
    <brk id="191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52"/>
  <sheetViews>
    <sheetView view="pageBreakPreview" zoomScaleNormal="80" zoomScaleSheetLayoutView="100" workbookViewId="0">
      <selection activeCell="A2" sqref="A2:P2"/>
    </sheetView>
  </sheetViews>
  <sheetFormatPr defaultRowHeight="13.2" x14ac:dyDescent="0.25"/>
  <cols>
    <col min="1" max="1" width="10" customWidth="1"/>
    <col min="2" max="2" width="3.5546875" customWidth="1"/>
    <col min="3" max="4" width="10.109375" bestFit="1" customWidth="1"/>
    <col min="5" max="6" width="9.33203125" bestFit="1" customWidth="1"/>
    <col min="7" max="7" width="10.6640625" bestFit="1" customWidth="1"/>
    <col min="8" max="8" width="10" customWidth="1"/>
    <col min="9" max="10" width="10.5546875" bestFit="1" customWidth="1"/>
    <col min="11" max="11" width="9.33203125" bestFit="1" customWidth="1"/>
    <col min="12" max="15" width="3.5546875" customWidth="1"/>
    <col min="16" max="16" width="11.88671875" customWidth="1"/>
    <col min="17" max="17" width="9.88671875" customWidth="1"/>
    <col min="18" max="18" width="9.5546875" customWidth="1"/>
    <col min="19" max="19" width="7.109375" customWidth="1"/>
    <col min="20" max="20" width="11.5546875" customWidth="1"/>
    <col min="21" max="21" width="9.5546875" customWidth="1"/>
    <col min="23" max="24" width="3" customWidth="1"/>
    <col min="26" max="26" width="2.6640625" customWidth="1"/>
  </cols>
  <sheetData>
    <row r="1" spans="1:28" x14ac:dyDescent="0.25">
      <c r="A1" s="441" t="str">
        <f>+'Rate Case Constants'!C9</f>
        <v>LOUISVILLE GAS AND ELECTRIC COMPANY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28" x14ac:dyDescent="0.25">
      <c r="A2" s="441" t="str">
        <f>+'Rate Case Constants'!C10</f>
        <v>CASE NO. 2016-00371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28" x14ac:dyDescent="0.25">
      <c r="A3" s="442" t="str">
        <f>+'Rate Case Constants'!C24</f>
        <v>Typical Electric Bill Comparison under Present &amp; Proposed Rates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</row>
    <row r="4" spans="1:28" x14ac:dyDescent="0.25">
      <c r="A4" s="441" t="str">
        <f>+'Rate Case Constants'!C21</f>
        <v>FORECAST PERIOD FOR THE 12 MONTHS ENDED JUNE 30, 2018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</row>
    <row r="5" spans="1:28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28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</row>
    <row r="7" spans="1:28" x14ac:dyDescent="0.25">
      <c r="A7" s="340" t="str">
        <f>+'Rate Case Constants'!C33</f>
        <v>DATA: ____BASE PERIOD__X___FORECASTED PERIOD</v>
      </c>
      <c r="B7" s="340"/>
      <c r="C7" s="340"/>
      <c r="D7" s="340"/>
      <c r="E7" s="340"/>
      <c r="F7" s="340"/>
      <c r="G7" s="340"/>
      <c r="H7" s="340"/>
      <c r="I7" s="340"/>
      <c r="J7" s="340"/>
      <c r="K7" s="341" t="str">
        <f>+'Rate Case Constants'!C25</f>
        <v>SCHEDULE N (Electric)</v>
      </c>
    </row>
    <row r="8" spans="1:28" x14ac:dyDescent="0.25">
      <c r="A8" s="340" t="str">
        <f>+'Rate Case Constants'!C29</f>
        <v>TYPE OF FILING: __X__ ORIGINAL  _____ UPDATED  _____ REVISED</v>
      </c>
      <c r="B8" s="340"/>
      <c r="C8" s="340"/>
      <c r="D8" s="340"/>
      <c r="E8" s="340"/>
      <c r="F8" s="340"/>
      <c r="G8" s="340"/>
      <c r="H8" s="340"/>
      <c r="I8" s="340"/>
      <c r="J8" s="340"/>
      <c r="K8" s="342" t="str">
        <f>+'Rate Case Constants'!L26</f>
        <v>PAGE 19 of 21</v>
      </c>
      <c r="L8" s="189"/>
    </row>
    <row r="9" spans="1:28" x14ac:dyDescent="0.25">
      <c r="A9" s="340" t="str">
        <f>+'Rate Case Constants'!C34</f>
        <v>WORKPAPER REFERENCE NO(S):________</v>
      </c>
      <c r="B9" s="340"/>
      <c r="C9" s="340"/>
      <c r="D9" s="340"/>
      <c r="E9" s="340"/>
      <c r="F9" s="340"/>
      <c r="G9" s="340"/>
      <c r="H9" s="340"/>
      <c r="I9" s="340"/>
      <c r="J9" s="340"/>
      <c r="K9" s="342" t="str">
        <f>+'Rate Case Constants'!C36</f>
        <v>WITNESS:   C. M. GARRETT</v>
      </c>
    </row>
    <row r="10" spans="1:28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P10" s="30" t="s">
        <v>71</v>
      </c>
      <c r="Q10">
        <f>+INPUT!G59</f>
        <v>-3.905800190150402E-3</v>
      </c>
    </row>
    <row r="11" spans="1:28" x14ac:dyDescent="0.25">
      <c r="A11" s="351" t="s">
        <v>108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72</v>
      </c>
      <c r="Q11" s="30">
        <f>+INPUT!I59</f>
        <v>8.2797417475388661E-3</v>
      </c>
      <c r="R11" s="30"/>
      <c r="S11" s="30"/>
      <c r="T11" s="34"/>
      <c r="U11" s="30"/>
      <c r="V11" s="30"/>
    </row>
    <row r="12" spans="1:28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8" x14ac:dyDescent="0.25">
      <c r="A13" s="30"/>
      <c r="B13" s="30"/>
      <c r="C13" s="202" t="s">
        <v>326</v>
      </c>
      <c r="D13" s="203" t="s">
        <v>327</v>
      </c>
      <c r="E13" s="203" t="s">
        <v>328</v>
      </c>
      <c r="F13" s="202" t="s">
        <v>329</v>
      </c>
      <c r="G13" s="202" t="s">
        <v>330</v>
      </c>
      <c r="H13" s="202" t="s">
        <v>331</v>
      </c>
      <c r="I13" s="203" t="s">
        <v>332</v>
      </c>
      <c r="J13" s="202" t="s">
        <v>333</v>
      </c>
      <c r="K13" s="202" t="s">
        <v>334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8" x14ac:dyDescent="0.25">
      <c r="C14" s="313" t="s">
        <v>366</v>
      </c>
      <c r="D14" s="313" t="s">
        <v>366</v>
      </c>
      <c r="G14" s="30"/>
      <c r="H14" s="30"/>
      <c r="I14" s="3" t="s">
        <v>5</v>
      </c>
      <c r="J14" s="3" t="s">
        <v>5</v>
      </c>
      <c r="P14" s="50" t="s">
        <v>61</v>
      </c>
      <c r="Q14" s="50"/>
      <c r="R14" s="50"/>
      <c r="T14" s="50" t="s">
        <v>62</v>
      </c>
      <c r="U14" s="50"/>
      <c r="V14" s="50"/>
    </row>
    <row r="15" spans="1:28" x14ac:dyDescent="0.25">
      <c r="C15" s="3" t="s">
        <v>1</v>
      </c>
      <c r="D15" s="3" t="s">
        <v>74</v>
      </c>
      <c r="E15" s="3"/>
      <c r="F15" s="3"/>
      <c r="G15" s="451" t="s">
        <v>130</v>
      </c>
      <c r="H15" s="451"/>
      <c r="I15" s="3" t="s">
        <v>1</v>
      </c>
      <c r="J15" s="3" t="s">
        <v>74</v>
      </c>
      <c r="K15" s="3"/>
      <c r="P15" s="26" t="s">
        <v>64</v>
      </c>
      <c r="Q15" s="3"/>
      <c r="R15" s="26"/>
      <c r="T15" s="26" t="s">
        <v>64</v>
      </c>
      <c r="U15" s="3"/>
      <c r="V15" s="26"/>
    </row>
    <row r="16" spans="1:28" x14ac:dyDescent="0.25">
      <c r="A16" s="3"/>
      <c r="B16" s="3"/>
      <c r="C16" s="3" t="s">
        <v>4</v>
      </c>
      <c r="D16" s="3" t="s">
        <v>4</v>
      </c>
      <c r="E16" s="3" t="s">
        <v>75</v>
      </c>
      <c r="F16" s="3" t="s">
        <v>75</v>
      </c>
      <c r="G16" s="202" t="s">
        <v>421</v>
      </c>
      <c r="H16" s="52" t="s">
        <v>72</v>
      </c>
      <c r="I16" s="3" t="s">
        <v>4</v>
      </c>
      <c r="J16" s="3" t="s">
        <v>4</v>
      </c>
      <c r="K16" s="3" t="s">
        <v>75</v>
      </c>
      <c r="L16" s="3"/>
      <c r="M16" s="3"/>
      <c r="N16" s="3"/>
      <c r="O16" s="3"/>
      <c r="P16" s="26" t="s">
        <v>63</v>
      </c>
      <c r="Q16" s="3" t="s">
        <v>58</v>
      </c>
      <c r="R16" s="26" t="s">
        <v>5</v>
      </c>
      <c r="T16" s="26" t="s">
        <v>63</v>
      </c>
      <c r="U16" s="3" t="s">
        <v>58</v>
      </c>
      <c r="V16" s="26" t="s">
        <v>5</v>
      </c>
      <c r="X16" s="2"/>
      <c r="Y16" s="3" t="s">
        <v>6</v>
      </c>
      <c r="Z16" s="3"/>
      <c r="AA16" s="3" t="s">
        <v>8</v>
      </c>
      <c r="AB16" s="3"/>
    </row>
    <row r="17" spans="1:28" x14ac:dyDescent="0.25">
      <c r="A17" s="3" t="s">
        <v>50</v>
      </c>
      <c r="B17" s="3"/>
      <c r="C17" s="3"/>
      <c r="D17" s="3"/>
      <c r="E17" s="3" t="s">
        <v>69</v>
      </c>
      <c r="F17" s="26" t="s">
        <v>70</v>
      </c>
      <c r="G17" s="51"/>
      <c r="H17" s="53"/>
      <c r="I17" s="3" t="s">
        <v>69</v>
      </c>
      <c r="J17" s="3" t="s">
        <v>69</v>
      </c>
      <c r="K17" s="26" t="s">
        <v>70</v>
      </c>
      <c r="L17" s="3"/>
      <c r="M17" s="3"/>
      <c r="N17" s="3"/>
      <c r="O17" s="3"/>
      <c r="P17" s="80" t="s">
        <v>3</v>
      </c>
      <c r="Q17" s="81" t="s">
        <v>3</v>
      </c>
      <c r="R17" s="80" t="s">
        <v>4</v>
      </c>
      <c r="T17" s="80" t="s">
        <v>3</v>
      </c>
      <c r="U17" s="81" t="s">
        <v>3</v>
      </c>
      <c r="V17" s="80" t="s">
        <v>4</v>
      </c>
      <c r="X17" s="2"/>
      <c r="Y17" s="3" t="s">
        <v>7</v>
      </c>
      <c r="Z17" s="3"/>
      <c r="AA17" s="3" t="s">
        <v>7</v>
      </c>
      <c r="AB17" s="3"/>
    </row>
    <row r="18" spans="1:28" x14ac:dyDescent="0.25">
      <c r="A18" s="81"/>
      <c r="B18" s="81"/>
      <c r="C18" s="81"/>
      <c r="D18" s="81"/>
      <c r="E18" s="325" t="str">
        <f>("[ "&amp;D13&amp;" - "&amp;C13&amp;" ]")</f>
        <v>[ B - A ]</v>
      </c>
      <c r="F18" s="325" t="str">
        <f>("[ "&amp;E13&amp;" / "&amp;C13&amp;" ]")</f>
        <v>[ C / A ]</v>
      </c>
      <c r="G18" s="355"/>
      <c r="H18" s="355"/>
      <c r="I18" s="325" t="str">
        <f>("["&amp;C13&amp;"+"&amp;$G$13&amp;"+"&amp;$H$13&amp;"]")</f>
        <v>[A+E+F]</v>
      </c>
      <c r="J18" s="325" t="str">
        <f>("["&amp;D13&amp;"+"&amp;$G$13&amp;"+"&amp;$H$13&amp;"]")</f>
        <v>[B+E+F]</v>
      </c>
      <c r="K18" s="325" t="str">
        <f>("[("&amp;J13&amp;"-"&amp;I13&amp;")/"&amp;I13&amp;"]")</f>
        <v>[(H-G)/G]</v>
      </c>
      <c r="M18" s="3"/>
      <c r="N18" s="3"/>
      <c r="O18" s="3"/>
      <c r="P18" s="26"/>
      <c r="Q18" s="33">
        <f>+INPUT!$N$6</f>
        <v>6.9339999999999999E-2</v>
      </c>
      <c r="R18" s="26"/>
      <c r="T18" s="26"/>
      <c r="U18" s="33">
        <f>INPUT!$N$27</f>
        <v>6.9339999999999999E-2</v>
      </c>
      <c r="V18" s="26"/>
      <c r="X18" s="2"/>
      <c r="Y18" s="3"/>
      <c r="Z18" s="3"/>
      <c r="AA18" s="3"/>
      <c r="AB18" s="3"/>
    </row>
    <row r="19" spans="1:28" x14ac:dyDescent="0.25">
      <c r="A19" s="3"/>
      <c r="B19" s="3"/>
      <c r="C19" s="3"/>
      <c r="D19" s="3"/>
      <c r="E19" s="3"/>
      <c r="F19" s="3"/>
      <c r="G19" s="30"/>
      <c r="H19" s="30"/>
      <c r="I19" s="3"/>
      <c r="J19" s="3"/>
      <c r="K19" s="3"/>
      <c r="L19" s="3"/>
      <c r="M19" s="3"/>
      <c r="N19" s="3"/>
      <c r="O19" s="3"/>
      <c r="P19" s="26"/>
      <c r="Q19" s="3" t="s">
        <v>14</v>
      </c>
      <c r="R19" s="26"/>
      <c r="T19" s="26"/>
      <c r="U19" s="3" t="s">
        <v>14</v>
      </c>
      <c r="V19" s="26"/>
      <c r="X19" s="2"/>
      <c r="Y19" s="3"/>
      <c r="Z19" s="3"/>
      <c r="AA19" s="3"/>
      <c r="AB19" s="3"/>
    </row>
    <row r="20" spans="1:2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  <c r="R20" s="3"/>
      <c r="U20" s="3"/>
      <c r="V20" s="3"/>
    </row>
    <row r="21" spans="1:28" x14ac:dyDescent="0.25">
      <c r="A21" s="1">
        <v>500</v>
      </c>
      <c r="C21" s="6">
        <f>+R21</f>
        <v>34.67</v>
      </c>
      <c r="D21" s="6">
        <f>+V21</f>
        <v>34.67</v>
      </c>
      <c r="E21" s="29">
        <f>+D21-C21</f>
        <v>0</v>
      </c>
      <c r="F21" s="55">
        <f>ROUND(+E21/C21,4)</f>
        <v>0</v>
      </c>
      <c r="G21" s="29">
        <f>ROUND($Q$10*$A21,2)</f>
        <v>-1.95</v>
      </c>
      <c r="H21" s="29">
        <f>ROUND($Q$11*$A21,2)</f>
        <v>4.1399999999999997</v>
      </c>
      <c r="I21" s="29">
        <f>+C21+G21+H21</f>
        <v>36.86</v>
      </c>
      <c r="J21" s="29">
        <f>+D21+G21+H21</f>
        <v>36.86</v>
      </c>
      <c r="K21" s="55">
        <f>ROUND((J21-I21)/I21,4)</f>
        <v>0</v>
      </c>
      <c r="P21" s="7">
        <f>+INPUT!$N$4</f>
        <v>0</v>
      </c>
      <c r="Q21" s="6">
        <f>A21*$Q$18</f>
        <v>34.67</v>
      </c>
      <c r="R21" s="6">
        <f>P21+Q21</f>
        <v>34.67</v>
      </c>
      <c r="T21" s="7">
        <f>INPUT!$N$25</f>
        <v>0</v>
      </c>
      <c r="U21" s="6">
        <f>A21*$U$18</f>
        <v>34.67</v>
      </c>
      <c r="V21" s="6">
        <f>T21+U21</f>
        <v>34.67</v>
      </c>
      <c r="Y21" s="6">
        <f>V21-R21</f>
        <v>0</v>
      </c>
      <c r="AA21" s="8">
        <f>V21/R21-1</f>
        <v>0</v>
      </c>
      <c r="AB21" s="8"/>
    </row>
    <row r="22" spans="1:28" x14ac:dyDescent="0.25">
      <c r="A22" s="1"/>
      <c r="P22" s="7"/>
      <c r="Q22" s="6"/>
      <c r="R22" s="6"/>
      <c r="T22" s="7"/>
      <c r="U22" s="6"/>
      <c r="V22" s="6"/>
      <c r="AA22" s="8"/>
      <c r="AB22" s="8"/>
    </row>
    <row r="23" spans="1:28" x14ac:dyDescent="0.25">
      <c r="A23" s="1">
        <v>1000</v>
      </c>
      <c r="C23" s="6">
        <f>+R23</f>
        <v>69.34</v>
      </c>
      <c r="D23" s="6">
        <f>+V23</f>
        <v>69.34</v>
      </c>
      <c r="E23" s="29">
        <f>+D23-C23</f>
        <v>0</v>
      </c>
      <c r="F23" s="55">
        <f>ROUND(+E23/C23,4)</f>
        <v>0</v>
      </c>
      <c r="G23" s="29">
        <f>ROUND($Q$10*$A23,2)</f>
        <v>-3.91</v>
      </c>
      <c r="H23" s="29">
        <f>ROUND($Q$11*$A23,2)</f>
        <v>8.2799999999999994</v>
      </c>
      <c r="I23" s="29">
        <f>+C23+G23+H23</f>
        <v>73.710000000000008</v>
      </c>
      <c r="J23" s="29">
        <f>+D23+G23+H23</f>
        <v>73.710000000000008</v>
      </c>
      <c r="K23" s="55">
        <f>ROUND((J23-I23)/I23,4)</f>
        <v>0</v>
      </c>
      <c r="P23" s="7">
        <f>$P$21</f>
        <v>0</v>
      </c>
      <c r="Q23" s="6">
        <f>A23*$Q$18</f>
        <v>69.34</v>
      </c>
      <c r="R23" s="6">
        <f>P23+Q23</f>
        <v>69.34</v>
      </c>
      <c r="T23" s="7">
        <f>+$T$21</f>
        <v>0</v>
      </c>
      <c r="U23" s="6">
        <f>A23*$U$18</f>
        <v>69.34</v>
      </c>
      <c r="V23" s="6">
        <f>T23+U23</f>
        <v>69.34</v>
      </c>
      <c r="Y23" s="6">
        <f>V23-R23</f>
        <v>0</v>
      </c>
      <c r="AA23" s="8">
        <f>V23/R23-1</f>
        <v>0</v>
      </c>
      <c r="AB23" s="8"/>
    </row>
    <row r="24" spans="1:28" x14ac:dyDescent="0.25">
      <c r="A24" s="1"/>
      <c r="C24" s="6"/>
      <c r="D24" s="6"/>
      <c r="E24" s="29"/>
      <c r="F24" s="55"/>
      <c r="G24" s="29"/>
      <c r="H24" s="29"/>
      <c r="I24" s="29"/>
      <c r="J24" s="29"/>
      <c r="K24" s="55"/>
      <c r="P24" s="56"/>
      <c r="Q24" s="6"/>
      <c r="R24" s="6"/>
      <c r="T24" s="7"/>
      <c r="U24" s="6"/>
      <c r="V24" s="6"/>
      <c r="AA24" s="27"/>
      <c r="AB24" s="27"/>
    </row>
    <row r="25" spans="1:28" s="10" customFormat="1" x14ac:dyDescent="0.25">
      <c r="A25" s="1">
        <v>2000</v>
      </c>
      <c r="B25"/>
      <c r="C25" s="6">
        <f>+R25</f>
        <v>138.68</v>
      </c>
      <c r="D25" s="6">
        <f>+V25</f>
        <v>138.68</v>
      </c>
      <c r="E25" s="29">
        <f>+D25-C25</f>
        <v>0</v>
      </c>
      <c r="F25" s="55">
        <f>ROUND(+E25/C25,4)</f>
        <v>0</v>
      </c>
      <c r="G25" s="29">
        <f>ROUND($Q$10*$A25,2)</f>
        <v>-7.81</v>
      </c>
      <c r="H25" s="29">
        <f>ROUND($Q$11*$A25,2)</f>
        <v>16.559999999999999</v>
      </c>
      <c r="I25" s="29">
        <f>+C25+G25+H25</f>
        <v>147.43</v>
      </c>
      <c r="J25" s="29">
        <f>+D25+G25+H25</f>
        <v>147.43</v>
      </c>
      <c r="K25" s="55">
        <f>ROUND((J25-I25)/I25,4)</f>
        <v>0</v>
      </c>
      <c r="P25" s="56">
        <f>$P$21</f>
        <v>0</v>
      </c>
      <c r="Q25" s="6">
        <f>A25*$Q$18</f>
        <v>138.68</v>
      </c>
      <c r="R25" s="11">
        <f>P25+Q25</f>
        <v>138.68</v>
      </c>
      <c r="T25" s="7">
        <f>+$T$21</f>
        <v>0</v>
      </c>
      <c r="U25" s="6">
        <f>A25*$U$18</f>
        <v>138.68</v>
      </c>
      <c r="V25" s="11">
        <f>T25+U25</f>
        <v>138.68</v>
      </c>
      <c r="Y25" s="11">
        <f>V25-R25</f>
        <v>0</v>
      </c>
      <c r="AA25" s="27">
        <f>V25/R25-1</f>
        <v>0</v>
      </c>
      <c r="AB25" s="27"/>
    </row>
    <row r="26" spans="1:28" x14ac:dyDescent="0.25">
      <c r="A26" s="1"/>
      <c r="P26" s="7"/>
      <c r="Q26" s="6"/>
      <c r="R26" s="6"/>
      <c r="T26" s="7"/>
      <c r="U26" s="6"/>
      <c r="V26" s="6"/>
      <c r="AA26" s="8"/>
      <c r="AB26" s="8"/>
    </row>
    <row r="27" spans="1:28" x14ac:dyDescent="0.25">
      <c r="A27" s="1">
        <v>3000</v>
      </c>
      <c r="C27" s="6">
        <f>+R27</f>
        <v>208.02</v>
      </c>
      <c r="D27" s="6">
        <f>+V27</f>
        <v>208.02</v>
      </c>
      <c r="E27" s="29">
        <f>+D27-C27</f>
        <v>0</v>
      </c>
      <c r="F27" s="55">
        <f>ROUND(+E27/C27,4)</f>
        <v>0</v>
      </c>
      <c r="G27" s="29">
        <f>ROUND($Q$10*$A27,2)</f>
        <v>-11.72</v>
      </c>
      <c r="H27" s="29">
        <f>ROUND($Q$11*$A27,2)</f>
        <v>24.84</v>
      </c>
      <c r="I27" s="29">
        <f>+C27+G27+H27</f>
        <v>221.14000000000001</v>
      </c>
      <c r="J27" s="29">
        <f>+D27+G27+H27</f>
        <v>221.14000000000001</v>
      </c>
      <c r="K27" s="55">
        <f>ROUND((J27-I27)/I27,4)</f>
        <v>0</v>
      </c>
      <c r="P27" s="7">
        <f>$P$21</f>
        <v>0</v>
      </c>
      <c r="Q27" s="6">
        <f>A27*$Q$18</f>
        <v>208.02</v>
      </c>
      <c r="R27" s="6">
        <f>P27+Q27</f>
        <v>208.02</v>
      </c>
      <c r="T27" s="7">
        <f>+$T$21</f>
        <v>0</v>
      </c>
      <c r="U27" s="6">
        <f>A27*$U$18</f>
        <v>208.02</v>
      </c>
      <c r="V27" s="6">
        <f>T27+U27</f>
        <v>208.02</v>
      </c>
      <c r="Y27" s="6">
        <f>V27-R27</f>
        <v>0</v>
      </c>
      <c r="AA27" s="8">
        <f>V27/R27-1</f>
        <v>0</v>
      </c>
      <c r="AB27" s="8"/>
    </row>
    <row r="28" spans="1:28" x14ac:dyDescent="0.25">
      <c r="P28" s="7"/>
      <c r="Q28" s="6"/>
      <c r="R28" s="6"/>
      <c r="T28" s="7"/>
      <c r="U28" s="6"/>
      <c r="V28" s="6"/>
      <c r="AA28" s="8"/>
      <c r="AB28" s="8"/>
    </row>
    <row r="29" spans="1:28" x14ac:dyDescent="0.25">
      <c r="A29" s="1">
        <v>6000</v>
      </c>
      <c r="C29" s="6">
        <f>+R29</f>
        <v>416.04</v>
      </c>
      <c r="D29" s="6">
        <f>+V29</f>
        <v>416.04</v>
      </c>
      <c r="E29" s="29">
        <f>+D29-C29</f>
        <v>0</v>
      </c>
      <c r="F29" s="55">
        <f>ROUND(+E29/C29,4)</f>
        <v>0</v>
      </c>
      <c r="G29" s="29">
        <f>ROUND($Q$10*$A29,2)</f>
        <v>-23.43</v>
      </c>
      <c r="H29" s="29">
        <f>ROUND($Q$11*$A29,2)</f>
        <v>49.68</v>
      </c>
      <c r="I29" s="29">
        <f>+C29+G29+H29</f>
        <v>442.29</v>
      </c>
      <c r="J29" s="29">
        <f>+D29+G29+H29</f>
        <v>442.29</v>
      </c>
      <c r="K29" s="55">
        <f>ROUND((J29-I29)/I29,4)</f>
        <v>0</v>
      </c>
      <c r="P29" s="7">
        <f>$P$21</f>
        <v>0</v>
      </c>
      <c r="Q29" s="6">
        <f>A29*$Q$18</f>
        <v>416.04</v>
      </c>
      <c r="R29" s="6">
        <f>P29+Q29</f>
        <v>416.04</v>
      </c>
      <c r="T29" s="7">
        <f>+$T$21</f>
        <v>0</v>
      </c>
      <c r="U29" s="6">
        <f>A29*$U$18</f>
        <v>416.04</v>
      </c>
      <c r="V29" s="6">
        <f>T29+U29</f>
        <v>416.04</v>
      </c>
      <c r="Y29" s="6">
        <f>V29-R29</f>
        <v>0</v>
      </c>
      <c r="AA29" s="8">
        <f>V29/R29-1</f>
        <v>0</v>
      </c>
      <c r="AB29" s="8"/>
    </row>
    <row r="30" spans="1:28" x14ac:dyDescent="0.25">
      <c r="A30" s="1"/>
      <c r="P30" s="7"/>
      <c r="Q30" s="6"/>
      <c r="R30" s="6"/>
      <c r="T30" s="7"/>
      <c r="U30" s="6"/>
      <c r="V30" s="6"/>
      <c r="AA30" s="8"/>
      <c r="AB30" s="8"/>
    </row>
    <row r="31" spans="1:28" x14ac:dyDescent="0.25">
      <c r="A31" s="1">
        <v>9000</v>
      </c>
      <c r="C31" s="6">
        <f>+R31</f>
        <v>624.05999999999995</v>
      </c>
      <c r="D31" s="6">
        <f>+V31</f>
        <v>624.05999999999995</v>
      </c>
      <c r="E31" s="29">
        <f>+D31-C31</f>
        <v>0</v>
      </c>
      <c r="F31" s="55">
        <f>ROUND(+E31/C31,4)</f>
        <v>0</v>
      </c>
      <c r="G31" s="29">
        <f>ROUND($Q$10*$A31,2)</f>
        <v>-35.15</v>
      </c>
      <c r="H31" s="29">
        <f>ROUND($Q$11*$A31,2)</f>
        <v>74.52</v>
      </c>
      <c r="I31" s="29">
        <f>+C31+G31+H31</f>
        <v>663.43</v>
      </c>
      <c r="J31" s="29">
        <f>+D31+G31+H31</f>
        <v>663.43</v>
      </c>
      <c r="K31" s="55">
        <f>ROUND((J31-I31)/I31,4)</f>
        <v>0</v>
      </c>
      <c r="P31" s="7">
        <f>$P$21</f>
        <v>0</v>
      </c>
      <c r="Q31" s="6">
        <f>A31*$Q$18</f>
        <v>624.05999999999995</v>
      </c>
      <c r="R31" s="6">
        <f>P31+Q31</f>
        <v>624.05999999999995</v>
      </c>
      <c r="T31" s="7">
        <f>+$T$21</f>
        <v>0</v>
      </c>
      <c r="U31" s="6">
        <f>A31*$U$18</f>
        <v>624.05999999999995</v>
      </c>
      <c r="V31" s="6">
        <f>T31+U31</f>
        <v>624.05999999999995</v>
      </c>
      <c r="Y31" s="6">
        <f>V31-R31</f>
        <v>0</v>
      </c>
      <c r="AA31" s="8">
        <f>V31/R31-1</f>
        <v>0</v>
      </c>
      <c r="AB31" s="8"/>
    </row>
    <row r="32" spans="1:28" x14ac:dyDescent="0.25">
      <c r="P32" s="7"/>
      <c r="Q32" s="6"/>
      <c r="R32" s="6"/>
      <c r="T32" s="7"/>
      <c r="U32" s="6"/>
      <c r="V32" s="6"/>
      <c r="AA32" s="8"/>
      <c r="AB32" s="8"/>
    </row>
    <row r="33" spans="1:28" x14ac:dyDescent="0.25">
      <c r="A33" s="1">
        <v>12000</v>
      </c>
      <c r="C33" s="6">
        <f>+R33</f>
        <v>832.08</v>
      </c>
      <c r="D33" s="6">
        <f>+V33</f>
        <v>832.08</v>
      </c>
      <c r="E33" s="29">
        <f>+D33-C33</f>
        <v>0</v>
      </c>
      <c r="F33" s="55">
        <f>ROUND(+E33/C33,4)</f>
        <v>0</v>
      </c>
      <c r="G33" s="29">
        <f>ROUND($Q$10*$A33,2)</f>
        <v>-46.87</v>
      </c>
      <c r="H33" s="29">
        <f>ROUND($Q$11*$A33,2)</f>
        <v>99.36</v>
      </c>
      <c r="I33" s="29">
        <f>+C33+G33+H33</f>
        <v>884.57</v>
      </c>
      <c r="J33" s="29">
        <f>+D33+G33+H33</f>
        <v>884.57</v>
      </c>
      <c r="K33" s="55">
        <f>ROUND((J33-I33)/I33,4)</f>
        <v>0</v>
      </c>
      <c r="P33" s="7">
        <f>$P$21</f>
        <v>0</v>
      </c>
      <c r="Q33" s="6">
        <f>A33*$Q$18</f>
        <v>832.08</v>
      </c>
      <c r="R33" s="6">
        <f>P33+Q33</f>
        <v>832.08</v>
      </c>
      <c r="T33" s="7">
        <f>+$T$21</f>
        <v>0</v>
      </c>
      <c r="U33" s="6">
        <f>A33*$U$18</f>
        <v>832.08</v>
      </c>
      <c r="V33" s="6">
        <f>T33+U33</f>
        <v>832.08</v>
      </c>
      <c r="Y33" s="6">
        <f>V33-R33</f>
        <v>0</v>
      </c>
      <c r="AA33" s="8">
        <f>V33/R33-1</f>
        <v>0</v>
      </c>
      <c r="AB33" s="8"/>
    </row>
    <row r="34" spans="1:28" x14ac:dyDescent="0.25">
      <c r="P34" s="7"/>
      <c r="Q34" s="6"/>
      <c r="R34" s="6"/>
      <c r="T34" s="7"/>
      <c r="U34" s="6"/>
      <c r="V34" s="6"/>
      <c r="AA34" s="8"/>
      <c r="AB34" s="8"/>
    </row>
    <row r="35" spans="1:28" x14ac:dyDescent="0.25">
      <c r="A35" s="1">
        <v>15000</v>
      </c>
      <c r="C35" s="6">
        <f>+R35</f>
        <v>1040.0999999999999</v>
      </c>
      <c r="D35" s="6">
        <f>+V35</f>
        <v>1040.0999999999999</v>
      </c>
      <c r="E35" s="29">
        <f>+D35-C35</f>
        <v>0</v>
      </c>
      <c r="F35" s="55">
        <f>ROUND(+E35/C35,4)</f>
        <v>0</v>
      </c>
      <c r="G35" s="29">
        <f>ROUND($Q$10*$A35,2)</f>
        <v>-58.59</v>
      </c>
      <c r="H35" s="29">
        <f>ROUND($Q$11*$A35,2)</f>
        <v>124.2</v>
      </c>
      <c r="I35" s="29">
        <f>+C35+G35+H35</f>
        <v>1105.7099999999998</v>
      </c>
      <c r="J35" s="29">
        <f>+D35+G35+H35</f>
        <v>1105.7099999999998</v>
      </c>
      <c r="K35" s="55">
        <f>ROUND((J35-I35)/I35,4)</f>
        <v>0</v>
      </c>
      <c r="P35" s="7">
        <f>$P$21</f>
        <v>0</v>
      </c>
      <c r="Q35" s="6">
        <f>A35*$Q$18</f>
        <v>1040.0999999999999</v>
      </c>
      <c r="R35" s="6">
        <f>P35+Q35</f>
        <v>1040.0999999999999</v>
      </c>
      <c r="T35" s="7">
        <f>+$T$21</f>
        <v>0</v>
      </c>
      <c r="U35" s="6">
        <f>A35*$U$18</f>
        <v>1040.0999999999999</v>
      </c>
      <c r="V35" s="6">
        <f>T35+U35</f>
        <v>1040.0999999999999</v>
      </c>
      <c r="Y35" s="6">
        <f>V35-R35</f>
        <v>0</v>
      </c>
      <c r="AA35" s="8">
        <f>V35/R35-1</f>
        <v>0</v>
      </c>
      <c r="AB35" s="8"/>
    </row>
    <row r="37" spans="1:28" x14ac:dyDescent="0.25">
      <c r="A37" s="17" t="s">
        <v>336</v>
      </c>
    </row>
    <row r="38" spans="1:28" s="17" customFormat="1" x14ac:dyDescent="0.25">
      <c r="A38" s="208" t="str">
        <f>("Average usage = "&amp;TEXT(INPUT!N19*1,"0,000")&amp;" kWh per month")</f>
        <v>Average usage = 1,675 kWh per month</v>
      </c>
    </row>
    <row r="39" spans="1:28" s="17" customFormat="1" x14ac:dyDescent="0.25">
      <c r="A39" s="210" t="s">
        <v>337</v>
      </c>
    </row>
    <row r="40" spans="1:28" x14ac:dyDescent="0.25">
      <c r="A40" s="209" t="s">
        <v>341</v>
      </c>
    </row>
    <row r="41" spans="1:28" ht="12" customHeight="1" x14ac:dyDescent="0.25">
      <c r="A41" s="210" t="str">
        <f>+'[1]Rate Case Constants'!$C$26</f>
        <v>Calculations may vary from other schedules due to rounding</v>
      </c>
    </row>
    <row r="42" spans="1:28" x14ac:dyDescent="0.25">
      <c r="C42" s="198"/>
      <c r="D42" s="199"/>
      <c r="E42" s="199"/>
      <c r="F42" s="198"/>
      <c r="G42" s="198"/>
      <c r="H42" s="198"/>
      <c r="I42" s="199"/>
      <c r="J42" s="198"/>
      <c r="K42" s="198"/>
      <c r="L42" s="198"/>
      <c r="M42" s="10"/>
      <c r="N42" s="10"/>
      <c r="O42" s="10"/>
    </row>
    <row r="43" spans="1:28" x14ac:dyDescent="0.25">
      <c r="C43" s="191"/>
      <c r="D43" s="191"/>
      <c r="E43" s="191"/>
      <c r="F43" s="191"/>
      <c r="G43" s="191"/>
      <c r="H43" s="191"/>
      <c r="I43" s="191"/>
      <c r="J43" s="198"/>
      <c r="K43" s="198"/>
      <c r="L43" s="191"/>
      <c r="M43" s="10"/>
      <c r="N43" s="10"/>
      <c r="O43" s="10"/>
    </row>
    <row r="44" spans="1:28" x14ac:dyDescent="0.25">
      <c r="C44" s="198"/>
      <c r="D44" s="198"/>
      <c r="E44" s="198"/>
      <c r="F44" s="198"/>
      <c r="G44" s="455"/>
      <c r="H44" s="455"/>
      <c r="I44" s="456"/>
      <c r="J44" s="198"/>
      <c r="K44" s="198"/>
      <c r="L44" s="198"/>
      <c r="M44" s="10"/>
      <c r="N44" s="10"/>
      <c r="O44" s="10"/>
    </row>
    <row r="45" spans="1:28" x14ac:dyDescent="0.25"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0"/>
      <c r="N45" s="10"/>
      <c r="O45" s="10"/>
    </row>
    <row r="46" spans="1:28" x14ac:dyDescent="0.25">
      <c r="C46" s="198"/>
      <c r="D46" s="198"/>
      <c r="E46" s="198"/>
      <c r="F46" s="199"/>
      <c r="G46" s="192"/>
      <c r="H46" s="192"/>
      <c r="I46" s="190"/>
      <c r="J46" s="198"/>
      <c r="K46" s="198"/>
      <c r="L46" s="199"/>
      <c r="M46" s="10"/>
      <c r="N46" s="10"/>
      <c r="O46" s="10"/>
    </row>
    <row r="47" spans="1:28" x14ac:dyDescent="0.25">
      <c r="C47" s="198"/>
      <c r="D47" s="198"/>
      <c r="E47" s="198"/>
      <c r="F47" s="198"/>
      <c r="G47" s="192"/>
      <c r="H47" s="192"/>
      <c r="I47" s="192"/>
      <c r="J47" s="198"/>
      <c r="K47" s="198"/>
      <c r="L47" s="198"/>
      <c r="M47" s="10"/>
      <c r="N47" s="10"/>
      <c r="O47" s="10"/>
    </row>
    <row r="48" spans="1:28" x14ac:dyDescent="0.25">
      <c r="C48" s="207"/>
      <c r="D48" s="207"/>
      <c r="E48" s="198"/>
      <c r="F48" s="198"/>
      <c r="G48" s="207"/>
      <c r="H48" s="207"/>
      <c r="I48" s="207"/>
      <c r="J48" s="198"/>
      <c r="K48" s="207"/>
      <c r="L48" s="198"/>
      <c r="M48" s="10"/>
      <c r="N48" s="10"/>
      <c r="O48" s="10"/>
    </row>
    <row r="49" spans="3:15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3:15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3:15" x14ac:dyDescent="0.25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3:15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</sheetData>
  <mergeCells count="6">
    <mergeCell ref="G44:I44"/>
    <mergeCell ref="G15:H15"/>
    <mergeCell ref="A1:K1"/>
    <mergeCell ref="A2:K2"/>
    <mergeCell ref="A3:K3"/>
    <mergeCell ref="A4:K4"/>
  </mergeCells>
  <printOptions horizontalCentered="1"/>
  <pageMargins left="0.75" right="0.75" top="1.5" bottom="0.5" header="1" footer="0.5"/>
  <pageSetup scale="9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41"/>
  <sheetViews>
    <sheetView view="pageBreakPreview" zoomScaleNormal="80" zoomScaleSheetLayoutView="100" workbookViewId="0">
      <selection activeCell="A2" sqref="A2:P2"/>
    </sheetView>
  </sheetViews>
  <sheetFormatPr defaultRowHeight="13.2" x14ac:dyDescent="0.25"/>
  <cols>
    <col min="1" max="1" width="10" customWidth="1"/>
    <col min="2" max="2" width="3.5546875" customWidth="1"/>
    <col min="3" max="4" width="10.109375" bestFit="1" customWidth="1"/>
    <col min="5" max="6" width="9.33203125" bestFit="1" customWidth="1"/>
    <col min="7" max="7" width="10.6640625" bestFit="1" customWidth="1"/>
    <col min="8" max="8" width="10" customWidth="1"/>
    <col min="9" max="10" width="10.5546875" bestFit="1" customWidth="1"/>
    <col min="11" max="11" width="9.33203125" bestFit="1" customWidth="1"/>
    <col min="12" max="15" width="3.5546875" customWidth="1"/>
    <col min="16" max="16" width="11.88671875" customWidth="1"/>
    <col min="17" max="17" width="9.88671875" customWidth="1"/>
    <col min="18" max="18" width="9.5546875" customWidth="1"/>
    <col min="19" max="19" width="7.109375" customWidth="1"/>
    <col min="20" max="20" width="11.5546875" customWidth="1"/>
    <col min="21" max="21" width="9.5546875" customWidth="1"/>
    <col min="23" max="24" width="3" customWidth="1"/>
    <col min="26" max="26" width="2.6640625" customWidth="1"/>
  </cols>
  <sheetData>
    <row r="1" spans="1:28" x14ac:dyDescent="0.25">
      <c r="A1" s="441" t="str">
        <f>+'Rate Case Constants'!C9</f>
        <v>LOUISVILLE GAS AND ELECTRIC COMPANY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28" x14ac:dyDescent="0.25">
      <c r="A2" s="441" t="str">
        <f>+'Rate Case Constants'!C10</f>
        <v>CASE NO. 2016-00371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28" x14ac:dyDescent="0.25">
      <c r="A3" s="442" t="str">
        <f>+'Rate Case Constants'!C24</f>
        <v>Typical Electric Bill Comparison under Present &amp; Proposed Rates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</row>
    <row r="4" spans="1:28" x14ac:dyDescent="0.25">
      <c r="A4" s="441" t="str">
        <f>+'Rate Case Constants'!C21</f>
        <v>FORECAST PERIOD FOR THE 12 MONTHS ENDED JUNE 30, 2018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</row>
    <row r="5" spans="1:28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28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</row>
    <row r="7" spans="1:28" x14ac:dyDescent="0.25">
      <c r="A7" s="340" t="str">
        <f>+'Rate Case Constants'!C33</f>
        <v>DATA: ____BASE PERIOD__X___FORECASTED PERIOD</v>
      </c>
      <c r="B7" s="340"/>
      <c r="C7" s="340"/>
      <c r="D7" s="340"/>
      <c r="E7" s="340"/>
      <c r="F7" s="340"/>
      <c r="G7" s="340"/>
      <c r="H7" s="340"/>
      <c r="I7" s="340"/>
      <c r="J7" s="340"/>
      <c r="K7" s="341" t="str">
        <f>+'Rate Case Constants'!C25</f>
        <v>SCHEDULE N (Electric)</v>
      </c>
    </row>
    <row r="8" spans="1:28" x14ac:dyDescent="0.25">
      <c r="A8" s="340" t="str">
        <f>+'Rate Case Constants'!C29</f>
        <v>TYPE OF FILING: __X__ ORIGINAL  _____ UPDATED  _____ REVISED</v>
      </c>
      <c r="B8" s="340"/>
      <c r="C8" s="340"/>
      <c r="D8" s="340"/>
      <c r="E8" s="340"/>
      <c r="F8" s="340"/>
      <c r="G8" s="340"/>
      <c r="H8" s="340"/>
      <c r="I8" s="340"/>
      <c r="J8" s="340"/>
      <c r="K8" s="342" t="str">
        <f>+'Rate Case Constants'!L27</f>
        <v>PAGE 20 of 21</v>
      </c>
      <c r="L8" s="189"/>
    </row>
    <row r="9" spans="1:28" x14ac:dyDescent="0.25">
      <c r="A9" s="340" t="str">
        <f>+'Rate Case Constants'!C34</f>
        <v>WORKPAPER REFERENCE NO(S):________</v>
      </c>
      <c r="B9" s="340"/>
      <c r="C9" s="340"/>
      <c r="D9" s="340"/>
      <c r="E9" s="340"/>
      <c r="F9" s="340"/>
      <c r="G9" s="340"/>
      <c r="H9" s="340"/>
      <c r="I9" s="340"/>
      <c r="J9" s="340"/>
      <c r="K9" s="342" t="str">
        <f>+'Rate Case Constants'!C36</f>
        <v>WITNESS:   C. M. GARRETT</v>
      </c>
    </row>
    <row r="10" spans="1:28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P10" s="30" t="s">
        <v>71</v>
      </c>
      <c r="Q10">
        <f>+INPUT!G60</f>
        <v>-3.8343841969329432E-3</v>
      </c>
    </row>
    <row r="11" spans="1:28" x14ac:dyDescent="0.25">
      <c r="A11" s="351" t="s">
        <v>107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72</v>
      </c>
      <c r="Q11" s="30">
        <f>+INPUT!I60</f>
        <v>9.011124539319005E-3</v>
      </c>
      <c r="R11" s="30"/>
      <c r="S11" s="30"/>
      <c r="T11" s="34"/>
      <c r="U11" s="30"/>
      <c r="V11" s="30"/>
    </row>
    <row r="12" spans="1:28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8" x14ac:dyDescent="0.25">
      <c r="A13" s="30"/>
      <c r="B13" s="30"/>
      <c r="C13" s="202" t="s">
        <v>326</v>
      </c>
      <c r="D13" s="203" t="s">
        <v>327</v>
      </c>
      <c r="E13" s="203" t="s">
        <v>328</v>
      </c>
      <c r="F13" s="202" t="s">
        <v>329</v>
      </c>
      <c r="G13" s="202" t="s">
        <v>330</v>
      </c>
      <c r="H13" s="202" t="s">
        <v>331</v>
      </c>
      <c r="I13" s="203" t="s">
        <v>332</v>
      </c>
      <c r="J13" s="202" t="s">
        <v>333</v>
      </c>
      <c r="K13" s="202" t="s">
        <v>334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8" x14ac:dyDescent="0.25">
      <c r="C14" s="313" t="s">
        <v>366</v>
      </c>
      <c r="D14" s="313" t="s">
        <v>366</v>
      </c>
      <c r="G14" s="30"/>
      <c r="H14" s="30"/>
      <c r="I14" s="3" t="s">
        <v>5</v>
      </c>
      <c r="J14" s="3" t="s">
        <v>5</v>
      </c>
      <c r="P14" s="50" t="s">
        <v>61</v>
      </c>
      <c r="Q14" s="50"/>
      <c r="R14" s="50"/>
      <c r="T14" s="50" t="s">
        <v>62</v>
      </c>
      <c r="U14" s="50"/>
      <c r="V14" s="50"/>
    </row>
    <row r="15" spans="1:28" x14ac:dyDescent="0.25">
      <c r="C15" s="3" t="s">
        <v>1</v>
      </c>
      <c r="D15" s="3" t="s">
        <v>74</v>
      </c>
      <c r="E15" s="3"/>
      <c r="F15" s="3"/>
      <c r="G15" s="451" t="s">
        <v>130</v>
      </c>
      <c r="H15" s="451"/>
      <c r="I15" s="3" t="s">
        <v>1</v>
      </c>
      <c r="J15" s="3" t="s">
        <v>74</v>
      </c>
      <c r="K15" s="3"/>
      <c r="P15" s="26" t="s">
        <v>64</v>
      </c>
      <c r="Q15" s="3"/>
      <c r="R15" s="26"/>
      <c r="T15" s="26" t="s">
        <v>64</v>
      </c>
      <c r="U15" s="3"/>
      <c r="V15" s="26"/>
    </row>
    <row r="16" spans="1:28" x14ac:dyDescent="0.25">
      <c r="A16" s="3"/>
      <c r="B16" s="3"/>
      <c r="C16" s="3" t="s">
        <v>4</v>
      </c>
      <c r="D16" s="3" t="s">
        <v>4</v>
      </c>
      <c r="E16" s="3" t="s">
        <v>75</v>
      </c>
      <c r="F16" s="3" t="s">
        <v>75</v>
      </c>
      <c r="G16" s="202" t="s">
        <v>421</v>
      </c>
      <c r="H16" s="52" t="s">
        <v>72</v>
      </c>
      <c r="I16" s="3" t="s">
        <v>4</v>
      </c>
      <c r="J16" s="3" t="s">
        <v>4</v>
      </c>
      <c r="K16" s="3" t="s">
        <v>75</v>
      </c>
      <c r="L16" s="3"/>
      <c r="M16" s="3"/>
      <c r="N16" s="3"/>
      <c r="O16" s="3"/>
      <c r="P16" s="26" t="s">
        <v>63</v>
      </c>
      <c r="Q16" s="3" t="s">
        <v>58</v>
      </c>
      <c r="R16" s="26" t="s">
        <v>5</v>
      </c>
      <c r="T16" s="26" t="s">
        <v>63</v>
      </c>
      <c r="U16" s="3" t="s">
        <v>58</v>
      </c>
      <c r="V16" s="26" t="s">
        <v>5</v>
      </c>
      <c r="X16" s="2"/>
      <c r="Y16" s="3" t="s">
        <v>6</v>
      </c>
      <c r="Z16" s="3"/>
      <c r="AA16" s="3" t="s">
        <v>8</v>
      </c>
      <c r="AB16" s="3"/>
    </row>
    <row r="17" spans="1:28" x14ac:dyDescent="0.25">
      <c r="A17" s="3" t="s">
        <v>50</v>
      </c>
      <c r="B17" s="3"/>
      <c r="C17" s="3"/>
      <c r="D17" s="3"/>
      <c r="E17" s="3" t="s">
        <v>69</v>
      </c>
      <c r="F17" s="26" t="s">
        <v>70</v>
      </c>
      <c r="G17" s="51"/>
      <c r="H17" s="53"/>
      <c r="I17" s="3" t="s">
        <v>69</v>
      </c>
      <c r="J17" s="3" t="s">
        <v>69</v>
      </c>
      <c r="K17" s="26" t="s">
        <v>70</v>
      </c>
      <c r="L17" s="3"/>
      <c r="M17" s="3"/>
      <c r="N17" s="3"/>
      <c r="O17" s="3"/>
      <c r="P17" s="80" t="s">
        <v>3</v>
      </c>
      <c r="Q17" s="81" t="s">
        <v>3</v>
      </c>
      <c r="R17" s="80" t="s">
        <v>4</v>
      </c>
      <c r="T17" s="80" t="s">
        <v>3</v>
      </c>
      <c r="U17" s="81" t="s">
        <v>3</v>
      </c>
      <c r="V17" s="80" t="s">
        <v>4</v>
      </c>
      <c r="X17" s="2"/>
      <c r="Y17" s="3" t="s">
        <v>7</v>
      </c>
      <c r="Z17" s="3"/>
      <c r="AA17" s="3" t="s">
        <v>7</v>
      </c>
      <c r="AB17" s="3"/>
    </row>
    <row r="18" spans="1:28" x14ac:dyDescent="0.25">
      <c r="A18" s="81"/>
      <c r="B18" s="81"/>
      <c r="C18" s="81"/>
      <c r="D18" s="81"/>
      <c r="E18" s="325" t="str">
        <f>("[ "&amp;D13&amp;" - "&amp;C13&amp;" ]")</f>
        <v>[ B - A ]</v>
      </c>
      <c r="F18" s="325" t="str">
        <f>("[ "&amp;E13&amp;" / "&amp;C13&amp;" ]")</f>
        <v>[ C / A ]</v>
      </c>
      <c r="G18" s="355"/>
      <c r="H18" s="355"/>
      <c r="I18" s="325" t="str">
        <f>("["&amp;C13&amp;"+"&amp;$G$13&amp;"+"&amp;$H$13&amp;"]")</f>
        <v>[A+E+F]</v>
      </c>
      <c r="J18" s="325" t="str">
        <f>("["&amp;D13&amp;"+"&amp;$G$13&amp;"+"&amp;$H$13&amp;"]")</f>
        <v>[B+E+F]</v>
      </c>
      <c r="K18" s="325" t="str">
        <f>("[("&amp;J13&amp;"-"&amp;I13&amp;")/"&amp;I13&amp;"]")</f>
        <v>[(H-G)/G]</v>
      </c>
      <c r="L18" s="3"/>
      <c r="M18" s="3"/>
      <c r="N18" s="3"/>
      <c r="O18" s="3"/>
      <c r="P18" s="26"/>
      <c r="Q18" s="33">
        <f>+INPUT!$O$6</f>
        <v>7.8710000000000002E-2</v>
      </c>
      <c r="R18" s="26"/>
      <c r="T18" s="26"/>
      <c r="U18" s="33">
        <f>INPUT!$O$27</f>
        <v>8.5330000000000003E-2</v>
      </c>
      <c r="V18" s="26"/>
      <c r="X18" s="2"/>
      <c r="Y18" s="3"/>
      <c r="Z18" s="3"/>
      <c r="AA18" s="3"/>
      <c r="AB18" s="3"/>
    </row>
    <row r="19" spans="1:28" x14ac:dyDescent="0.25">
      <c r="A19" s="3"/>
      <c r="B19" s="3"/>
      <c r="C19" s="3"/>
      <c r="D19" s="3"/>
      <c r="E19" s="3"/>
      <c r="F19" s="3"/>
      <c r="G19" s="30"/>
      <c r="H19" s="30"/>
      <c r="I19" s="3"/>
      <c r="J19" s="3"/>
      <c r="K19" s="3"/>
      <c r="L19" s="3"/>
      <c r="M19" s="3"/>
      <c r="N19" s="3"/>
      <c r="O19" s="3"/>
      <c r="P19" s="26"/>
      <c r="Q19" s="3" t="s">
        <v>14</v>
      </c>
      <c r="R19" s="26"/>
      <c r="T19" s="26"/>
      <c r="U19" s="3" t="s">
        <v>14</v>
      </c>
      <c r="V19" s="26"/>
      <c r="X19" s="2"/>
      <c r="Y19" s="3"/>
      <c r="Z19" s="3"/>
      <c r="AA19" s="3"/>
      <c r="AB19" s="3"/>
    </row>
    <row r="20" spans="1:2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  <c r="R20" s="3"/>
      <c r="U20" s="3"/>
      <c r="V20" s="3"/>
    </row>
    <row r="21" spans="1:28" x14ac:dyDescent="0.25">
      <c r="A21" s="1">
        <v>50</v>
      </c>
      <c r="C21" s="6">
        <f>+R21</f>
        <v>7.9355000000000002</v>
      </c>
      <c r="D21" s="6">
        <f>+V21</f>
        <v>8.2665000000000006</v>
      </c>
      <c r="E21" s="29">
        <f>+D21-C21</f>
        <v>0.33100000000000041</v>
      </c>
      <c r="F21" s="55">
        <f>ROUND(+E21/C21,4)</f>
        <v>4.1700000000000001E-2</v>
      </c>
      <c r="G21" s="29">
        <f>ROUND($Q$10*$A21,2)</f>
        <v>-0.19</v>
      </c>
      <c r="H21" s="29">
        <f>ROUND($Q$11*$A21,2)</f>
        <v>0.45</v>
      </c>
      <c r="I21" s="29">
        <f>+C21+G21+H21</f>
        <v>8.1954999999999991</v>
      </c>
      <c r="J21" s="29">
        <f>+D21+G21+H21</f>
        <v>8.5265000000000004</v>
      </c>
      <c r="K21" s="55">
        <f>ROUND((J21-I21)/I21,4)</f>
        <v>4.0399999999999998E-2</v>
      </c>
      <c r="P21" s="7">
        <f>+INPUT!$O$4</f>
        <v>4</v>
      </c>
      <c r="Q21" s="6">
        <f>A21*$Q$18</f>
        <v>3.9355000000000002</v>
      </c>
      <c r="R21" s="6">
        <f>P21+Q21</f>
        <v>7.9355000000000002</v>
      </c>
      <c r="T21" s="7">
        <f>INPUT!$O$25</f>
        <v>4</v>
      </c>
      <c r="U21" s="6">
        <f>A21*$U$18</f>
        <v>4.2664999999999997</v>
      </c>
      <c r="V21" s="6">
        <f>T21+U21</f>
        <v>8.2665000000000006</v>
      </c>
      <c r="Y21" s="6">
        <f>V21-R21</f>
        <v>0.33100000000000041</v>
      </c>
      <c r="AA21" s="8">
        <f>V21/R21-1</f>
        <v>4.1711297334761532E-2</v>
      </c>
      <c r="AB21" s="8"/>
    </row>
    <row r="22" spans="1:28" x14ac:dyDescent="0.25">
      <c r="A22" s="1"/>
      <c r="P22" s="7"/>
      <c r="Q22" s="6"/>
      <c r="R22" s="6"/>
      <c r="T22" s="7"/>
      <c r="U22" s="6"/>
      <c r="V22" s="6"/>
      <c r="AA22" s="8"/>
      <c r="AB22" s="8"/>
    </row>
    <row r="23" spans="1:28" x14ac:dyDescent="0.25">
      <c r="A23" s="1">
        <v>100</v>
      </c>
      <c r="C23" s="6">
        <f>+R23</f>
        <v>11.871</v>
      </c>
      <c r="D23" s="6">
        <f>+V23</f>
        <v>12.532999999999999</v>
      </c>
      <c r="E23" s="29">
        <f>+D23-C23</f>
        <v>0.66199999999999903</v>
      </c>
      <c r="F23" s="55">
        <f>ROUND(+E23/C23,4)</f>
        <v>5.5800000000000002E-2</v>
      </c>
      <c r="G23" s="29">
        <f>ROUND($Q$10*$A23,2)</f>
        <v>-0.38</v>
      </c>
      <c r="H23" s="29">
        <f>ROUND($Q$11*$A23,2)</f>
        <v>0.9</v>
      </c>
      <c r="I23" s="29">
        <f>+C23+G23+H23</f>
        <v>12.391</v>
      </c>
      <c r="J23" s="29">
        <f>+D23+G23+H23</f>
        <v>13.052999999999999</v>
      </c>
      <c r="K23" s="55">
        <f>ROUND((J23-I23)/I23,4)</f>
        <v>5.3400000000000003E-2</v>
      </c>
      <c r="P23" s="7">
        <f>$P$21</f>
        <v>4</v>
      </c>
      <c r="Q23" s="6">
        <f>A23*$Q$18</f>
        <v>7.8710000000000004</v>
      </c>
      <c r="R23" s="6">
        <f>P23+Q23</f>
        <v>11.871</v>
      </c>
      <c r="T23" s="7">
        <f>+$T$21</f>
        <v>4</v>
      </c>
      <c r="U23" s="6">
        <f>A23*$U$18</f>
        <v>8.5329999999999995</v>
      </c>
      <c r="V23" s="6">
        <f>T23+U23</f>
        <v>12.532999999999999</v>
      </c>
      <c r="Y23" s="6">
        <f>V23-R23</f>
        <v>0.66199999999999903</v>
      </c>
      <c r="AA23" s="8">
        <f>V23/R23-1</f>
        <v>5.5766152809367364E-2</v>
      </c>
      <c r="AB23" s="8"/>
    </row>
    <row r="24" spans="1:28" x14ac:dyDescent="0.25">
      <c r="A24" s="1"/>
      <c r="C24" s="6"/>
      <c r="D24" s="6"/>
      <c r="E24" s="29"/>
      <c r="F24" s="55"/>
      <c r="G24" s="29"/>
      <c r="H24" s="29"/>
      <c r="I24" s="29"/>
      <c r="J24" s="29"/>
      <c r="K24" s="55"/>
      <c r="P24" s="56"/>
      <c r="Q24" s="6"/>
      <c r="R24" s="6"/>
      <c r="T24" s="7"/>
      <c r="U24" s="6"/>
      <c r="V24" s="6"/>
      <c r="AA24" s="27"/>
      <c r="AB24" s="27"/>
    </row>
    <row r="25" spans="1:28" s="10" customFormat="1" x14ac:dyDescent="0.25">
      <c r="A25" s="1">
        <v>200</v>
      </c>
      <c r="B25"/>
      <c r="C25" s="6">
        <f>+R25</f>
        <v>19.742000000000001</v>
      </c>
      <c r="D25" s="6">
        <f>+V25</f>
        <v>21.065999999999999</v>
      </c>
      <c r="E25" s="29">
        <f>+D25-C25</f>
        <v>1.3239999999999981</v>
      </c>
      <c r="F25" s="55">
        <f>ROUND(+E25/C25,4)</f>
        <v>6.7100000000000007E-2</v>
      </c>
      <c r="G25" s="29">
        <f>ROUND($Q$10*$A25,2)</f>
        <v>-0.77</v>
      </c>
      <c r="H25" s="29">
        <f>ROUND($Q$11*$A25,2)</f>
        <v>1.8</v>
      </c>
      <c r="I25" s="29">
        <f>+C25+G25+H25</f>
        <v>20.772000000000002</v>
      </c>
      <c r="J25" s="29">
        <f>+D25+G25+H25</f>
        <v>22.096</v>
      </c>
      <c r="K25" s="55">
        <f>ROUND((J25-I25)/I25,4)</f>
        <v>6.3700000000000007E-2</v>
      </c>
      <c r="P25" s="56">
        <f>$P$21</f>
        <v>4</v>
      </c>
      <c r="Q25" s="6">
        <f>A25*$Q$18</f>
        <v>15.742000000000001</v>
      </c>
      <c r="R25" s="11">
        <f>P25+Q25</f>
        <v>19.742000000000001</v>
      </c>
      <c r="T25" s="7">
        <f>+$T$21</f>
        <v>4</v>
      </c>
      <c r="U25" s="6">
        <f>A25*$U$18</f>
        <v>17.065999999999999</v>
      </c>
      <c r="V25" s="11">
        <f>T25+U25</f>
        <v>21.065999999999999</v>
      </c>
      <c r="Y25" s="11">
        <f>V25-R25</f>
        <v>1.3239999999999981</v>
      </c>
      <c r="AA25" s="27">
        <f>V25/R25-1</f>
        <v>6.7065140309998883E-2</v>
      </c>
      <c r="AB25" s="27"/>
    </row>
    <row r="26" spans="1:28" x14ac:dyDescent="0.25">
      <c r="A26" s="1"/>
      <c r="P26" s="7"/>
      <c r="Q26" s="6"/>
      <c r="R26" s="6"/>
      <c r="T26" s="7"/>
      <c r="U26" s="6"/>
      <c r="V26" s="6"/>
      <c r="AA26" s="8"/>
      <c r="AB26" s="8"/>
    </row>
    <row r="27" spans="1:28" x14ac:dyDescent="0.25">
      <c r="A27" s="1">
        <v>300</v>
      </c>
      <c r="C27" s="6">
        <f>+R27</f>
        <v>27.613</v>
      </c>
      <c r="D27" s="6">
        <f>+V27</f>
        <v>29.599</v>
      </c>
      <c r="E27" s="29">
        <f>+D27-C27</f>
        <v>1.9860000000000007</v>
      </c>
      <c r="F27" s="55">
        <f>ROUND(+E27/C27,4)</f>
        <v>7.1900000000000006E-2</v>
      </c>
      <c r="G27" s="29">
        <f>ROUND($Q$10*$A27,2)</f>
        <v>-1.1499999999999999</v>
      </c>
      <c r="H27" s="29">
        <f>ROUND($Q$11*$A27,2)</f>
        <v>2.7</v>
      </c>
      <c r="I27" s="29">
        <f>+C27+G27+H27</f>
        <v>29.163</v>
      </c>
      <c r="J27" s="29">
        <f>+D27+G27+H27</f>
        <v>31.149000000000001</v>
      </c>
      <c r="K27" s="55">
        <f>ROUND((J27-I27)/I27,4)</f>
        <v>6.8099999999999994E-2</v>
      </c>
      <c r="P27" s="7">
        <f>$P$21</f>
        <v>4</v>
      </c>
      <c r="Q27" s="6">
        <f>A27*$Q$18</f>
        <v>23.613</v>
      </c>
      <c r="R27" s="6">
        <f>P27+Q27</f>
        <v>27.613</v>
      </c>
      <c r="T27" s="7">
        <f>+$T$21</f>
        <v>4</v>
      </c>
      <c r="U27" s="6">
        <f>A27*$U$18</f>
        <v>25.599</v>
      </c>
      <c r="V27" s="6">
        <f>T27+U27</f>
        <v>29.599</v>
      </c>
      <c r="Y27" s="6">
        <f>V27-R27</f>
        <v>1.9860000000000007</v>
      </c>
      <c r="AA27" s="8">
        <f>V27/R27-1</f>
        <v>7.1922645130916729E-2</v>
      </c>
      <c r="AB27" s="8"/>
    </row>
    <row r="28" spans="1:28" x14ac:dyDescent="0.25">
      <c r="P28" s="7"/>
      <c r="Q28" s="6"/>
      <c r="R28" s="6"/>
      <c r="T28" s="7"/>
      <c r="U28" s="6"/>
      <c r="V28" s="6"/>
      <c r="AA28" s="8"/>
      <c r="AB28" s="8"/>
    </row>
    <row r="29" spans="1:28" x14ac:dyDescent="0.25">
      <c r="A29" s="1">
        <v>400</v>
      </c>
      <c r="C29" s="6">
        <f>+R29</f>
        <v>35.484000000000002</v>
      </c>
      <c r="D29" s="6">
        <f>+V29</f>
        <v>38.131999999999998</v>
      </c>
      <c r="E29" s="29">
        <f>+D29-C29</f>
        <v>2.6479999999999961</v>
      </c>
      <c r="F29" s="55">
        <f>ROUND(+E29/C29,4)</f>
        <v>7.46E-2</v>
      </c>
      <c r="G29" s="29">
        <f>ROUND($Q$10*$A29,2)</f>
        <v>-1.53</v>
      </c>
      <c r="H29" s="29">
        <f>ROUND($Q$11*$A29,2)</f>
        <v>3.6</v>
      </c>
      <c r="I29" s="29">
        <f>+C29+G29+H29</f>
        <v>37.554000000000002</v>
      </c>
      <c r="J29" s="29">
        <f>+D29+G29+H29</f>
        <v>40.201999999999998</v>
      </c>
      <c r="K29" s="55">
        <f>ROUND((J29-I29)/I29,4)</f>
        <v>7.0499999999999993E-2</v>
      </c>
      <c r="P29" s="7">
        <f>$P$21</f>
        <v>4</v>
      </c>
      <c r="Q29" s="6">
        <f>A29*$Q$18</f>
        <v>31.484000000000002</v>
      </c>
      <c r="R29" s="6">
        <f>P29+Q29</f>
        <v>35.484000000000002</v>
      </c>
      <c r="T29" s="7">
        <f>+$T$21</f>
        <v>4</v>
      </c>
      <c r="U29" s="6">
        <f>A29*$U$18</f>
        <v>34.131999999999998</v>
      </c>
      <c r="V29" s="6">
        <f>T29+U29</f>
        <v>38.131999999999998</v>
      </c>
      <c r="Y29" s="6">
        <f>V29-R29</f>
        <v>2.6479999999999961</v>
      </c>
      <c r="AA29" s="8">
        <f>V29/R29-1</f>
        <v>7.4625183181151966E-2</v>
      </c>
      <c r="AB29" s="8"/>
    </row>
    <row r="30" spans="1:28" x14ac:dyDescent="0.25">
      <c r="A30" s="1"/>
      <c r="P30" s="7"/>
      <c r="Q30" s="6"/>
      <c r="R30" s="6"/>
      <c r="T30" s="7"/>
      <c r="U30" s="6"/>
      <c r="V30" s="6"/>
      <c r="AA30" s="8"/>
      <c r="AB30" s="8"/>
    </row>
    <row r="31" spans="1:28" x14ac:dyDescent="0.25">
      <c r="A31" s="1">
        <v>500</v>
      </c>
      <c r="C31" s="6">
        <f>+R31</f>
        <v>43.355000000000004</v>
      </c>
      <c r="D31" s="6">
        <f>+V31</f>
        <v>46.664999999999999</v>
      </c>
      <c r="E31" s="29">
        <f>+D31-C31</f>
        <v>3.3099999999999952</v>
      </c>
      <c r="F31" s="55">
        <f>ROUND(+E31/C31,4)</f>
        <v>7.6300000000000007E-2</v>
      </c>
      <c r="G31" s="29">
        <f>ROUND($Q$10*$A31,2)</f>
        <v>-1.92</v>
      </c>
      <c r="H31" s="29">
        <f>ROUND($Q$11*$A31,2)</f>
        <v>4.51</v>
      </c>
      <c r="I31" s="29">
        <f>+C31+G31+H31</f>
        <v>45.945</v>
      </c>
      <c r="J31" s="29">
        <f>+D31+G31+H31</f>
        <v>49.254999999999995</v>
      </c>
      <c r="K31" s="55">
        <f>ROUND((J31-I31)/I31,4)</f>
        <v>7.1999999999999995E-2</v>
      </c>
      <c r="P31" s="7">
        <f>$P$21</f>
        <v>4</v>
      </c>
      <c r="Q31" s="6">
        <f>A31*$Q$18</f>
        <v>39.355000000000004</v>
      </c>
      <c r="R31" s="6">
        <f>P31+Q31</f>
        <v>43.355000000000004</v>
      </c>
      <c r="T31" s="7">
        <f>+$T$21</f>
        <v>4</v>
      </c>
      <c r="U31" s="6">
        <f>A31*$U$18</f>
        <v>42.664999999999999</v>
      </c>
      <c r="V31" s="6">
        <f>T31+U31</f>
        <v>46.664999999999999</v>
      </c>
      <c r="Y31" s="6">
        <f>V31-R31</f>
        <v>3.3099999999999952</v>
      </c>
      <c r="AA31" s="8">
        <f>V31/R31-1</f>
        <v>7.634644216353359E-2</v>
      </c>
      <c r="AB31" s="8"/>
    </row>
    <row r="32" spans="1:28" x14ac:dyDescent="0.25">
      <c r="P32" s="7"/>
      <c r="Q32" s="6"/>
      <c r="R32" s="6"/>
      <c r="T32" s="7"/>
      <c r="U32" s="6"/>
      <c r="V32" s="6"/>
      <c r="AA32" s="8"/>
      <c r="AB32" s="8"/>
    </row>
    <row r="33" spans="1:28" x14ac:dyDescent="0.25">
      <c r="A33" s="1">
        <v>1000</v>
      </c>
      <c r="C33" s="6">
        <f>+R33</f>
        <v>82.710000000000008</v>
      </c>
      <c r="D33" s="6">
        <f>+V33</f>
        <v>89.33</v>
      </c>
      <c r="E33" s="29">
        <f>+D33-C33</f>
        <v>6.6199999999999903</v>
      </c>
      <c r="F33" s="55">
        <f>ROUND(+E33/C33,4)</f>
        <v>0.08</v>
      </c>
      <c r="G33" s="29">
        <f>ROUND($Q$10*$A33,2)</f>
        <v>-3.83</v>
      </c>
      <c r="H33" s="29">
        <f>ROUND($Q$11*$A33,2)</f>
        <v>9.01</v>
      </c>
      <c r="I33" s="29">
        <f>+C33+G33+H33</f>
        <v>87.890000000000015</v>
      </c>
      <c r="J33" s="29">
        <f>+D33+G33+H33</f>
        <v>94.51</v>
      </c>
      <c r="K33" s="55">
        <f>ROUND((J33-I33)/I33,4)</f>
        <v>7.5300000000000006E-2</v>
      </c>
      <c r="P33" s="7">
        <f>$P$21</f>
        <v>4</v>
      </c>
      <c r="Q33" s="6">
        <f>A33*$Q$18</f>
        <v>78.710000000000008</v>
      </c>
      <c r="R33" s="6">
        <f>P33+Q33</f>
        <v>82.710000000000008</v>
      </c>
      <c r="T33" s="7">
        <f>+$T$21</f>
        <v>4</v>
      </c>
      <c r="U33" s="6">
        <f>A33*$U$18</f>
        <v>85.33</v>
      </c>
      <c r="V33" s="6">
        <f>T33+U33</f>
        <v>89.33</v>
      </c>
      <c r="Y33" s="6">
        <f>V33-R33</f>
        <v>6.6199999999999903</v>
      </c>
      <c r="AA33" s="8">
        <f>V33/R33-1</f>
        <v>8.0038689396687124E-2</v>
      </c>
      <c r="AB33" s="8"/>
    </row>
    <row r="34" spans="1:28" x14ac:dyDescent="0.25">
      <c r="P34" s="7"/>
      <c r="Q34" s="6"/>
      <c r="R34" s="6"/>
      <c r="T34" s="7"/>
      <c r="U34" s="6"/>
      <c r="V34" s="6"/>
      <c r="AA34" s="8"/>
      <c r="AB34" s="8"/>
    </row>
    <row r="35" spans="1:28" x14ac:dyDescent="0.25">
      <c r="A35" s="1">
        <v>5000</v>
      </c>
      <c r="C35" s="6">
        <f>+R35</f>
        <v>397.55</v>
      </c>
      <c r="D35" s="6">
        <f>+V35</f>
        <v>430.65000000000003</v>
      </c>
      <c r="E35" s="29">
        <f>+D35-C35</f>
        <v>33.100000000000023</v>
      </c>
      <c r="F35" s="55">
        <f>ROUND(+E35/C35,4)</f>
        <v>8.3299999999999999E-2</v>
      </c>
      <c r="G35" s="29">
        <f>ROUND($Q$10*$A35,2)</f>
        <v>-19.170000000000002</v>
      </c>
      <c r="H35" s="29">
        <f>ROUND($Q$11*$A35,2)</f>
        <v>45.06</v>
      </c>
      <c r="I35" s="29">
        <f>+C35+G35+H35</f>
        <v>423.44</v>
      </c>
      <c r="J35" s="29">
        <f>+D35+G35+H35</f>
        <v>456.54</v>
      </c>
      <c r="K35" s="55">
        <f>ROUND((J35-I35)/I35,4)</f>
        <v>7.8200000000000006E-2</v>
      </c>
      <c r="P35" s="7">
        <f>$P$21</f>
        <v>4</v>
      </c>
      <c r="Q35" s="6">
        <f>A35*$Q$18</f>
        <v>393.55</v>
      </c>
      <c r="R35" s="6">
        <f>P35+Q35</f>
        <v>397.55</v>
      </c>
      <c r="T35" s="7">
        <f>+$T$21</f>
        <v>4</v>
      </c>
      <c r="U35" s="6">
        <f>A35*$U$18</f>
        <v>426.65000000000003</v>
      </c>
      <c r="V35" s="6">
        <f>T35+U35</f>
        <v>430.65000000000003</v>
      </c>
      <c r="Y35" s="6">
        <f>V35-R35</f>
        <v>33.100000000000023</v>
      </c>
      <c r="AA35" s="8">
        <f>V35/R35-1</f>
        <v>8.3259967299710747E-2</v>
      </c>
      <c r="AB35" s="8"/>
    </row>
    <row r="37" spans="1:28" x14ac:dyDescent="0.25">
      <c r="A37" s="17" t="s">
        <v>336</v>
      </c>
    </row>
    <row r="38" spans="1:28" s="17" customFormat="1" x14ac:dyDescent="0.25">
      <c r="A38" s="208" t="str">
        <f>("Average usage = "&amp;INPUT!O19&amp;" kWh per month")</f>
        <v>Average usage = 286 kWh per month</v>
      </c>
    </row>
    <row r="39" spans="1:28" s="17" customFormat="1" x14ac:dyDescent="0.25">
      <c r="A39" s="210" t="s">
        <v>337</v>
      </c>
    </row>
    <row r="40" spans="1:28" x14ac:dyDescent="0.25">
      <c r="A40" s="209" t="s">
        <v>341</v>
      </c>
    </row>
    <row r="41" spans="1:28" ht="12" customHeight="1" x14ac:dyDescent="0.25">
      <c r="A41" s="209" t="str">
        <f>+'Rate Case Constants'!C26</f>
        <v>Calculations may vary from other schedules due to rounding</v>
      </c>
    </row>
  </sheetData>
  <mergeCells count="5">
    <mergeCell ref="G15:H15"/>
    <mergeCell ref="A1:K1"/>
    <mergeCell ref="A2:K2"/>
    <mergeCell ref="A3:K3"/>
    <mergeCell ref="A4:K4"/>
  </mergeCells>
  <printOptions horizontalCentered="1"/>
  <pageMargins left="0.75" right="0.75" top="1.5" bottom="0.5" header="1" footer="0.5"/>
  <pageSetup scale="9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4"/>
  <sheetViews>
    <sheetView view="pageBreakPreview" zoomScaleNormal="80" zoomScaleSheetLayoutView="100" workbookViewId="0">
      <selection activeCell="E9" sqref="E9"/>
    </sheetView>
  </sheetViews>
  <sheetFormatPr defaultRowHeight="13.2" x14ac:dyDescent="0.25"/>
  <cols>
    <col min="1" max="1" width="26.88671875" customWidth="1"/>
    <col min="2" max="2" width="3.5546875" customWidth="1"/>
    <col min="3" max="4" width="13.109375" customWidth="1"/>
    <col min="5" max="5" width="12.88671875" bestFit="1" customWidth="1"/>
    <col min="6" max="6" width="9.33203125" bestFit="1" customWidth="1"/>
    <col min="7" max="7" width="6.44140625" customWidth="1"/>
    <col min="8" max="8" width="7.88671875" customWidth="1"/>
    <col min="9" max="9" width="11.33203125" customWidth="1"/>
    <col min="10" max="10" width="3.5546875" customWidth="1"/>
    <col min="11" max="11" width="11.88671875" customWidth="1"/>
    <col min="12" max="12" width="9.88671875" customWidth="1"/>
    <col min="13" max="13" width="11.109375" bestFit="1" customWidth="1"/>
    <col min="14" max="14" width="7.109375" customWidth="1"/>
    <col min="15" max="15" width="11.5546875" customWidth="1"/>
    <col min="16" max="16" width="9.5546875" customWidth="1"/>
    <col min="17" max="17" width="11.109375" bestFit="1" customWidth="1"/>
    <col min="18" max="19" width="3" customWidth="1"/>
    <col min="21" max="21" width="2.6640625" customWidth="1"/>
  </cols>
  <sheetData>
    <row r="1" spans="1:23" x14ac:dyDescent="0.25">
      <c r="A1" s="441" t="str">
        <f>+'Rate Case Constants'!C9</f>
        <v>LOUISVILLE GAS AND ELECTRIC COMPANY</v>
      </c>
      <c r="B1" s="441"/>
      <c r="C1" s="441"/>
      <c r="D1" s="441"/>
      <c r="E1" s="441"/>
      <c r="F1" s="441"/>
      <c r="G1" s="441"/>
      <c r="H1" s="441"/>
    </row>
    <row r="2" spans="1:23" x14ac:dyDescent="0.25">
      <c r="A2" s="441" t="str">
        <f>+'Rate Case Constants'!C10</f>
        <v>CASE NO. 2016-00371</v>
      </c>
      <c r="B2" s="441"/>
      <c r="C2" s="441"/>
      <c r="D2" s="441"/>
      <c r="E2" s="441"/>
      <c r="F2" s="441"/>
      <c r="G2" s="441"/>
      <c r="H2" s="441"/>
    </row>
    <row r="3" spans="1:23" x14ac:dyDescent="0.25">
      <c r="A3" s="442" t="str">
        <f>+'Rate Case Constants'!C24</f>
        <v>Typical Electric Bill Comparison under Present &amp; Proposed Rates</v>
      </c>
      <c r="B3" s="442"/>
      <c r="C3" s="442"/>
      <c r="D3" s="442"/>
      <c r="E3" s="442"/>
      <c r="F3" s="442"/>
      <c r="G3" s="442"/>
      <c r="H3" s="442"/>
    </row>
    <row r="4" spans="1:23" x14ac:dyDescent="0.25">
      <c r="A4" s="441" t="str">
        <f>+'Rate Case Constants'!C21</f>
        <v>FORECAST PERIOD FOR THE 12 MONTHS ENDED JUNE 30, 2018</v>
      </c>
      <c r="B4" s="441"/>
      <c r="C4" s="441"/>
      <c r="D4" s="441"/>
      <c r="E4" s="441"/>
      <c r="F4" s="441"/>
      <c r="G4" s="441"/>
      <c r="H4" s="441"/>
    </row>
    <row r="5" spans="1:23" x14ac:dyDescent="0.25">
      <c r="A5" s="340"/>
      <c r="B5" s="340"/>
      <c r="C5" s="340"/>
      <c r="D5" s="340"/>
      <c r="E5" s="340"/>
      <c r="F5" s="340"/>
      <c r="G5" s="340"/>
      <c r="H5" s="340"/>
    </row>
    <row r="6" spans="1:23" x14ac:dyDescent="0.25">
      <c r="A6" s="340"/>
      <c r="B6" s="340"/>
      <c r="C6" s="340"/>
      <c r="D6" s="340"/>
      <c r="E6" s="340"/>
      <c r="F6" s="340"/>
      <c r="G6" s="340"/>
      <c r="H6" s="340"/>
    </row>
    <row r="7" spans="1:23" x14ac:dyDescent="0.25">
      <c r="A7" s="340" t="str">
        <f>+'Rate Case Constants'!C33</f>
        <v>DATA: ____BASE PERIOD__X___FORECASTED PERIOD</v>
      </c>
      <c r="B7" s="340"/>
      <c r="C7" s="340"/>
      <c r="D7" s="340"/>
      <c r="E7" s="340"/>
      <c r="F7" s="340"/>
      <c r="G7" s="340"/>
      <c r="H7" s="341" t="str">
        <f>+'Rate Case Constants'!C25</f>
        <v>SCHEDULE N (Electric)</v>
      </c>
    </row>
    <row r="8" spans="1:23" x14ac:dyDescent="0.25">
      <c r="A8" s="340" t="str">
        <f>+'Rate Case Constants'!C29</f>
        <v>TYPE OF FILING: __X__ ORIGINAL  _____ UPDATED  _____ REVISED</v>
      </c>
      <c r="B8" s="340"/>
      <c r="C8" s="340"/>
      <c r="D8" s="340"/>
      <c r="E8" s="340"/>
      <c r="F8" s="340"/>
      <c r="G8" s="340"/>
      <c r="H8" s="342" t="str">
        <f>+'Rate Case Constants'!L28</f>
        <v>PAGE 21 of 21</v>
      </c>
      <c r="L8" s="189"/>
    </row>
    <row r="9" spans="1:23" x14ac:dyDescent="0.25">
      <c r="A9" s="340" t="str">
        <f>+'Rate Case Constants'!C34</f>
        <v>WORKPAPER REFERENCE NO(S):________</v>
      </c>
      <c r="B9" s="340"/>
      <c r="C9" s="340"/>
      <c r="D9" s="340"/>
      <c r="E9" s="340"/>
      <c r="F9" s="340"/>
      <c r="G9" s="340"/>
      <c r="H9" s="342" t="str">
        <f>+'Rate Case Constants'!C36</f>
        <v>WITNESS:   C. M. GARRETT</v>
      </c>
    </row>
    <row r="10" spans="1:23" x14ac:dyDescent="0.25">
      <c r="A10" s="340"/>
      <c r="B10" s="340"/>
      <c r="C10" s="340"/>
      <c r="D10" s="340"/>
      <c r="E10" s="340"/>
      <c r="F10" s="340"/>
      <c r="G10" s="340"/>
      <c r="H10" s="340"/>
    </row>
    <row r="11" spans="1:23" x14ac:dyDescent="0.25">
      <c r="A11" s="351" t="s">
        <v>430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4"/>
      <c r="P11" s="30"/>
      <c r="Q11" s="30"/>
    </row>
    <row r="12" spans="1:23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23" x14ac:dyDescent="0.25">
      <c r="A13" s="30"/>
      <c r="B13" s="30"/>
      <c r="C13" s="3" t="s">
        <v>326</v>
      </c>
      <c r="D13" s="3" t="s">
        <v>327</v>
      </c>
      <c r="E13" s="26" t="s">
        <v>328</v>
      </c>
      <c r="F13" s="3" t="s">
        <v>329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23" x14ac:dyDescent="0.25">
      <c r="K14" s="50" t="s">
        <v>61</v>
      </c>
      <c r="L14" s="50"/>
      <c r="M14" s="50"/>
      <c r="O14" s="50" t="s">
        <v>62</v>
      </c>
      <c r="P14" s="50"/>
      <c r="Q14" s="50"/>
    </row>
    <row r="15" spans="1:23" x14ac:dyDescent="0.25">
      <c r="C15" s="3" t="s">
        <v>1</v>
      </c>
      <c r="D15" s="3" t="s">
        <v>74</v>
      </c>
      <c r="E15" s="3"/>
      <c r="F15" s="3"/>
      <c r="K15" s="26" t="s">
        <v>64</v>
      </c>
      <c r="L15" s="3"/>
      <c r="M15" s="26"/>
      <c r="O15" s="26" t="s">
        <v>64</v>
      </c>
      <c r="P15" s="3"/>
      <c r="Q15" s="26"/>
    </row>
    <row r="16" spans="1:23" x14ac:dyDescent="0.25">
      <c r="A16" s="3"/>
      <c r="B16" s="3"/>
      <c r="C16" s="3" t="s">
        <v>4</v>
      </c>
      <c r="D16" s="3" t="s">
        <v>4</v>
      </c>
      <c r="E16" s="3" t="s">
        <v>75</v>
      </c>
      <c r="F16" s="3" t="s">
        <v>75</v>
      </c>
      <c r="G16" s="3"/>
      <c r="H16" s="3"/>
      <c r="I16" s="3"/>
      <c r="J16" s="3"/>
      <c r="K16" s="26" t="s">
        <v>63</v>
      </c>
      <c r="L16" s="3" t="s">
        <v>58</v>
      </c>
      <c r="M16" s="26" t="s">
        <v>5</v>
      </c>
      <c r="O16" s="26" t="s">
        <v>63</v>
      </c>
      <c r="P16" s="3" t="s">
        <v>58</v>
      </c>
      <c r="Q16" s="26" t="s">
        <v>5</v>
      </c>
      <c r="S16" s="2"/>
      <c r="T16" s="3" t="s">
        <v>6</v>
      </c>
      <c r="U16" s="3"/>
      <c r="V16" s="3" t="s">
        <v>8</v>
      </c>
      <c r="W16" s="3"/>
    </row>
    <row r="17" spans="1:23" x14ac:dyDescent="0.25">
      <c r="A17" s="3" t="s">
        <v>110</v>
      </c>
      <c r="B17" s="3"/>
      <c r="C17" s="3"/>
      <c r="D17" s="3"/>
      <c r="E17" s="3" t="s">
        <v>69</v>
      </c>
      <c r="F17" s="26" t="s">
        <v>70</v>
      </c>
      <c r="G17" s="3"/>
      <c r="H17" s="3"/>
      <c r="I17" s="3"/>
      <c r="J17" s="3"/>
      <c r="K17" s="80" t="s">
        <v>3</v>
      </c>
      <c r="L17" s="81" t="s">
        <v>3</v>
      </c>
      <c r="M17" s="80" t="s">
        <v>4</v>
      </c>
      <c r="O17" s="80" t="s">
        <v>3</v>
      </c>
      <c r="P17" s="81" t="s">
        <v>3</v>
      </c>
      <c r="Q17" s="80" t="s">
        <v>4</v>
      </c>
      <c r="S17" s="2"/>
      <c r="T17" s="3" t="s">
        <v>7</v>
      </c>
      <c r="U17" s="3"/>
      <c r="V17" s="3" t="s">
        <v>7</v>
      </c>
      <c r="W17" s="3"/>
    </row>
    <row r="18" spans="1:23" x14ac:dyDescent="0.25">
      <c r="A18" s="81" t="s">
        <v>111</v>
      </c>
      <c r="B18" s="81"/>
      <c r="C18" s="81"/>
      <c r="D18" s="81"/>
      <c r="E18" s="325" t="str">
        <f>("[ "&amp;D13&amp;" - "&amp;C13&amp;" ]")</f>
        <v>[ B - A ]</v>
      </c>
      <c r="F18" s="325" t="str">
        <f>("[ "&amp;E13&amp;" / "&amp;C13&amp;" ]")</f>
        <v>[ C / A ]</v>
      </c>
      <c r="G18" s="81"/>
      <c r="H18" s="81"/>
      <c r="I18" s="3"/>
      <c r="J18" s="3"/>
      <c r="K18" s="108">
        <f>+INPUT!$P$4</f>
        <v>7.25</v>
      </c>
      <c r="L18" s="33">
        <v>0</v>
      </c>
      <c r="M18" s="26"/>
      <c r="O18" s="407">
        <v>7.25</v>
      </c>
      <c r="P18" s="33">
        <v>0</v>
      </c>
      <c r="Q18" s="26"/>
      <c r="S18" s="2"/>
      <c r="T18" s="3"/>
      <c r="U18" s="3"/>
      <c r="V18" s="3"/>
      <c r="W18" s="3"/>
    </row>
    <row r="19" spans="1:2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6" t="s">
        <v>112</v>
      </c>
      <c r="L19" s="3" t="s">
        <v>14</v>
      </c>
      <c r="M19" s="26"/>
      <c r="O19" s="26" t="s">
        <v>112</v>
      </c>
      <c r="P19" s="3" t="s">
        <v>14</v>
      </c>
      <c r="Q19" s="26"/>
      <c r="S19" s="2"/>
      <c r="T19" s="3"/>
      <c r="U19" s="3"/>
      <c r="V19" s="3"/>
      <c r="W19" s="3"/>
    </row>
    <row r="20" spans="1:2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3"/>
      <c r="P20" s="3"/>
      <c r="Q20" s="3"/>
    </row>
    <row r="21" spans="1:23" x14ac:dyDescent="0.25">
      <c r="A21" s="107">
        <v>1000</v>
      </c>
      <c r="C21" s="29">
        <f>+M21</f>
        <v>7250</v>
      </c>
      <c r="D21" s="29">
        <f>+Q21</f>
        <v>7250</v>
      </c>
      <c r="E21" s="29">
        <f>+D21-C21</f>
        <v>0</v>
      </c>
      <c r="F21" s="55">
        <f>ROUND(+E21/C21,4)</f>
        <v>0</v>
      </c>
      <c r="K21" s="7">
        <f>+$K$18*$A21</f>
        <v>7250</v>
      </c>
      <c r="L21" s="6"/>
      <c r="M21" s="6">
        <f>K21+L21</f>
        <v>7250</v>
      </c>
      <c r="O21" s="7">
        <f>+$O$18*$A21</f>
        <v>7250</v>
      </c>
      <c r="P21" s="6"/>
      <c r="Q21" s="6">
        <f>O21+P21</f>
        <v>7250</v>
      </c>
      <c r="T21" s="6">
        <f>Q21-M21</f>
        <v>0</v>
      </c>
      <c r="V21" s="8">
        <f>Q21/M21-1</f>
        <v>0</v>
      </c>
      <c r="W21" s="8"/>
    </row>
    <row r="22" spans="1:23" x14ac:dyDescent="0.25">
      <c r="A22" s="107"/>
      <c r="C22" s="29"/>
      <c r="D22" s="29"/>
      <c r="E22" s="29"/>
      <c r="K22" s="7"/>
      <c r="L22" s="6"/>
      <c r="M22" s="6"/>
      <c r="O22" s="7"/>
      <c r="P22" s="6"/>
      <c r="Q22" s="6"/>
      <c r="V22" s="8"/>
      <c r="W22" s="8"/>
    </row>
    <row r="23" spans="1:23" x14ac:dyDescent="0.25">
      <c r="A23" s="107">
        <v>5000</v>
      </c>
      <c r="C23" s="29">
        <f>+M23</f>
        <v>36250</v>
      </c>
      <c r="D23" s="29">
        <f>+Q23</f>
        <v>36250</v>
      </c>
      <c r="E23" s="29">
        <f>+D23-C23</f>
        <v>0</v>
      </c>
      <c r="F23" s="55">
        <f>ROUND(+E23/C23,4)</f>
        <v>0</v>
      </c>
      <c r="K23" s="7">
        <f>+$K$18*$A23</f>
        <v>36250</v>
      </c>
      <c r="L23" s="6"/>
      <c r="M23" s="6">
        <f>K23+L23</f>
        <v>36250</v>
      </c>
      <c r="O23" s="7">
        <f>+$O$18*$A23</f>
        <v>36250</v>
      </c>
      <c r="P23" s="6"/>
      <c r="Q23" s="6">
        <f>O23+P23</f>
        <v>36250</v>
      </c>
      <c r="T23" s="6">
        <f>Q23-M23</f>
        <v>0</v>
      </c>
      <c r="V23" s="8">
        <f>Q23/M23-1</f>
        <v>0</v>
      </c>
      <c r="W23" s="8"/>
    </row>
    <row r="24" spans="1:23" x14ac:dyDescent="0.25">
      <c r="A24" s="107"/>
      <c r="C24" s="29"/>
      <c r="D24" s="29"/>
      <c r="E24" s="29"/>
      <c r="F24" s="55"/>
      <c r="K24" s="56"/>
      <c r="L24" s="6"/>
      <c r="M24" s="6"/>
      <c r="O24" s="7"/>
      <c r="P24" s="6"/>
      <c r="Q24" s="6"/>
      <c r="V24" s="27"/>
      <c r="W24" s="27"/>
    </row>
    <row r="25" spans="1:23" s="10" customFormat="1" x14ac:dyDescent="0.25">
      <c r="A25" s="107">
        <v>10000</v>
      </c>
      <c r="B25"/>
      <c r="C25" s="29">
        <f>+M25</f>
        <v>72500</v>
      </c>
      <c r="D25" s="29">
        <f>+Q25</f>
        <v>72500</v>
      </c>
      <c r="E25" s="29">
        <f>+D25-C25</f>
        <v>0</v>
      </c>
      <c r="F25" s="55">
        <f>ROUND(+E25/C25,4)</f>
        <v>0</v>
      </c>
      <c r="K25" s="7">
        <f>+$K$18*$A25</f>
        <v>72500</v>
      </c>
      <c r="L25" s="6"/>
      <c r="M25" s="11">
        <f>K25+L25</f>
        <v>72500</v>
      </c>
      <c r="O25" s="7">
        <f>+$O$18*$A25</f>
        <v>72500</v>
      </c>
      <c r="P25" s="6"/>
      <c r="Q25" s="11">
        <f>O25+P25</f>
        <v>72500</v>
      </c>
      <c r="T25" s="11">
        <f>Q25-M25</f>
        <v>0</v>
      </c>
      <c r="V25" s="27">
        <f>Q25/M25-1</f>
        <v>0</v>
      </c>
      <c r="W25" s="27"/>
    </row>
    <row r="26" spans="1:23" x14ac:dyDescent="0.25">
      <c r="A26" s="107"/>
      <c r="C26" s="29"/>
      <c r="D26" s="29"/>
      <c r="E26" s="29"/>
      <c r="K26" s="7"/>
      <c r="L26" s="6"/>
      <c r="M26" s="6"/>
      <c r="O26" s="7"/>
      <c r="P26" s="6"/>
      <c r="Q26" s="6"/>
      <c r="V26" s="8"/>
      <c r="W26" s="8"/>
    </row>
    <row r="27" spans="1:23" s="10" customFormat="1" x14ac:dyDescent="0.25">
      <c r="A27" s="107">
        <v>20000</v>
      </c>
      <c r="B27"/>
      <c r="C27" s="29">
        <f>+M27</f>
        <v>145000</v>
      </c>
      <c r="D27" s="29">
        <f>+Q27</f>
        <v>145000</v>
      </c>
      <c r="E27" s="29">
        <f>+D27-C27</f>
        <v>0</v>
      </c>
      <c r="F27" s="55">
        <f>ROUND(+E27/C27,4)</f>
        <v>0</v>
      </c>
      <c r="K27" s="7">
        <f>+$K$18*$A27</f>
        <v>145000</v>
      </c>
      <c r="L27" s="6"/>
      <c r="M27" s="11">
        <f>K27+L27</f>
        <v>145000</v>
      </c>
      <c r="O27" s="7">
        <f>+$O$18*$A27</f>
        <v>145000</v>
      </c>
      <c r="P27" s="6"/>
      <c r="Q27" s="11">
        <f>O27+P27</f>
        <v>145000</v>
      </c>
      <c r="T27" s="11">
        <f>Q27-M27</f>
        <v>0</v>
      </c>
      <c r="V27" s="27">
        <f>Q27/M27-1</f>
        <v>0</v>
      </c>
      <c r="W27" s="27"/>
    </row>
    <row r="28" spans="1:23" x14ac:dyDescent="0.25">
      <c r="A28" s="107"/>
      <c r="C28" s="29"/>
      <c r="D28" s="29"/>
      <c r="E28" s="29"/>
      <c r="K28" s="7"/>
      <c r="L28" s="6"/>
      <c r="M28" s="6"/>
      <c r="O28" s="7"/>
      <c r="P28" s="6"/>
      <c r="Q28" s="6"/>
      <c r="V28" s="8"/>
      <c r="W28" s="8"/>
    </row>
    <row r="29" spans="1:23" x14ac:dyDescent="0.25">
      <c r="A29" s="107">
        <v>30000</v>
      </c>
      <c r="C29" s="29">
        <f>+M29</f>
        <v>217500</v>
      </c>
      <c r="D29" s="29">
        <f>+Q29</f>
        <v>217500</v>
      </c>
      <c r="E29" s="29">
        <f>+D29-C29</f>
        <v>0</v>
      </c>
      <c r="F29" s="55">
        <f>ROUND(+E29/C29,4)</f>
        <v>0</v>
      </c>
      <c r="K29" s="7">
        <f>+$K$18*$A29</f>
        <v>217500</v>
      </c>
      <c r="L29" s="6"/>
      <c r="M29" s="6">
        <f>K29+L29</f>
        <v>217500</v>
      </c>
      <c r="O29" s="7">
        <f>+$O$18*$A29</f>
        <v>217500</v>
      </c>
      <c r="P29" s="6"/>
      <c r="Q29" s="6">
        <f>O29+P29</f>
        <v>217500</v>
      </c>
      <c r="T29" s="6">
        <f>Q29-M29</f>
        <v>0</v>
      </c>
      <c r="V29" s="8">
        <f>Q29/M29-1</f>
        <v>0</v>
      </c>
      <c r="W29" s="8"/>
    </row>
    <row r="30" spans="1:23" x14ac:dyDescent="0.25">
      <c r="A30" s="5"/>
      <c r="C30" s="29"/>
      <c r="D30" s="29"/>
      <c r="E30" s="29"/>
      <c r="K30" s="7"/>
      <c r="L30" s="6"/>
      <c r="M30" s="6"/>
      <c r="O30" s="7"/>
      <c r="P30" s="6"/>
      <c r="Q30" s="6"/>
      <c r="V30" s="8"/>
      <c r="W30" s="8"/>
    </row>
    <row r="31" spans="1:23" x14ac:dyDescent="0.25">
      <c r="A31" s="107">
        <v>40000</v>
      </c>
      <c r="C31" s="29">
        <f>+M31</f>
        <v>290000</v>
      </c>
      <c r="D31" s="29">
        <f>+Q31</f>
        <v>290000</v>
      </c>
      <c r="E31" s="29">
        <f>+D31-C31</f>
        <v>0</v>
      </c>
      <c r="F31" s="55">
        <f>ROUND(+E31/C31,4)</f>
        <v>0</v>
      </c>
      <c r="K31" s="7">
        <f>+$K$18*$A31</f>
        <v>290000</v>
      </c>
      <c r="L31" s="6"/>
      <c r="M31" s="6">
        <f>K31+L31</f>
        <v>290000</v>
      </c>
      <c r="O31" s="7">
        <f>+$O$18*$A31</f>
        <v>290000</v>
      </c>
      <c r="P31" s="6"/>
      <c r="Q31" s="6">
        <f>O31+P31</f>
        <v>290000</v>
      </c>
      <c r="T31" s="6">
        <f>Q31-M31</f>
        <v>0</v>
      </c>
      <c r="V31" s="8">
        <f>Q31/M31-1</f>
        <v>0</v>
      </c>
      <c r="W31" s="8"/>
    </row>
    <row r="32" spans="1:23" x14ac:dyDescent="0.25">
      <c r="A32" s="107"/>
      <c r="C32" s="29"/>
      <c r="D32" s="29"/>
      <c r="E32" s="29"/>
      <c r="K32" s="7"/>
      <c r="L32" s="6"/>
      <c r="M32" s="6"/>
      <c r="O32" s="7"/>
      <c r="P32" s="6"/>
      <c r="Q32" s="6"/>
      <c r="V32" s="8"/>
      <c r="W32" s="8"/>
    </row>
    <row r="33" spans="1:23" x14ac:dyDescent="0.25">
      <c r="A33" s="107">
        <v>50000</v>
      </c>
      <c r="C33" s="29">
        <f>+M33</f>
        <v>362500</v>
      </c>
      <c r="D33" s="29">
        <f>+Q33</f>
        <v>362500</v>
      </c>
      <c r="E33" s="29">
        <f>+D33-C33</f>
        <v>0</v>
      </c>
      <c r="F33" s="55">
        <f>ROUND(+E33/C33,4)</f>
        <v>0</v>
      </c>
      <c r="K33" s="7">
        <f>+$K$18*$A33</f>
        <v>362500</v>
      </c>
      <c r="L33" s="6"/>
      <c r="M33" s="6">
        <f>K33+L33</f>
        <v>362500</v>
      </c>
      <c r="O33" s="7">
        <f>+$O$18*$A33</f>
        <v>362500</v>
      </c>
      <c r="P33" s="6"/>
      <c r="Q33" s="6">
        <f>O33+P33</f>
        <v>362500</v>
      </c>
      <c r="T33" s="6">
        <f>Q33-M33</f>
        <v>0</v>
      </c>
      <c r="V33" s="8">
        <f>Q33/M33-1</f>
        <v>0</v>
      </c>
      <c r="W33" s="8"/>
    </row>
    <row r="34" spans="1:23" x14ac:dyDescent="0.25">
      <c r="A34" s="5"/>
      <c r="C34" s="29"/>
      <c r="D34" s="29"/>
      <c r="E34" s="29"/>
      <c r="K34" s="7"/>
      <c r="L34" s="6"/>
      <c r="M34" s="6"/>
      <c r="O34" s="7"/>
      <c r="P34" s="6"/>
      <c r="Q34" s="6"/>
      <c r="V34" s="8"/>
      <c r="W34" s="8"/>
    </row>
    <row r="35" spans="1:23" x14ac:dyDescent="0.25">
      <c r="A35" s="107">
        <v>100000</v>
      </c>
      <c r="C35" s="29">
        <f>+M35</f>
        <v>725000</v>
      </c>
      <c r="D35" s="29">
        <f>+Q35</f>
        <v>725000</v>
      </c>
      <c r="E35" s="29">
        <f>+D35-C35</f>
        <v>0</v>
      </c>
      <c r="F35" s="55">
        <f>ROUND(+E35/C35,4)</f>
        <v>0</v>
      </c>
      <c r="K35" s="7">
        <f>+$K$18*$A35</f>
        <v>725000</v>
      </c>
      <c r="L35" s="6"/>
      <c r="M35" s="6">
        <f>K35+L35</f>
        <v>725000</v>
      </c>
      <c r="O35" s="7">
        <f>+$O$18*$A35</f>
        <v>725000</v>
      </c>
      <c r="P35" s="6"/>
      <c r="Q35" s="6">
        <f>O35+P35</f>
        <v>725000</v>
      </c>
      <c r="T35" s="6">
        <f>Q35-M35</f>
        <v>0</v>
      </c>
      <c r="V35" s="8">
        <f>Q35/M35-1</f>
        <v>0</v>
      </c>
      <c r="W35" s="8"/>
    </row>
    <row r="36" spans="1:23" x14ac:dyDescent="0.25">
      <c r="A36" s="5"/>
      <c r="C36" s="29"/>
      <c r="D36" s="29"/>
      <c r="E36" s="29"/>
      <c r="K36" s="7"/>
      <c r="L36" s="6"/>
      <c r="M36" s="6"/>
      <c r="O36" s="7"/>
      <c r="P36" s="6"/>
      <c r="Q36" s="6"/>
      <c r="V36" s="8"/>
      <c r="W36" s="8"/>
    </row>
    <row r="37" spans="1:23" x14ac:dyDescent="0.25">
      <c r="A37" s="30" t="s">
        <v>431</v>
      </c>
      <c r="E37" s="29"/>
      <c r="F37" s="55"/>
      <c r="K37" s="7"/>
      <c r="L37" s="6"/>
      <c r="M37" s="6"/>
      <c r="O37" s="7"/>
      <c r="P37" s="6"/>
      <c r="Q37" s="6"/>
      <c r="T37" s="6"/>
      <c r="V37" s="8"/>
      <c r="W37" s="8"/>
    </row>
    <row r="38" spans="1:23" x14ac:dyDescent="0.25">
      <c r="A38" t="s">
        <v>432</v>
      </c>
      <c r="B38" t="s">
        <v>433</v>
      </c>
    </row>
    <row r="39" spans="1:23" x14ac:dyDescent="0.25">
      <c r="B39" t="s">
        <v>434</v>
      </c>
      <c r="K39" s="7"/>
    </row>
    <row r="40" spans="1:23" x14ac:dyDescent="0.25">
      <c r="A40" s="82"/>
      <c r="B40" s="17"/>
      <c r="C40" s="17"/>
      <c r="D40" s="17"/>
    </row>
    <row r="41" spans="1:23" s="17" customFormat="1" x14ac:dyDescent="0.25">
      <c r="A41" s="82"/>
    </row>
    <row r="42" spans="1:23" s="17" customFormat="1" x14ac:dyDescent="0.25"/>
    <row r="44" spans="1:23" ht="12" customHeight="1" x14ac:dyDescent="0.25"/>
  </sheetData>
  <mergeCells count="4">
    <mergeCell ref="A1:H1"/>
    <mergeCell ref="A2:H2"/>
    <mergeCell ref="A3:H3"/>
    <mergeCell ref="A4:H4"/>
  </mergeCells>
  <printOptions horizontalCentered="1"/>
  <pageMargins left="0.75" right="0.75" top="1.5" bottom="0.5" header="1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48"/>
  <sheetViews>
    <sheetView zoomScale="75" zoomScaleNormal="75" workbookViewId="0">
      <selection activeCell="C44" sqref="C44"/>
    </sheetView>
  </sheetViews>
  <sheetFormatPr defaultRowHeight="13.2" x14ac:dyDescent="0.25"/>
  <cols>
    <col min="1" max="1" width="39.109375" customWidth="1"/>
    <col min="2" max="2" width="3.5546875" customWidth="1"/>
    <col min="3" max="3" width="39.109375" customWidth="1"/>
    <col min="10" max="10" width="10.44140625" customWidth="1"/>
    <col min="11" max="11" width="11.44140625" customWidth="1"/>
    <col min="12" max="12" width="15.5546875" customWidth="1"/>
  </cols>
  <sheetData>
    <row r="1" spans="1:12" ht="15.6" x14ac:dyDescent="0.3">
      <c r="A1" s="435" t="s">
        <v>305</v>
      </c>
      <c r="B1" s="435"/>
      <c r="C1" s="435"/>
    </row>
    <row r="2" spans="1:12" ht="15.6" x14ac:dyDescent="0.3">
      <c r="A2" s="435" t="s">
        <v>306</v>
      </c>
      <c r="B2" s="435"/>
      <c r="C2" s="435"/>
    </row>
    <row r="3" spans="1:12" ht="15.6" x14ac:dyDescent="0.3">
      <c r="A3" s="435" t="s">
        <v>371</v>
      </c>
      <c r="B3" s="435"/>
      <c r="C3" s="435"/>
    </row>
    <row r="8" spans="1:12" ht="14.4" x14ac:dyDescent="0.3">
      <c r="A8" s="183" t="s">
        <v>307</v>
      </c>
      <c r="B8" s="181"/>
      <c r="C8" s="181"/>
      <c r="J8">
        <v>1</v>
      </c>
      <c r="K8" s="47" t="s">
        <v>342</v>
      </c>
      <c r="L8" t="str">
        <f t="shared" ref="L8:L16" si="0">("PAGE "&amp;J8&amp;" of "&amp;$J$31)</f>
        <v>PAGE 1 of 21</v>
      </c>
    </row>
    <row r="9" spans="1:12" ht="14.4" x14ac:dyDescent="0.3">
      <c r="A9" s="182" t="s">
        <v>308</v>
      </c>
      <c r="B9" s="181"/>
      <c r="C9" s="184" t="s">
        <v>305</v>
      </c>
      <c r="J9">
        <f>1+J8</f>
        <v>2</v>
      </c>
      <c r="K9" s="47" t="s">
        <v>343</v>
      </c>
      <c r="L9" t="str">
        <f t="shared" si="0"/>
        <v>PAGE 2 of 21</v>
      </c>
    </row>
    <row r="10" spans="1:12" ht="14.4" x14ac:dyDescent="0.3">
      <c r="A10" s="182" t="s">
        <v>309</v>
      </c>
      <c r="B10" s="181"/>
      <c r="C10" s="417" t="s">
        <v>390</v>
      </c>
      <c r="J10">
        <f t="shared" ref="J10:J28" si="1">1+J9</f>
        <v>3</v>
      </c>
      <c r="K10" s="30" t="s">
        <v>344</v>
      </c>
      <c r="L10" t="str">
        <f t="shared" si="0"/>
        <v>PAGE 3 of 21</v>
      </c>
    </row>
    <row r="11" spans="1:12" ht="14.4" x14ac:dyDescent="0.3">
      <c r="A11" s="182" t="s">
        <v>310</v>
      </c>
      <c r="B11" s="181"/>
      <c r="C11" s="184" t="s">
        <v>372</v>
      </c>
      <c r="J11">
        <f t="shared" si="1"/>
        <v>4</v>
      </c>
      <c r="K11" s="30" t="s">
        <v>287</v>
      </c>
      <c r="L11" t="str">
        <f t="shared" si="0"/>
        <v>PAGE 4 of 21</v>
      </c>
    </row>
    <row r="12" spans="1:12" ht="14.4" x14ac:dyDescent="0.3">
      <c r="A12" s="181"/>
      <c r="B12" s="181"/>
      <c r="C12" s="184" t="s">
        <v>373</v>
      </c>
      <c r="J12">
        <f t="shared" si="1"/>
        <v>5</v>
      </c>
      <c r="K12" s="30" t="s">
        <v>345</v>
      </c>
      <c r="L12" t="str">
        <f t="shared" si="0"/>
        <v>PAGE 5 of 21</v>
      </c>
    </row>
    <row r="13" spans="1:12" ht="14.4" x14ac:dyDescent="0.3">
      <c r="A13" s="181"/>
      <c r="B13" s="181"/>
      <c r="C13" s="184" t="s">
        <v>374</v>
      </c>
      <c r="J13">
        <f t="shared" si="1"/>
        <v>6</v>
      </c>
      <c r="K13" s="30" t="s">
        <v>281</v>
      </c>
      <c r="L13" t="str">
        <f t="shared" si="0"/>
        <v>PAGE 6 of 21</v>
      </c>
    </row>
    <row r="14" spans="1:12" ht="14.4" x14ac:dyDescent="0.3">
      <c r="A14" s="181"/>
      <c r="B14" s="181"/>
      <c r="C14" s="184" t="s">
        <v>375</v>
      </c>
      <c r="J14">
        <f t="shared" si="1"/>
        <v>7</v>
      </c>
      <c r="K14" s="30" t="s">
        <v>282</v>
      </c>
      <c r="L14" t="str">
        <f t="shared" si="0"/>
        <v>PAGE 7 of 21</v>
      </c>
    </row>
    <row r="15" spans="1:12" ht="14.4" x14ac:dyDescent="0.3">
      <c r="A15" s="181"/>
      <c r="B15" s="181"/>
      <c r="C15" s="184" t="s">
        <v>376</v>
      </c>
      <c r="J15">
        <f t="shared" si="1"/>
        <v>8</v>
      </c>
      <c r="K15" s="47" t="s">
        <v>283</v>
      </c>
      <c r="L15" t="str">
        <f t="shared" si="0"/>
        <v>PAGE 8 of 21</v>
      </c>
    </row>
    <row r="16" spans="1:12" ht="14.4" x14ac:dyDescent="0.3">
      <c r="A16" s="181"/>
      <c r="B16" s="181"/>
      <c r="C16" s="184" t="s">
        <v>377</v>
      </c>
      <c r="J16">
        <f t="shared" si="1"/>
        <v>9</v>
      </c>
      <c r="K16" s="30" t="s">
        <v>387</v>
      </c>
      <c r="L16" t="str">
        <f t="shared" si="0"/>
        <v>PAGE 9 of 21</v>
      </c>
    </row>
    <row r="17" spans="1:12" ht="14.4" x14ac:dyDescent="0.3">
      <c r="A17" s="182" t="s">
        <v>311</v>
      </c>
      <c r="B17" s="181"/>
      <c r="C17" s="184" t="s">
        <v>378</v>
      </c>
      <c r="J17">
        <f t="shared" si="1"/>
        <v>10</v>
      </c>
      <c r="K17" s="30" t="s">
        <v>117</v>
      </c>
      <c r="L17" t="str">
        <f t="shared" ref="L17:L28" si="2">("PAGE "&amp;J17&amp;" of "&amp;$J$31)</f>
        <v>PAGE 10 of 21</v>
      </c>
    </row>
    <row r="18" spans="1:12" ht="14.4" x14ac:dyDescent="0.3">
      <c r="A18" s="181"/>
      <c r="B18" s="181"/>
      <c r="C18" s="184" t="s">
        <v>379</v>
      </c>
      <c r="J18">
        <f t="shared" si="1"/>
        <v>11</v>
      </c>
      <c r="K18" s="30" t="s">
        <v>118</v>
      </c>
      <c r="L18" t="str">
        <f t="shared" si="2"/>
        <v>PAGE 11 of 21</v>
      </c>
    </row>
    <row r="19" spans="1:12" ht="14.4" x14ac:dyDescent="0.3">
      <c r="A19" s="181"/>
      <c r="B19" s="181"/>
      <c r="C19" s="184" t="s">
        <v>380</v>
      </c>
      <c r="J19">
        <f t="shared" si="1"/>
        <v>12</v>
      </c>
      <c r="K19" s="30" t="s">
        <v>118</v>
      </c>
      <c r="L19" t="str">
        <f t="shared" si="2"/>
        <v>PAGE 12 of 21</v>
      </c>
    </row>
    <row r="20" spans="1:12" ht="14.4" x14ac:dyDescent="0.3">
      <c r="A20" s="181"/>
      <c r="B20" s="181"/>
      <c r="C20" s="184" t="s">
        <v>381</v>
      </c>
      <c r="J20">
        <f t="shared" si="1"/>
        <v>13</v>
      </c>
      <c r="K20" s="30" t="s">
        <v>346</v>
      </c>
      <c r="L20" t="str">
        <f t="shared" si="2"/>
        <v>PAGE 13 of 21</v>
      </c>
    </row>
    <row r="21" spans="1:12" ht="14.4" x14ac:dyDescent="0.3">
      <c r="A21" s="181"/>
      <c r="B21" s="181"/>
      <c r="C21" s="184" t="s">
        <v>382</v>
      </c>
      <c r="J21">
        <f t="shared" si="1"/>
        <v>14</v>
      </c>
      <c r="K21" s="30" t="s">
        <v>346</v>
      </c>
      <c r="L21" t="str">
        <f t="shared" si="2"/>
        <v>PAGE 14 of 21</v>
      </c>
    </row>
    <row r="22" spans="1:12" ht="14.4" x14ac:dyDescent="0.3">
      <c r="A22" s="181"/>
      <c r="B22" s="181"/>
      <c r="C22" s="184" t="s">
        <v>383</v>
      </c>
      <c r="J22">
        <f t="shared" si="1"/>
        <v>15</v>
      </c>
      <c r="K22" s="30" t="s">
        <v>346</v>
      </c>
      <c r="L22" t="str">
        <f t="shared" si="2"/>
        <v>PAGE 15 of 21</v>
      </c>
    </row>
    <row r="23" spans="1:12" x14ac:dyDescent="0.25">
      <c r="J23">
        <f t="shared" si="1"/>
        <v>16</v>
      </c>
      <c r="K23" s="30" t="s">
        <v>346</v>
      </c>
      <c r="L23" t="str">
        <f t="shared" si="2"/>
        <v>PAGE 16 of 21</v>
      </c>
    </row>
    <row r="24" spans="1:12" ht="14.4" x14ac:dyDescent="0.3">
      <c r="A24" s="186" t="s">
        <v>312</v>
      </c>
      <c r="B24" s="181"/>
      <c r="C24" s="180" t="s">
        <v>325</v>
      </c>
      <c r="J24">
        <f t="shared" si="1"/>
        <v>17</v>
      </c>
      <c r="K24" s="30" t="s">
        <v>346</v>
      </c>
      <c r="L24" t="str">
        <f t="shared" si="2"/>
        <v>PAGE 17 of 21</v>
      </c>
    </row>
    <row r="25" spans="1:12" ht="14.4" x14ac:dyDescent="0.3">
      <c r="A25" s="186" t="s">
        <v>313</v>
      </c>
      <c r="B25" s="181"/>
      <c r="C25" s="180" t="s">
        <v>359</v>
      </c>
      <c r="J25">
        <f t="shared" si="1"/>
        <v>18</v>
      </c>
      <c r="K25" s="30" t="s">
        <v>346</v>
      </c>
      <c r="L25" t="str">
        <f t="shared" si="2"/>
        <v>PAGE 18 of 21</v>
      </c>
    </row>
    <row r="26" spans="1:12" ht="14.4" x14ac:dyDescent="0.3">
      <c r="A26" s="301" t="s">
        <v>336</v>
      </c>
      <c r="B26" s="181"/>
      <c r="C26" s="302" t="s">
        <v>360</v>
      </c>
      <c r="J26">
        <f t="shared" si="1"/>
        <v>19</v>
      </c>
      <c r="K26" s="30" t="s">
        <v>347</v>
      </c>
      <c r="L26" t="str">
        <f t="shared" si="2"/>
        <v>PAGE 19 of 21</v>
      </c>
    </row>
    <row r="27" spans="1:12" ht="14.4" x14ac:dyDescent="0.3">
      <c r="A27" s="181"/>
      <c r="B27" s="181"/>
      <c r="C27" s="187"/>
      <c r="J27">
        <f t="shared" si="1"/>
        <v>20</v>
      </c>
      <c r="K27" s="30" t="s">
        <v>348</v>
      </c>
      <c r="L27" t="str">
        <f t="shared" si="2"/>
        <v>PAGE 20 of 21</v>
      </c>
    </row>
    <row r="28" spans="1:12" ht="14.4" x14ac:dyDescent="0.3">
      <c r="A28" s="183" t="s">
        <v>314</v>
      </c>
      <c r="B28" s="181"/>
      <c r="C28" s="185"/>
      <c r="J28">
        <f t="shared" si="1"/>
        <v>21</v>
      </c>
      <c r="K28" s="30" t="s">
        <v>349</v>
      </c>
      <c r="L28" t="str">
        <f t="shared" si="2"/>
        <v>PAGE 21 of 21</v>
      </c>
    </row>
    <row r="29" spans="1:12" ht="14.4" x14ac:dyDescent="0.3">
      <c r="A29" s="182" t="s">
        <v>315</v>
      </c>
      <c r="B29" s="181"/>
      <c r="C29" s="182" t="s">
        <v>316</v>
      </c>
    </row>
    <row r="30" spans="1:12" ht="14.4" x14ac:dyDescent="0.3">
      <c r="A30" s="182" t="s">
        <v>317</v>
      </c>
      <c r="B30" s="181"/>
      <c r="C30" s="182" t="s">
        <v>318</v>
      </c>
    </row>
    <row r="31" spans="1:12" ht="14.4" x14ac:dyDescent="0.3">
      <c r="A31" s="182" t="s">
        <v>319</v>
      </c>
      <c r="B31" s="181"/>
      <c r="C31" s="182" t="s">
        <v>320</v>
      </c>
      <c r="J31">
        <f>COUNT(J8:J29)</f>
        <v>21</v>
      </c>
    </row>
    <row r="33" spans="1:3" ht="14.4" x14ac:dyDescent="0.3">
      <c r="A33" s="181"/>
      <c r="B33" s="181"/>
      <c r="C33" s="187" t="s">
        <v>321</v>
      </c>
    </row>
    <row r="34" spans="1:3" ht="14.4" x14ac:dyDescent="0.3">
      <c r="A34" s="181"/>
      <c r="B34" s="181"/>
      <c r="C34" s="187" t="s">
        <v>322</v>
      </c>
    </row>
    <row r="35" spans="1:3" ht="14.4" x14ac:dyDescent="0.3">
      <c r="A35" s="183" t="s">
        <v>323</v>
      </c>
      <c r="B35" s="181"/>
      <c r="C35" s="181"/>
    </row>
    <row r="36" spans="1:3" ht="14.4" x14ac:dyDescent="0.3">
      <c r="A36" s="182" t="s">
        <v>384</v>
      </c>
      <c r="B36" s="181"/>
      <c r="C36" s="182" t="s">
        <v>385</v>
      </c>
    </row>
    <row r="37" spans="1:3" ht="14.4" x14ac:dyDescent="0.3">
      <c r="A37" s="182"/>
      <c r="B37" s="181"/>
      <c r="C37" s="182" t="s">
        <v>324</v>
      </c>
    </row>
    <row r="38" spans="1:3" ht="14.4" x14ac:dyDescent="0.3">
      <c r="A38" s="181"/>
      <c r="B38" s="181"/>
      <c r="C38" s="182" t="s">
        <v>324</v>
      </c>
    </row>
    <row r="39" spans="1:3" ht="14.4" x14ac:dyDescent="0.3">
      <c r="A39" s="181"/>
      <c r="B39" s="181"/>
      <c r="C39" s="182" t="s">
        <v>324</v>
      </c>
    </row>
    <row r="40" spans="1:3" ht="14.4" x14ac:dyDescent="0.3">
      <c r="A40" s="181"/>
      <c r="B40" s="181"/>
      <c r="C40" s="182" t="s">
        <v>324</v>
      </c>
    </row>
    <row r="41" spans="1:3" ht="14.4" x14ac:dyDescent="0.3">
      <c r="A41" s="181"/>
      <c r="B41" s="181"/>
      <c r="C41" s="182" t="s">
        <v>324</v>
      </c>
    </row>
    <row r="42" spans="1:3" ht="14.4" x14ac:dyDescent="0.3">
      <c r="A42" s="181"/>
      <c r="B42" s="181"/>
      <c r="C42" s="182" t="s">
        <v>324</v>
      </c>
    </row>
    <row r="43" spans="1:3" ht="14.4" x14ac:dyDescent="0.3">
      <c r="A43" s="181"/>
      <c r="B43" s="181"/>
      <c r="C43" s="182" t="s">
        <v>324</v>
      </c>
    </row>
    <row r="44" spans="1:3" ht="14.4" x14ac:dyDescent="0.3">
      <c r="A44" s="181"/>
      <c r="B44" s="181"/>
      <c r="C44" s="182" t="s">
        <v>324</v>
      </c>
    </row>
    <row r="45" spans="1:3" ht="14.4" x14ac:dyDescent="0.3">
      <c r="A45" s="181"/>
      <c r="B45" s="181"/>
      <c r="C45" s="182" t="s">
        <v>324</v>
      </c>
    </row>
    <row r="46" spans="1:3" ht="14.4" x14ac:dyDescent="0.3">
      <c r="A46" s="181"/>
      <c r="B46" s="181"/>
      <c r="C46" s="182" t="s">
        <v>324</v>
      </c>
    </row>
    <row r="47" spans="1:3" ht="14.4" x14ac:dyDescent="0.3">
      <c r="A47" s="181"/>
      <c r="B47" s="181"/>
      <c r="C47" s="182" t="s">
        <v>324</v>
      </c>
    </row>
    <row r="48" spans="1:3" ht="14.4" x14ac:dyDescent="0.3">
      <c r="A48" s="181"/>
      <c r="B48" s="181"/>
      <c r="C48" s="182" t="s">
        <v>324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>
      <selection activeCell="C47" sqref="C47"/>
    </sheetView>
  </sheetViews>
  <sheetFormatPr defaultColWidth="9.109375" defaultRowHeight="13.2" x14ac:dyDescent="0.25"/>
  <cols>
    <col min="1" max="16384" width="9.109375" style="287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C43"/>
  <sheetViews>
    <sheetView view="pageBreakPreview" topLeftCell="A25" zoomScaleNormal="80" zoomScaleSheetLayoutView="100" workbookViewId="0">
      <selection activeCell="I30" sqref="I30"/>
    </sheetView>
  </sheetViews>
  <sheetFormatPr defaultColWidth="9.109375" defaultRowHeight="13.2" x14ac:dyDescent="0.25"/>
  <cols>
    <col min="1" max="1" width="10" style="17" customWidth="1"/>
    <col min="2" max="2" width="3.5546875" style="17" customWidth="1"/>
    <col min="3" max="4" width="10.109375" style="17" bestFit="1" customWidth="1"/>
    <col min="5" max="6" width="9.33203125" style="17" bestFit="1" customWidth="1"/>
    <col min="7" max="7" width="10.6640625" style="17" bestFit="1" customWidth="1"/>
    <col min="8" max="8" width="10" style="17" bestFit="1" customWidth="1"/>
    <col min="9" max="9" width="10" style="17" customWidth="1"/>
    <col min="10" max="11" width="10.5546875" style="17" bestFit="1" customWidth="1"/>
    <col min="12" max="12" width="9.33203125" style="17" bestFit="1" customWidth="1"/>
    <col min="13" max="13" width="10.44140625" style="17" customWidth="1"/>
    <col min="14" max="14" width="10.109375" style="17" customWidth="1"/>
    <col min="15" max="16" width="3.5546875" style="17" customWidth="1"/>
    <col min="17" max="17" width="11.88671875" style="17" customWidth="1"/>
    <col min="18" max="18" width="9.88671875" style="17" customWidth="1"/>
    <col min="19" max="19" width="9.5546875" style="17" customWidth="1"/>
    <col min="20" max="20" width="7.109375" style="17" customWidth="1"/>
    <col min="21" max="21" width="11.5546875" style="17" customWidth="1"/>
    <col min="22" max="22" width="9.5546875" style="17" customWidth="1"/>
    <col min="23" max="23" width="9.109375" style="17"/>
    <col min="24" max="25" width="3" style="17" customWidth="1"/>
    <col min="26" max="26" width="9.109375" style="17"/>
    <col min="27" max="27" width="2.6640625" style="17" customWidth="1"/>
    <col min="28" max="16384" width="9.109375" style="17"/>
  </cols>
  <sheetData>
    <row r="1" spans="1:29" x14ac:dyDescent="0.25">
      <c r="A1" s="438" t="str">
        <f>+'Rate Case Constants'!C9</f>
        <v>LOUISVILLE GAS AND ELECTRIC COMPANY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29" x14ac:dyDescent="0.25">
      <c r="A2" s="438" t="str">
        <f>+'Rate Case Constants'!C10</f>
        <v>CASE NO. 2016-00371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</row>
    <row r="3" spans="1:29" x14ac:dyDescent="0.25">
      <c r="A3" s="440" t="str">
        <f>+'Rate Case Constants'!C24</f>
        <v>Typical Electric Bill Comparison under Present &amp; Proposed Rates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</row>
    <row r="4" spans="1:29" x14ac:dyDescent="0.25">
      <c r="A4" s="438" t="str">
        <f>+'Rate Case Constants'!C21</f>
        <v>FORECAST PERIOD FOR THE 12 MONTHS ENDED JUNE 30, 2018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</row>
    <row r="5" spans="1:29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29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29" x14ac:dyDescent="0.25">
      <c r="A7" s="84" t="str">
        <f>+'Rate Case Constants'!C33</f>
        <v>DATA: ____BASE PERIOD__X___FORECASTED PERIOD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326" t="str">
        <f>+'Rate Case Constants'!C25</f>
        <v>SCHEDULE N (Electric)</v>
      </c>
    </row>
    <row r="8" spans="1:29" x14ac:dyDescent="0.25">
      <c r="A8" s="84" t="str">
        <f>+'Rate Case Constants'!C29</f>
        <v>TYPE OF FILING: __X__ ORIGINAL  _____ UPDATED  _____ REVISED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327" t="str">
        <f>+'Rate Case Constants'!L8</f>
        <v>PAGE 1 of 21</v>
      </c>
    </row>
    <row r="9" spans="1:29" x14ac:dyDescent="0.25">
      <c r="A9" s="84" t="str">
        <f>+'Rate Case Constants'!C34</f>
        <v>WORKPAPER REFERENCE NO(S):________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327" t="str">
        <f>+'Rate Case Constants'!C36</f>
        <v>WITNESS:   C. M. GARRETT</v>
      </c>
    </row>
    <row r="10" spans="1:29" s="336" customFormat="1" x14ac:dyDescent="0.25">
      <c r="A10" s="339"/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Q10" s="337" t="s">
        <v>71</v>
      </c>
      <c r="R10" s="84">
        <f>+INPUT!$G$48</f>
        <v>-3.7361722257962119E-3</v>
      </c>
    </row>
    <row r="11" spans="1:29" x14ac:dyDescent="0.25">
      <c r="A11" s="352" t="s">
        <v>104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89"/>
      <c r="N11" s="89"/>
      <c r="O11" s="89"/>
      <c r="P11" s="89"/>
      <c r="Q11" s="84" t="s">
        <v>73</v>
      </c>
      <c r="R11" s="84">
        <f>+INPUT!$H$48</f>
        <v>3.2945826064991065E-3</v>
      </c>
      <c r="S11" s="89"/>
      <c r="T11" s="89"/>
      <c r="U11" s="114"/>
      <c r="V11" s="89"/>
      <c r="W11" s="89"/>
    </row>
    <row r="12" spans="1:29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4" t="s">
        <v>72</v>
      </c>
      <c r="R12" s="84">
        <f>+INPUT!$I$48</f>
        <v>8.4400491239111988E-3</v>
      </c>
      <c r="S12" s="89"/>
      <c r="T12" s="89"/>
      <c r="U12" s="89"/>
      <c r="V12" s="89"/>
      <c r="W12" s="89"/>
    </row>
    <row r="13" spans="1:29" x14ac:dyDescent="0.25">
      <c r="A13" s="89"/>
      <c r="B13" s="89"/>
      <c r="C13" s="202" t="s">
        <v>326</v>
      </c>
      <c r="D13" s="203" t="s">
        <v>327</v>
      </c>
      <c r="E13" s="203" t="s">
        <v>328</v>
      </c>
      <c r="F13" s="202" t="s">
        <v>329</v>
      </c>
      <c r="G13" s="202" t="s">
        <v>330</v>
      </c>
      <c r="H13" s="202" t="s">
        <v>331</v>
      </c>
      <c r="I13" s="203" t="s">
        <v>332</v>
      </c>
      <c r="J13" s="202" t="s">
        <v>333</v>
      </c>
      <c r="K13" s="202" t="s">
        <v>334</v>
      </c>
      <c r="L13" s="202" t="s">
        <v>335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9" x14ac:dyDescent="0.25">
      <c r="C14" s="313" t="s">
        <v>366</v>
      </c>
      <c r="D14" s="313" t="s">
        <v>366</v>
      </c>
      <c r="E14" s="206"/>
      <c r="F14" s="206"/>
      <c r="G14" s="206"/>
      <c r="H14" s="206"/>
      <c r="I14" s="206"/>
      <c r="J14" s="202" t="s">
        <v>5</v>
      </c>
      <c r="K14" s="202" t="s">
        <v>5</v>
      </c>
      <c r="L14" s="206"/>
      <c r="Q14" s="115" t="s">
        <v>61</v>
      </c>
      <c r="R14" s="115"/>
      <c r="S14" s="115"/>
      <c r="U14" s="115" t="s">
        <v>62</v>
      </c>
      <c r="V14" s="115"/>
      <c r="W14" s="115"/>
    </row>
    <row r="15" spans="1:29" x14ac:dyDescent="0.25">
      <c r="C15" s="202" t="s">
        <v>1</v>
      </c>
      <c r="D15" s="202" t="s">
        <v>74</v>
      </c>
      <c r="E15" s="202"/>
      <c r="F15" s="202"/>
      <c r="G15" s="436" t="s">
        <v>130</v>
      </c>
      <c r="H15" s="436"/>
      <c r="I15" s="437"/>
      <c r="J15" s="202" t="s">
        <v>1</v>
      </c>
      <c r="K15" s="202" t="s">
        <v>74</v>
      </c>
      <c r="L15" s="202"/>
      <c r="M15" s="87" t="s">
        <v>1</v>
      </c>
      <c r="N15" s="87" t="s">
        <v>74</v>
      </c>
      <c r="Q15" s="88" t="s">
        <v>64</v>
      </c>
      <c r="R15" s="87"/>
      <c r="S15" s="88"/>
      <c r="U15" s="88" t="s">
        <v>64</v>
      </c>
      <c r="V15" s="87"/>
      <c r="W15" s="88"/>
    </row>
    <row r="16" spans="1:29" x14ac:dyDescent="0.25">
      <c r="A16" s="87"/>
      <c r="B16" s="87"/>
      <c r="C16" s="202" t="s">
        <v>4</v>
      </c>
      <c r="D16" s="202" t="s">
        <v>4</v>
      </c>
      <c r="E16" s="202" t="s">
        <v>75</v>
      </c>
      <c r="F16" s="202" t="s">
        <v>75</v>
      </c>
      <c r="G16" s="202" t="s">
        <v>421</v>
      </c>
      <c r="H16" s="202" t="s">
        <v>73</v>
      </c>
      <c r="I16" s="202" t="s">
        <v>72</v>
      </c>
      <c r="J16" s="202" t="s">
        <v>4</v>
      </c>
      <c r="K16" s="202" t="s">
        <v>4</v>
      </c>
      <c r="L16" s="202" t="s">
        <v>75</v>
      </c>
      <c r="M16" s="87" t="s">
        <v>4</v>
      </c>
      <c r="N16" s="87" t="s">
        <v>4</v>
      </c>
      <c r="O16" s="87"/>
      <c r="P16" s="87"/>
      <c r="Q16" s="88" t="s">
        <v>63</v>
      </c>
      <c r="R16" s="87" t="s">
        <v>58</v>
      </c>
      <c r="S16" s="88" t="s">
        <v>5</v>
      </c>
      <c r="U16" s="88" t="s">
        <v>63</v>
      </c>
      <c r="V16" s="87" t="s">
        <v>58</v>
      </c>
      <c r="W16" s="88" t="s">
        <v>5</v>
      </c>
      <c r="Y16" s="84"/>
      <c r="Z16" s="87" t="s">
        <v>6</v>
      </c>
      <c r="AA16" s="87"/>
      <c r="AB16" s="87" t="s">
        <v>8</v>
      </c>
      <c r="AC16" s="87"/>
    </row>
    <row r="17" spans="1:29" x14ac:dyDescent="0.25">
      <c r="A17" s="87" t="s">
        <v>50</v>
      </c>
      <c r="B17" s="87"/>
      <c r="C17" s="202"/>
      <c r="D17" s="202"/>
      <c r="E17" s="202" t="s">
        <v>69</v>
      </c>
      <c r="F17" s="203" t="s">
        <v>70</v>
      </c>
      <c r="G17" s="204"/>
      <c r="H17" s="204"/>
      <c r="I17" s="205"/>
      <c r="J17" s="202" t="s">
        <v>69</v>
      </c>
      <c r="K17" s="202" t="s">
        <v>69</v>
      </c>
      <c r="L17" s="203" t="s">
        <v>70</v>
      </c>
      <c r="M17" s="87" t="s">
        <v>352</v>
      </c>
      <c r="N17" s="87" t="s">
        <v>352</v>
      </c>
      <c r="O17" s="87"/>
      <c r="P17" s="87"/>
      <c r="Q17" s="109" t="s">
        <v>3</v>
      </c>
      <c r="R17" s="110" t="s">
        <v>3</v>
      </c>
      <c r="S17" s="109" t="s">
        <v>4</v>
      </c>
      <c r="U17" s="109" t="s">
        <v>3</v>
      </c>
      <c r="V17" s="110" t="s">
        <v>3</v>
      </c>
      <c r="W17" s="109" t="s">
        <v>4</v>
      </c>
      <c r="Y17" s="84"/>
      <c r="Z17" s="87" t="s">
        <v>7</v>
      </c>
      <c r="AA17" s="87"/>
      <c r="AB17" s="87" t="s">
        <v>7</v>
      </c>
      <c r="AC17" s="87"/>
    </row>
    <row r="18" spans="1:29" x14ac:dyDescent="0.25">
      <c r="A18" s="110"/>
      <c r="B18" s="110"/>
      <c r="C18" s="325"/>
      <c r="D18" s="325"/>
      <c r="E18" s="325" t="str">
        <f>("[ "&amp;D13&amp;" - "&amp;C13&amp;" ]")</f>
        <v>[ B - A ]</v>
      </c>
      <c r="F18" s="325" t="str">
        <f>("[ "&amp;E13&amp;" / "&amp;C13&amp;" ]")</f>
        <v>[ C / A ]</v>
      </c>
      <c r="G18" s="353"/>
      <c r="H18" s="353"/>
      <c r="I18" s="353"/>
      <c r="J18" s="325" t="str">
        <f>("["&amp;C13&amp;"+"&amp;$G$13&amp;"+"&amp;$H$13&amp;"+"&amp;$I$13&amp;"]")</f>
        <v>[A+E+F+G]</v>
      </c>
      <c r="K18" s="325" t="str">
        <f>("["&amp;D13&amp;"+"&amp;$G$13&amp;"+"&amp;$H$13&amp;"+"&amp;$I$13&amp;"]")</f>
        <v>[B+E+F+G]</v>
      </c>
      <c r="L18" s="325" t="str">
        <f>("[("&amp;K13&amp;" - "&amp;J13&amp;")/"&amp;J13&amp;"]")</f>
        <v>[(I - H)/H]</v>
      </c>
      <c r="M18" s="87"/>
      <c r="N18" s="87"/>
      <c r="O18" s="87"/>
      <c r="P18" s="202"/>
      <c r="Q18" s="88"/>
      <c r="R18" s="116">
        <f>+INPUT!$B$6</f>
        <v>8.6389999999999995E-2</v>
      </c>
      <c r="S18" s="88"/>
      <c r="U18" s="88"/>
      <c r="V18" s="116">
        <f>INPUT!$B$27</f>
        <v>8.4710000000000008E-2</v>
      </c>
      <c r="W18" s="88"/>
      <c r="Y18" s="84"/>
      <c r="Z18" s="87"/>
      <c r="AA18" s="87"/>
      <c r="AB18" s="87"/>
      <c r="AC18" s="87"/>
    </row>
    <row r="19" spans="1:29" x14ac:dyDescent="0.25">
      <c r="A19" s="87"/>
      <c r="B19" s="87"/>
      <c r="C19" s="3"/>
      <c r="D19" s="3"/>
      <c r="E19" s="202"/>
      <c r="F19" s="202"/>
      <c r="G19" s="3"/>
      <c r="H19" s="3"/>
      <c r="I19" s="3"/>
      <c r="J19" s="202"/>
      <c r="K19" s="3"/>
      <c r="L19" s="202"/>
      <c r="M19" s="87"/>
      <c r="N19" s="87"/>
      <c r="O19" s="87"/>
      <c r="P19" s="87"/>
      <c r="Q19" s="88"/>
      <c r="R19" s="87" t="s">
        <v>14</v>
      </c>
      <c r="S19" s="88"/>
      <c r="U19" s="88"/>
      <c r="V19" s="87" t="s">
        <v>14</v>
      </c>
      <c r="W19" s="88"/>
      <c r="Y19" s="84"/>
      <c r="Z19" s="87"/>
      <c r="AA19" s="87"/>
      <c r="AB19" s="87"/>
      <c r="AC19" s="87"/>
    </row>
    <row r="20" spans="1:29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R20" s="87"/>
      <c r="S20" s="87"/>
      <c r="V20" s="87"/>
      <c r="W20" s="87"/>
    </row>
    <row r="21" spans="1:29" x14ac:dyDescent="0.25">
      <c r="A21" s="83">
        <v>500</v>
      </c>
      <c r="C21" s="90">
        <f>+S21</f>
        <v>53.945</v>
      </c>
      <c r="D21" s="90">
        <f>+W21</f>
        <v>64.355000000000004</v>
      </c>
      <c r="E21" s="90">
        <f>+D21-C21</f>
        <v>10.410000000000004</v>
      </c>
      <c r="F21" s="91">
        <f>ROUND(+E21/C21,4)</f>
        <v>0.193</v>
      </c>
      <c r="G21" s="90">
        <f>ROUND($R$10*$A21,2)</f>
        <v>-1.87</v>
      </c>
      <c r="H21" s="90">
        <f>ROUND($R$11*$A21,2)</f>
        <v>1.65</v>
      </c>
      <c r="I21" s="90">
        <f>ROUND($R$12*$A21,2)</f>
        <v>4.22</v>
      </c>
      <c r="J21" s="90">
        <f>+C21+G21+H21+I21</f>
        <v>57.945</v>
      </c>
      <c r="K21" s="90">
        <f>+D21+G21+H21+I21</f>
        <v>68.355000000000004</v>
      </c>
      <c r="L21" s="91">
        <f>ROUND((K21-J21)/J21,4)</f>
        <v>0.1797</v>
      </c>
      <c r="N21" s="117"/>
      <c r="Q21" s="41">
        <f>+INPUT!$B$4</f>
        <v>10.75</v>
      </c>
      <c r="R21" s="85">
        <f>A21*$R$18</f>
        <v>43.195</v>
      </c>
      <c r="S21" s="85">
        <f>Q21+R21</f>
        <v>53.945</v>
      </c>
      <c r="U21" s="41">
        <f>INPUT!$B$25</f>
        <v>22</v>
      </c>
      <c r="V21" s="85">
        <f>A21*$V$18</f>
        <v>42.355000000000004</v>
      </c>
      <c r="W21" s="85">
        <f>U21+V21</f>
        <v>64.355000000000004</v>
      </c>
      <c r="Z21" s="85">
        <f>W21-S21</f>
        <v>10.410000000000004</v>
      </c>
      <c r="AB21" s="117">
        <f>W21/S21-1</f>
        <v>0.19297432570210415</v>
      </c>
      <c r="AC21" s="117"/>
    </row>
    <row r="22" spans="1:29" x14ac:dyDescent="0.25">
      <c r="A22" s="83"/>
      <c r="Q22" s="41"/>
      <c r="R22" s="85"/>
      <c r="S22" s="85"/>
      <c r="U22" s="41"/>
      <c r="V22" s="85"/>
      <c r="W22" s="85"/>
      <c r="AB22" s="117"/>
      <c r="AC22" s="117"/>
    </row>
    <row r="23" spans="1:29" x14ac:dyDescent="0.25">
      <c r="A23" s="83">
        <v>750</v>
      </c>
      <c r="C23" s="90">
        <f>+S23</f>
        <v>75.54249999999999</v>
      </c>
      <c r="D23" s="90">
        <f>+W23</f>
        <v>85.532499999999999</v>
      </c>
      <c r="E23" s="90">
        <f>+D23-C23</f>
        <v>9.9900000000000091</v>
      </c>
      <c r="F23" s="91">
        <f>ROUND(+E23/C23,4)</f>
        <v>0.13220000000000001</v>
      </c>
      <c r="G23" s="90">
        <f>ROUND($R$10*$A23,2)</f>
        <v>-2.8</v>
      </c>
      <c r="H23" s="90">
        <f>ROUND($R$11*$A23,2)</f>
        <v>2.4700000000000002</v>
      </c>
      <c r="I23" s="90">
        <f>ROUND($R$12*$A23,2)</f>
        <v>6.33</v>
      </c>
      <c r="J23" s="90">
        <f>+C23+G23+H23+I23</f>
        <v>81.54249999999999</v>
      </c>
      <c r="K23" s="90">
        <f>+D23+G23+H23+I23</f>
        <v>91.532499999999999</v>
      </c>
      <c r="L23" s="91">
        <f>ROUND((K23-J23)/J23,4)</f>
        <v>0.1225</v>
      </c>
      <c r="Q23" s="41">
        <f>$Q$21</f>
        <v>10.75</v>
      </c>
      <c r="R23" s="85">
        <f>A23*$R$18</f>
        <v>64.79249999999999</v>
      </c>
      <c r="S23" s="85">
        <f>Q23+R23</f>
        <v>75.54249999999999</v>
      </c>
      <c r="U23" s="41">
        <f>INPUT!$B$25</f>
        <v>22</v>
      </c>
      <c r="V23" s="85">
        <f>A23*$V$18</f>
        <v>63.532500000000006</v>
      </c>
      <c r="W23" s="85">
        <f>U23+V23</f>
        <v>85.532499999999999</v>
      </c>
      <c r="Z23" s="85">
        <f>W23-S23</f>
        <v>9.9900000000000091</v>
      </c>
      <c r="AB23" s="117">
        <f>W23/S23-1</f>
        <v>0.1322434391236722</v>
      </c>
      <c r="AC23" s="117"/>
    </row>
    <row r="24" spans="1:29" x14ac:dyDescent="0.25">
      <c r="A24" s="83"/>
      <c r="C24" s="90"/>
      <c r="D24" s="90"/>
      <c r="E24" s="90"/>
      <c r="F24" s="91"/>
      <c r="G24" s="90"/>
      <c r="H24" s="90"/>
      <c r="I24" s="90"/>
      <c r="J24" s="90"/>
      <c r="K24" s="90"/>
      <c r="L24" s="91"/>
      <c r="Q24" s="118"/>
      <c r="R24" s="85"/>
      <c r="S24" s="85"/>
      <c r="U24" s="41"/>
      <c r="V24" s="85"/>
      <c r="W24" s="85"/>
      <c r="AB24" s="119"/>
      <c r="AC24" s="119"/>
    </row>
    <row r="25" spans="1:29" s="120" customFormat="1" x14ac:dyDescent="0.25">
      <c r="A25" s="357">
        <v>957</v>
      </c>
      <c r="B25" s="122"/>
      <c r="C25" s="123">
        <f>+S25</f>
        <v>93.425229999999999</v>
      </c>
      <c r="D25" s="123">
        <f>+W25</f>
        <v>103.06747</v>
      </c>
      <c r="E25" s="123">
        <f>+D25-C25</f>
        <v>9.642240000000001</v>
      </c>
      <c r="F25" s="124">
        <f>ROUND(+E25/C25,4)</f>
        <v>0.1032</v>
      </c>
      <c r="G25" s="123">
        <f>ROUND($R$10*$A25,2)</f>
        <v>-3.58</v>
      </c>
      <c r="H25" s="123">
        <f>ROUND($R$11*$A25,2)</f>
        <v>3.15</v>
      </c>
      <c r="I25" s="123">
        <f>ROUND($R$12*$A25,2)</f>
        <v>8.08</v>
      </c>
      <c r="J25" s="123">
        <f>+C25+G25+H25+I25</f>
        <v>101.07523</v>
      </c>
      <c r="K25" s="123">
        <f>+D25+G25+H25+I25</f>
        <v>110.71747000000001</v>
      </c>
      <c r="L25" s="297">
        <f>ROUND((K25-J25)/J25,4)</f>
        <v>9.5399999999999999E-2</v>
      </c>
      <c r="M25" s="289">
        <f>+J25/A25</f>
        <v>0.10561675026123303</v>
      </c>
      <c r="N25" s="289">
        <f>+K25/A25</f>
        <v>0.11569223615464995</v>
      </c>
      <c r="Q25" s="118">
        <f>$Q$21</f>
        <v>10.75</v>
      </c>
      <c r="R25" s="85">
        <f>A25*$R$18</f>
        <v>82.675229999999999</v>
      </c>
      <c r="S25" s="121">
        <f>Q25+R25</f>
        <v>93.425229999999999</v>
      </c>
      <c r="U25" s="118">
        <f>INPUT!$B$25</f>
        <v>22</v>
      </c>
      <c r="V25" s="85">
        <f>A25*$V$18</f>
        <v>81.06747</v>
      </c>
      <c r="W25" s="121">
        <f>U25+V25</f>
        <v>103.06747</v>
      </c>
      <c r="Z25" s="121">
        <f>W25-S25</f>
        <v>9.642240000000001</v>
      </c>
      <c r="AB25" s="119">
        <f>W25/S25-1</f>
        <v>0.10320809485831606</v>
      </c>
      <c r="AC25" s="119"/>
    </row>
    <row r="26" spans="1:29" x14ac:dyDescent="0.25">
      <c r="A26" s="83"/>
      <c r="K26" s="90"/>
      <c r="Q26" s="41"/>
      <c r="R26" s="85"/>
      <c r="S26" s="85"/>
      <c r="U26" s="41"/>
      <c r="V26" s="85"/>
      <c r="W26" s="85"/>
      <c r="AB26" s="117"/>
      <c r="AC26" s="117"/>
    </row>
    <row r="27" spans="1:29" x14ac:dyDescent="0.25">
      <c r="A27" s="83">
        <v>1200</v>
      </c>
      <c r="C27" s="90">
        <f>+S27</f>
        <v>114.41799999999999</v>
      </c>
      <c r="D27" s="90">
        <f>+W27</f>
        <v>123.65200000000002</v>
      </c>
      <c r="E27" s="90">
        <f>+D27-C27</f>
        <v>9.2340000000000231</v>
      </c>
      <c r="F27" s="91">
        <f>ROUND(+E27/C27,4)</f>
        <v>8.0699999999999994E-2</v>
      </c>
      <c r="G27" s="90">
        <f>ROUND($R$10*$A27,2)</f>
        <v>-4.4800000000000004</v>
      </c>
      <c r="H27" s="90">
        <f>ROUND($R$11*$A27,2)</f>
        <v>3.95</v>
      </c>
      <c r="I27" s="90">
        <f>ROUND($R$12*$A27,2)</f>
        <v>10.130000000000001</v>
      </c>
      <c r="J27" s="90">
        <f>+C27+G27+H27+I27</f>
        <v>124.01799999999999</v>
      </c>
      <c r="K27" s="90">
        <f>+D27+G27+H27+I27</f>
        <v>133.25200000000001</v>
      </c>
      <c r="L27" s="91">
        <f>ROUND((K27-J27)/J27,4)</f>
        <v>7.4499999999999997E-2</v>
      </c>
      <c r="M27" s="120"/>
      <c r="N27" s="120"/>
      <c r="O27" s="120"/>
      <c r="P27" s="120"/>
      <c r="Q27" s="118">
        <f>$Q$21</f>
        <v>10.75</v>
      </c>
      <c r="R27" s="85">
        <f>A27*$R$18</f>
        <v>103.66799999999999</v>
      </c>
      <c r="S27" s="121">
        <f>Q27+R27</f>
        <v>114.41799999999999</v>
      </c>
      <c r="T27" s="120"/>
      <c r="U27" s="118">
        <f>INPUT!$B$25</f>
        <v>22</v>
      </c>
      <c r="V27" s="85">
        <f>A27*$V$18</f>
        <v>101.65200000000002</v>
      </c>
      <c r="W27" s="121">
        <f>U27+V27</f>
        <v>123.65200000000002</v>
      </c>
      <c r="X27" s="120"/>
      <c r="Y27" s="120"/>
      <c r="Z27" s="121">
        <f>W27-S27</f>
        <v>9.2340000000000231</v>
      </c>
      <c r="AA27" s="120"/>
      <c r="AB27" s="119">
        <f>W27/S27-1</f>
        <v>8.0704085021587657E-2</v>
      </c>
      <c r="AC27" s="117"/>
    </row>
    <row r="28" spans="1:29" x14ac:dyDescent="0.25">
      <c r="A28" s="83"/>
      <c r="Q28" s="41"/>
      <c r="R28" s="85"/>
      <c r="S28" s="85"/>
      <c r="U28" s="41"/>
      <c r="V28" s="85"/>
      <c r="W28" s="85"/>
      <c r="AB28" s="117"/>
      <c r="AC28" s="117"/>
    </row>
    <row r="29" spans="1:29" x14ac:dyDescent="0.25">
      <c r="A29" s="83">
        <v>1500</v>
      </c>
      <c r="C29" s="90">
        <f>+S29</f>
        <v>140.33499999999998</v>
      </c>
      <c r="D29" s="90">
        <f>+W29</f>
        <v>149.065</v>
      </c>
      <c r="E29" s="90">
        <f>+D29-C29</f>
        <v>8.7300000000000182</v>
      </c>
      <c r="F29" s="91">
        <f>ROUND(+E29/C29,4)</f>
        <v>6.2199999999999998E-2</v>
      </c>
      <c r="G29" s="90">
        <f>ROUND($R$10*$A29,2)</f>
        <v>-5.6</v>
      </c>
      <c r="H29" s="90">
        <f>ROUND($R$11*$A29,2)</f>
        <v>4.9400000000000004</v>
      </c>
      <c r="I29" s="90">
        <f>ROUND($R$12*$A29,2)</f>
        <v>12.66</v>
      </c>
      <c r="J29" s="90">
        <f>+C29+G29+H29+I29</f>
        <v>152.33499999999998</v>
      </c>
      <c r="K29" s="90">
        <f>+D29+G29+H29+I29</f>
        <v>161.065</v>
      </c>
      <c r="L29" s="91">
        <f>ROUND((K29-J29)/J29,4)</f>
        <v>5.7299999999999997E-2</v>
      </c>
      <c r="Q29" s="41">
        <f>$Q$21</f>
        <v>10.75</v>
      </c>
      <c r="R29" s="85">
        <f>A29*$R$18</f>
        <v>129.58499999999998</v>
      </c>
      <c r="S29" s="85">
        <f>Q29+R29</f>
        <v>140.33499999999998</v>
      </c>
      <c r="U29" s="41">
        <f>INPUT!$B$25</f>
        <v>22</v>
      </c>
      <c r="V29" s="85">
        <f>A29*$V$18</f>
        <v>127.06500000000001</v>
      </c>
      <c r="W29" s="85">
        <f>U29+V29</f>
        <v>149.065</v>
      </c>
      <c r="Z29" s="85">
        <f>W29-S29</f>
        <v>8.7300000000000182</v>
      </c>
      <c r="AB29" s="117">
        <f>W29/S29-1</f>
        <v>6.2208287312502275E-2</v>
      </c>
      <c r="AC29" s="117"/>
    </row>
    <row r="30" spans="1:29" x14ac:dyDescent="0.25">
      <c r="Q30" s="41"/>
      <c r="R30" s="85"/>
      <c r="S30" s="85"/>
      <c r="U30" s="41"/>
      <c r="V30" s="85"/>
      <c r="W30" s="85"/>
      <c r="AB30" s="117"/>
      <c r="AC30" s="117"/>
    </row>
    <row r="31" spans="1:29" x14ac:dyDescent="0.25">
      <c r="A31" s="83">
        <v>2000</v>
      </c>
      <c r="C31" s="90">
        <f>+S31</f>
        <v>183.53</v>
      </c>
      <c r="D31" s="90">
        <f>+W31</f>
        <v>191.42000000000002</v>
      </c>
      <c r="E31" s="90">
        <f>+D31-C31</f>
        <v>7.8900000000000148</v>
      </c>
      <c r="F31" s="91">
        <f>ROUND(+E31/C31,4)</f>
        <v>4.2999999999999997E-2</v>
      </c>
      <c r="G31" s="90">
        <f>ROUND($R$10*$A31,2)</f>
        <v>-7.47</v>
      </c>
      <c r="H31" s="90">
        <f>ROUND($R$11*$A31,2)</f>
        <v>6.59</v>
      </c>
      <c r="I31" s="90">
        <f>ROUND($R$12*$A31,2)</f>
        <v>16.88</v>
      </c>
      <c r="J31" s="90">
        <f>+C31+G31+H31+I31</f>
        <v>199.53</v>
      </c>
      <c r="K31" s="90">
        <f>+D31+G31+H31+I31</f>
        <v>207.42000000000002</v>
      </c>
      <c r="L31" s="91">
        <f>ROUND((K31-J31)/J31,4)</f>
        <v>3.95E-2</v>
      </c>
      <c r="Q31" s="41">
        <f>$Q$21</f>
        <v>10.75</v>
      </c>
      <c r="R31" s="85">
        <f>A31*$R$18</f>
        <v>172.78</v>
      </c>
      <c r="S31" s="85">
        <f>Q31+R31</f>
        <v>183.53</v>
      </c>
      <c r="U31" s="41">
        <f>INPUT!$B$25</f>
        <v>22</v>
      </c>
      <c r="V31" s="85">
        <f>A31*$V$18</f>
        <v>169.42000000000002</v>
      </c>
      <c r="W31" s="85">
        <f>U31+V31</f>
        <v>191.42000000000002</v>
      </c>
      <c r="Z31" s="85">
        <f>W31-S31</f>
        <v>7.8900000000000148</v>
      </c>
      <c r="AB31" s="117">
        <f>W31/S31-1</f>
        <v>4.2990246826132061E-2</v>
      </c>
      <c r="AC31" s="117"/>
    </row>
    <row r="32" spans="1:29" x14ac:dyDescent="0.25">
      <c r="A32" s="83"/>
      <c r="Q32" s="41"/>
      <c r="R32" s="85"/>
      <c r="S32" s="85"/>
      <c r="U32" s="41"/>
      <c r="V32" s="85"/>
      <c r="W32" s="85"/>
      <c r="AB32" s="117"/>
      <c r="AC32" s="117"/>
    </row>
    <row r="33" spans="1:29" x14ac:dyDescent="0.25">
      <c r="A33" s="83">
        <v>2500</v>
      </c>
      <c r="C33" s="90">
        <f>+S33</f>
        <v>226.72499999999999</v>
      </c>
      <c r="D33" s="90">
        <f>+W33</f>
        <v>233.77500000000001</v>
      </c>
      <c r="E33" s="90">
        <f>+D33-C33</f>
        <v>7.0500000000000114</v>
      </c>
      <c r="F33" s="91">
        <f>ROUND(+E33/C33,4)</f>
        <v>3.1099999999999999E-2</v>
      </c>
      <c r="G33" s="90">
        <f>ROUND($R$10*$A33,2)</f>
        <v>-9.34</v>
      </c>
      <c r="H33" s="90">
        <f>ROUND($R$11*$A33,2)</f>
        <v>8.24</v>
      </c>
      <c r="I33" s="90">
        <f>ROUND($R$12*$A33,2)</f>
        <v>21.1</v>
      </c>
      <c r="J33" s="90">
        <f>+C33+G33+H33+I33</f>
        <v>246.72499999999999</v>
      </c>
      <c r="K33" s="90">
        <f>+D33+G33+H33+I33</f>
        <v>253.77500000000001</v>
      </c>
      <c r="L33" s="91">
        <f>ROUND((K33-J33)/J33,4)</f>
        <v>2.86E-2</v>
      </c>
      <c r="Q33" s="41">
        <f>$Q$21</f>
        <v>10.75</v>
      </c>
      <c r="R33" s="85">
        <f>A33*$R$18</f>
        <v>215.97499999999999</v>
      </c>
      <c r="S33" s="85">
        <f>Q33+R33</f>
        <v>226.72499999999999</v>
      </c>
      <c r="U33" s="41">
        <f>INPUT!$B$25</f>
        <v>22</v>
      </c>
      <c r="V33" s="85">
        <f>A33*$V$18</f>
        <v>211.77500000000001</v>
      </c>
      <c r="W33" s="85">
        <f>U33+V33</f>
        <v>233.77500000000001</v>
      </c>
      <c r="Z33" s="85">
        <f>W33-S33</f>
        <v>7.0500000000000114</v>
      </c>
      <c r="AB33" s="117">
        <f>W33/S33-1</f>
        <v>3.1094938802514127E-2</v>
      </c>
      <c r="AC33" s="117"/>
    </row>
    <row r="34" spans="1:29" x14ac:dyDescent="0.25">
      <c r="Q34" s="41"/>
      <c r="R34" s="85"/>
      <c r="S34" s="85"/>
      <c r="U34" s="41"/>
      <c r="V34" s="85"/>
      <c r="W34" s="85"/>
      <c r="AB34" s="117"/>
      <c r="AC34" s="117"/>
    </row>
    <row r="35" spans="1:29" x14ac:dyDescent="0.25">
      <c r="A35" s="83">
        <v>3000</v>
      </c>
      <c r="C35" s="90">
        <f>+S35</f>
        <v>269.91999999999996</v>
      </c>
      <c r="D35" s="90">
        <f>+W35</f>
        <v>276.13</v>
      </c>
      <c r="E35" s="90">
        <f>+D35-C35</f>
        <v>6.2100000000000364</v>
      </c>
      <c r="F35" s="91">
        <f>ROUND(+E35/C35,4)</f>
        <v>2.3E-2</v>
      </c>
      <c r="G35" s="90">
        <f>ROUND($R$10*$A35,2)</f>
        <v>-11.21</v>
      </c>
      <c r="H35" s="90">
        <f>ROUND($R$11*$A35,2)</f>
        <v>9.8800000000000008</v>
      </c>
      <c r="I35" s="90">
        <f>ROUND($R$12*$A35,2)</f>
        <v>25.32</v>
      </c>
      <c r="J35" s="90">
        <f>+C35+G35+H35+I35</f>
        <v>293.90999999999997</v>
      </c>
      <c r="K35" s="90">
        <f>+D35+G35+H35+I35</f>
        <v>300.12</v>
      </c>
      <c r="L35" s="91">
        <f>ROUND((K35-J35)/J35,4)</f>
        <v>2.1100000000000001E-2</v>
      </c>
      <c r="Q35" s="41">
        <f>$Q$21</f>
        <v>10.75</v>
      </c>
      <c r="R35" s="85">
        <f>A35*$R$18</f>
        <v>259.16999999999996</v>
      </c>
      <c r="S35" s="85">
        <f>Q35+R35</f>
        <v>269.91999999999996</v>
      </c>
      <c r="U35" s="41">
        <f>INPUT!$B$25</f>
        <v>22</v>
      </c>
      <c r="V35" s="85">
        <f>A35*$V$18</f>
        <v>254.13000000000002</v>
      </c>
      <c r="W35" s="85">
        <f>U35+V35</f>
        <v>276.13</v>
      </c>
      <c r="Z35" s="85">
        <f>W35-S35</f>
        <v>6.2100000000000364</v>
      </c>
      <c r="AB35" s="117">
        <f>W35/S35-1</f>
        <v>2.3006816834617805E-2</v>
      </c>
      <c r="AC35" s="117"/>
    </row>
    <row r="36" spans="1:29" x14ac:dyDescent="0.25">
      <c r="A36" s="83"/>
      <c r="C36" s="90"/>
      <c r="D36" s="90"/>
      <c r="E36" s="90"/>
      <c r="F36" s="91"/>
      <c r="G36" s="90"/>
      <c r="H36" s="90"/>
      <c r="I36" s="90"/>
      <c r="J36" s="90"/>
      <c r="K36" s="90"/>
      <c r="L36" s="91"/>
      <c r="Q36" s="41"/>
      <c r="R36" s="85"/>
      <c r="S36" s="85"/>
      <c r="U36" s="41"/>
      <c r="V36" s="85"/>
      <c r="W36" s="85"/>
      <c r="Z36" s="85"/>
      <c r="AB36" s="117"/>
      <c r="AC36" s="117"/>
    </row>
    <row r="37" spans="1:29" x14ac:dyDescent="0.25">
      <c r="A37" s="17" t="s">
        <v>336</v>
      </c>
      <c r="Q37" s="41"/>
      <c r="R37" s="85"/>
      <c r="S37" s="85"/>
      <c r="U37" s="41"/>
      <c r="V37" s="85"/>
      <c r="W37" s="85"/>
      <c r="AB37" s="117"/>
      <c r="AC37" s="117"/>
    </row>
    <row r="38" spans="1:29" x14ac:dyDescent="0.25">
      <c r="A38" s="208" t="str">
        <f>("Average usage = "&amp;INPUT!B19&amp;" kWh per month")</f>
        <v>Average usage = 957 kWh per month</v>
      </c>
      <c r="Q38" s="41"/>
    </row>
    <row r="39" spans="1:29" x14ac:dyDescent="0.25">
      <c r="A39" s="210" t="s">
        <v>337</v>
      </c>
    </row>
    <row r="40" spans="1:29" x14ac:dyDescent="0.25">
      <c r="A40" s="210" t="str">
        <f>+'Rate Case Constants'!C26</f>
        <v>Calculations may vary from other schedules due to rounding</v>
      </c>
    </row>
    <row r="43" spans="1:29" ht="12" customHeight="1" x14ac:dyDescent="0.25"/>
  </sheetData>
  <mergeCells count="5">
    <mergeCell ref="G15:I15"/>
    <mergeCell ref="A1:L1"/>
    <mergeCell ref="A2:L2"/>
    <mergeCell ref="A3:L3"/>
    <mergeCell ref="A4:L4"/>
  </mergeCells>
  <phoneticPr fontId="5" type="noConversion"/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I45"/>
  <sheetViews>
    <sheetView view="pageBreakPreview" topLeftCell="A22" zoomScaleNormal="90" zoomScaleSheetLayoutView="100" workbookViewId="0">
      <selection sqref="A1:L1"/>
    </sheetView>
  </sheetViews>
  <sheetFormatPr defaultRowHeight="13.2" x14ac:dyDescent="0.25"/>
  <cols>
    <col min="1" max="1" width="10" customWidth="1"/>
    <col min="2" max="2" width="3.5546875" customWidth="1"/>
    <col min="3" max="3" width="10.33203125" bestFit="1" customWidth="1"/>
    <col min="4" max="4" width="10.109375" bestFit="1" customWidth="1"/>
    <col min="5" max="6" width="9.33203125" bestFit="1" customWidth="1"/>
    <col min="7" max="7" width="10.6640625" bestFit="1" customWidth="1"/>
    <col min="8" max="8" width="10" bestFit="1" customWidth="1"/>
    <col min="9" max="9" width="10" customWidth="1"/>
    <col min="10" max="11" width="10.5546875" bestFit="1" customWidth="1"/>
    <col min="12" max="12" width="9.33203125" bestFit="1" customWidth="1"/>
    <col min="13" max="13" width="8.5546875" customWidth="1"/>
    <col min="14" max="16" width="3.5546875" customWidth="1"/>
    <col min="17" max="18" width="11.88671875" customWidth="1"/>
    <col min="19" max="19" width="9.88671875" customWidth="1"/>
    <col min="20" max="21" width="9.5546875" customWidth="1"/>
    <col min="22" max="22" width="7.109375" customWidth="1"/>
    <col min="23" max="23" width="11.5546875" customWidth="1"/>
    <col min="24" max="26" width="9.5546875" customWidth="1"/>
    <col min="30" max="31" width="3" customWidth="1"/>
    <col min="33" max="33" width="2.6640625" customWidth="1"/>
  </cols>
  <sheetData>
    <row r="1" spans="1:35" x14ac:dyDescent="0.25">
      <c r="A1" s="438" t="str">
        <f>+'Rate Case Constants'!C9</f>
        <v>LOUISVILLE GAS AND ELECTRIC COMPANY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35" x14ac:dyDescent="0.25">
      <c r="A2" s="438" t="str">
        <f>'Rate Case Constants'!C10</f>
        <v>CASE NO. 2016-00371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</row>
    <row r="3" spans="1:35" x14ac:dyDescent="0.25">
      <c r="A3" s="440" t="str">
        <f>+'Rate Case Constants'!C24</f>
        <v>Typical Electric Bill Comparison under Present &amp; Proposed Rates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</row>
    <row r="4" spans="1:35" x14ac:dyDescent="0.25">
      <c r="A4" s="438" t="str">
        <f>+'Rate Case Constants'!C21</f>
        <v>FORECAST PERIOD FOR THE 12 MONTHS ENDED JUNE 30, 2018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</row>
    <row r="5" spans="1:3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3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35" x14ac:dyDescent="0.25">
      <c r="A7" s="2" t="str">
        <f>+'Rate Case Constants'!C33</f>
        <v>DATA: ____BASE PERIOD__X___FORECASTED PERIOD</v>
      </c>
      <c r="B7" s="2"/>
      <c r="C7" s="2"/>
      <c r="D7" s="2"/>
      <c r="E7" s="2"/>
      <c r="F7" s="2"/>
      <c r="G7" s="2"/>
      <c r="H7" s="2"/>
      <c r="I7" s="2"/>
      <c r="J7" s="2"/>
      <c r="K7" s="2"/>
      <c r="L7" s="328" t="str">
        <f>+'Rate Case Constants'!C25</f>
        <v>SCHEDULE N (Electric)</v>
      </c>
    </row>
    <row r="8" spans="1:35" x14ac:dyDescent="0.25">
      <c r="A8" s="2" t="str">
        <f>+'Rate Case Constants'!C29</f>
        <v>TYPE OF FILING: __X__ ORIGINAL  _____ UPDATED  _____ REVISED</v>
      </c>
      <c r="B8" s="2"/>
      <c r="C8" s="2"/>
      <c r="D8" s="2"/>
      <c r="E8" s="2"/>
      <c r="F8" s="2"/>
      <c r="G8" s="2"/>
      <c r="H8" s="2"/>
      <c r="I8" s="2"/>
      <c r="J8" s="2"/>
      <c r="K8" s="2"/>
      <c r="L8" s="329" t="str">
        <f>+'Rate Case Constants'!L9</f>
        <v>PAGE 2 of 21</v>
      </c>
    </row>
    <row r="9" spans="1:35" x14ac:dyDescent="0.25">
      <c r="A9" s="2" t="str">
        <f>+'Rate Case Constants'!C34</f>
        <v>WORKPAPER REFERENCE NO(S):________</v>
      </c>
      <c r="B9" s="2"/>
      <c r="C9" s="2"/>
      <c r="D9" s="2"/>
      <c r="E9" s="2"/>
      <c r="F9" s="2"/>
      <c r="G9" s="2"/>
      <c r="H9" s="2"/>
      <c r="I9" s="2"/>
      <c r="J9" s="2"/>
      <c r="K9" s="2"/>
      <c r="L9" s="329" t="str">
        <f>+'Rate Case Constants'!C36</f>
        <v>WITNESS:   C. M. GARRETT</v>
      </c>
    </row>
    <row r="10" spans="1:3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Q10" s="84" t="s">
        <v>71</v>
      </c>
      <c r="R10" s="84">
        <f>+INPUT!$G$49</f>
        <v>-3.7577505815145538E-3</v>
      </c>
    </row>
    <row r="11" spans="1:35" x14ac:dyDescent="0.25">
      <c r="A11" s="351" t="s">
        <v>391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84" t="s">
        <v>73</v>
      </c>
      <c r="R11" s="84">
        <f>+INPUT!$H$49</f>
        <v>2.9588308906187033E-3</v>
      </c>
      <c r="S11" s="30"/>
      <c r="T11" s="30"/>
      <c r="U11" s="30"/>
      <c r="V11" s="30"/>
      <c r="W11" s="34"/>
      <c r="X11" s="30"/>
      <c r="Y11" s="30"/>
      <c r="Z11" s="30"/>
      <c r="AA11" s="30"/>
      <c r="AB11" s="30"/>
      <c r="AC11" s="30"/>
    </row>
    <row r="12" spans="1:35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84" t="s">
        <v>72</v>
      </c>
      <c r="R12" s="84">
        <f>+INPUT!$I$49</f>
        <v>7.5791319348703697E-3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35" x14ac:dyDescent="0.25">
      <c r="A13" s="30"/>
      <c r="B13" s="30"/>
      <c r="C13" s="202" t="s">
        <v>326</v>
      </c>
      <c r="D13" s="203" t="s">
        <v>327</v>
      </c>
      <c r="E13" s="203" t="s">
        <v>328</v>
      </c>
      <c r="F13" s="202" t="s">
        <v>329</v>
      </c>
      <c r="G13" s="202" t="s">
        <v>330</v>
      </c>
      <c r="H13" s="202" t="s">
        <v>331</v>
      </c>
      <c r="I13" s="203" t="s">
        <v>332</v>
      </c>
      <c r="J13" s="202" t="s">
        <v>333</v>
      </c>
      <c r="K13" s="202" t="s">
        <v>334</v>
      </c>
      <c r="L13" s="202" t="s">
        <v>335</v>
      </c>
      <c r="M13" s="30"/>
      <c r="N13" s="30"/>
      <c r="O13" s="30"/>
      <c r="P13" s="30"/>
      <c r="Q13" s="30"/>
      <c r="R13" s="30"/>
      <c r="S13" s="30"/>
      <c r="T13" s="30"/>
      <c r="V13" s="30"/>
      <c r="W13" s="30"/>
      <c r="X13" s="30"/>
      <c r="Y13" s="30"/>
      <c r="Z13" s="30"/>
      <c r="AA13" s="30"/>
      <c r="AB13" s="30"/>
      <c r="AC13" s="30"/>
    </row>
    <row r="14" spans="1:35" x14ac:dyDescent="0.25">
      <c r="C14" s="313" t="s">
        <v>366</v>
      </c>
      <c r="D14" s="313" t="s">
        <v>366</v>
      </c>
      <c r="E14" s="206"/>
      <c r="F14" s="206"/>
      <c r="G14" s="206"/>
      <c r="H14" s="206"/>
      <c r="I14" s="206"/>
      <c r="J14" s="202" t="s">
        <v>5</v>
      </c>
      <c r="K14" s="202" t="s">
        <v>5</v>
      </c>
      <c r="L14" s="206"/>
      <c r="Q14" s="112" t="s">
        <v>292</v>
      </c>
      <c r="R14" s="50"/>
      <c r="S14" s="50"/>
      <c r="T14" s="50"/>
      <c r="U14" s="3"/>
      <c r="W14" s="50" t="s">
        <v>62</v>
      </c>
      <c r="X14" s="50"/>
      <c r="Y14" s="50"/>
      <c r="Z14" s="50"/>
      <c r="AA14" s="50"/>
      <c r="AB14" s="3"/>
      <c r="AC14" s="57"/>
    </row>
    <row r="15" spans="1:35" x14ac:dyDescent="0.25">
      <c r="C15" s="202" t="s">
        <v>1</v>
      </c>
      <c r="D15" s="202" t="s">
        <v>74</v>
      </c>
      <c r="E15" s="202"/>
      <c r="F15" s="202"/>
      <c r="G15" s="436" t="s">
        <v>130</v>
      </c>
      <c r="H15" s="436"/>
      <c r="I15" s="437"/>
      <c r="J15" s="202" t="s">
        <v>1</v>
      </c>
      <c r="K15" s="202" t="s">
        <v>74</v>
      </c>
      <c r="L15" s="202"/>
      <c r="Q15" s="26" t="s">
        <v>64</v>
      </c>
      <c r="R15" s="26" t="s">
        <v>58</v>
      </c>
      <c r="S15" s="26" t="s">
        <v>58</v>
      </c>
      <c r="T15" s="26"/>
      <c r="U15" s="3"/>
      <c r="W15" s="26" t="s">
        <v>64</v>
      </c>
      <c r="X15" s="26" t="s">
        <v>58</v>
      </c>
      <c r="Y15" s="157" t="s">
        <v>58</v>
      </c>
      <c r="Z15" s="26" t="s">
        <v>58</v>
      </c>
      <c r="AA15" s="26"/>
      <c r="AB15" s="3"/>
      <c r="AC15" s="26"/>
    </row>
    <row r="16" spans="1:35" x14ac:dyDescent="0.25">
      <c r="A16" s="3"/>
      <c r="B16" s="3"/>
      <c r="C16" s="202" t="s">
        <v>4</v>
      </c>
      <c r="D16" s="202" t="s">
        <v>4</v>
      </c>
      <c r="E16" s="202" t="s">
        <v>75</v>
      </c>
      <c r="F16" s="202" t="s">
        <v>75</v>
      </c>
      <c r="G16" s="202" t="s">
        <v>421</v>
      </c>
      <c r="H16" s="202" t="s">
        <v>73</v>
      </c>
      <c r="I16" s="202" t="s">
        <v>72</v>
      </c>
      <c r="J16" s="202" t="s">
        <v>4</v>
      </c>
      <c r="K16" s="202" t="s">
        <v>4</v>
      </c>
      <c r="L16" s="202" t="s">
        <v>75</v>
      </c>
      <c r="M16" s="3"/>
      <c r="N16" s="3"/>
      <c r="O16" s="3"/>
      <c r="P16" s="3"/>
      <c r="Q16" s="26" t="s">
        <v>63</v>
      </c>
      <c r="R16" s="26" t="s">
        <v>83</v>
      </c>
      <c r="S16" s="26" t="s">
        <v>34</v>
      </c>
      <c r="T16" s="26" t="s">
        <v>5</v>
      </c>
      <c r="U16" s="3"/>
      <c r="W16" s="26" t="s">
        <v>63</v>
      </c>
      <c r="X16" s="26" t="s">
        <v>22</v>
      </c>
      <c r="Y16" s="157" t="s">
        <v>84</v>
      </c>
      <c r="Z16" s="26" t="s">
        <v>34</v>
      </c>
      <c r="AA16" s="26" t="s">
        <v>5</v>
      </c>
      <c r="AB16" s="3"/>
      <c r="AC16" s="26"/>
      <c r="AE16" s="2"/>
      <c r="AF16" s="3" t="s">
        <v>6</v>
      </c>
      <c r="AG16" s="3"/>
      <c r="AH16" s="3" t="s">
        <v>8</v>
      </c>
      <c r="AI16" s="3"/>
    </row>
    <row r="17" spans="1:35" x14ac:dyDescent="0.25">
      <c r="A17" s="3" t="s">
        <v>50</v>
      </c>
      <c r="B17" s="3"/>
      <c r="C17" s="26"/>
      <c r="D17" s="202"/>
      <c r="E17" s="202" t="s">
        <v>69</v>
      </c>
      <c r="F17" s="203" t="s">
        <v>70</v>
      </c>
      <c r="G17" s="204"/>
      <c r="H17" s="204"/>
      <c r="I17" s="205"/>
      <c r="J17" s="202" t="s">
        <v>69</v>
      </c>
      <c r="K17" s="202" t="s">
        <v>69</v>
      </c>
      <c r="L17" s="203" t="s">
        <v>70</v>
      </c>
      <c r="M17" s="3"/>
      <c r="N17" s="3"/>
      <c r="O17" s="3"/>
      <c r="P17" s="3"/>
      <c r="Q17" s="54" t="s">
        <v>3</v>
      </c>
      <c r="R17" s="81" t="s">
        <v>3</v>
      </c>
      <c r="S17" s="81" t="s">
        <v>3</v>
      </c>
      <c r="T17" s="54" t="s">
        <v>4</v>
      </c>
      <c r="U17" s="35"/>
      <c r="W17" s="54" t="s">
        <v>3</v>
      </c>
      <c r="X17" s="35" t="s">
        <v>3</v>
      </c>
      <c r="Y17" s="158" t="s">
        <v>3</v>
      </c>
      <c r="Z17" s="35" t="s">
        <v>3</v>
      </c>
      <c r="AA17" s="54" t="s">
        <v>4</v>
      </c>
      <c r="AB17" s="35"/>
      <c r="AC17" s="58"/>
      <c r="AE17" s="2"/>
      <c r="AF17" s="3" t="s">
        <v>7</v>
      </c>
      <c r="AG17" s="3"/>
      <c r="AH17" s="3" t="s">
        <v>7</v>
      </c>
      <c r="AI17" s="3"/>
    </row>
    <row r="18" spans="1:35" x14ac:dyDescent="0.25">
      <c r="A18" s="81"/>
      <c r="B18" s="81"/>
      <c r="C18" s="325"/>
      <c r="D18" s="325"/>
      <c r="E18" s="325" t="str">
        <f>("[ "&amp;D13&amp;" - "&amp;C13&amp;" ]")</f>
        <v>[ B - A ]</v>
      </c>
      <c r="F18" s="325" t="str">
        <f>("[ "&amp;E13&amp;" / "&amp;C13&amp;" ]")</f>
        <v>[ C / A ]</v>
      </c>
      <c r="G18" s="353"/>
      <c r="H18" s="353"/>
      <c r="I18" s="353"/>
      <c r="J18" s="325" t="str">
        <f>("["&amp;C13&amp;"+"&amp;$G$13&amp;"+"&amp;$H$13&amp;"+"&amp;$I$13&amp;"]")</f>
        <v>[A+E+F+G]</v>
      </c>
      <c r="K18" s="325" t="str">
        <f>("["&amp;D13&amp;"+"&amp;$G$13&amp;"+"&amp;$H$13&amp;"+"&amp;$I$13&amp;"]")</f>
        <v>[B+E+F+G]</v>
      </c>
      <c r="L18" s="325" t="str">
        <f>("[("&amp;K13&amp;" - "&amp;J13&amp;")/"&amp;J13&amp;"]")</f>
        <v>[(I - H)/H]</v>
      </c>
      <c r="M18" s="3"/>
      <c r="N18" s="3"/>
      <c r="O18" s="3"/>
      <c r="P18" s="202"/>
      <c r="Q18" s="26"/>
      <c r="R18" s="33">
        <f>+INPUT!$C$8</f>
        <v>6.1280000000000001E-2</v>
      </c>
      <c r="S18" s="33">
        <f>+INPUT!$C$7</f>
        <v>0.23263</v>
      </c>
      <c r="T18" s="26"/>
      <c r="U18" s="43"/>
      <c r="W18" s="26"/>
      <c r="X18" s="33">
        <f>INPUT!$C$30</f>
        <v>5.8500000000000003E-2</v>
      </c>
      <c r="Y18" s="159">
        <f>INPUT!$C$29</f>
        <v>0.23263</v>
      </c>
      <c r="Z18" s="33">
        <f>INPUT!$C$28</f>
        <v>0.23263</v>
      </c>
      <c r="AA18" s="26"/>
      <c r="AB18" s="43"/>
      <c r="AC18" s="26"/>
      <c r="AE18" s="2"/>
      <c r="AF18" s="3"/>
      <c r="AG18" s="3"/>
      <c r="AH18" s="3"/>
      <c r="AI18" s="3"/>
    </row>
    <row r="19" spans="1:35" x14ac:dyDescent="0.25">
      <c r="A19" s="3"/>
      <c r="B19" s="3"/>
      <c r="C19" s="3"/>
      <c r="D19" s="3"/>
      <c r="E19" s="202"/>
      <c r="F19" s="202"/>
      <c r="G19" s="3"/>
      <c r="H19" s="3"/>
      <c r="I19" s="3"/>
      <c r="J19" s="202"/>
      <c r="K19" s="3"/>
      <c r="L19" s="202"/>
      <c r="M19" s="3"/>
      <c r="N19" s="3"/>
      <c r="O19" s="3"/>
      <c r="P19" s="3"/>
      <c r="Q19" s="26"/>
      <c r="R19" s="3" t="s">
        <v>14</v>
      </c>
      <c r="S19" s="3" t="s">
        <v>14</v>
      </c>
      <c r="T19" s="26"/>
      <c r="U19" s="3"/>
      <c r="W19" s="26"/>
      <c r="X19" s="3" t="s">
        <v>14</v>
      </c>
      <c r="Y19" s="160" t="s">
        <v>14</v>
      </c>
      <c r="Z19" s="3" t="s">
        <v>14</v>
      </c>
      <c r="AA19" s="26"/>
      <c r="AB19" s="3"/>
      <c r="AC19" s="26"/>
      <c r="AE19" s="2"/>
      <c r="AF19" s="3"/>
      <c r="AG19" s="3"/>
      <c r="AH19" s="3"/>
      <c r="AI19" s="3"/>
    </row>
    <row r="20" spans="1:3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S20" s="3"/>
      <c r="T20" s="3"/>
      <c r="U20" s="3"/>
      <c r="X20" s="3"/>
      <c r="Y20" s="3"/>
      <c r="Z20" s="3"/>
      <c r="AA20" s="3"/>
      <c r="AB20" s="3"/>
      <c r="AC20" s="3"/>
    </row>
    <row r="21" spans="1:35" x14ac:dyDescent="0.25">
      <c r="A21" s="1">
        <v>500</v>
      </c>
      <c r="C21" s="29">
        <f>+T21</f>
        <v>50.880419901230901</v>
      </c>
      <c r="D21" s="29">
        <f>+AA21</f>
        <v>60.894393448505028</v>
      </c>
      <c r="E21" s="29">
        <f>+D21-C21</f>
        <v>10.013973547274126</v>
      </c>
      <c r="F21" s="55">
        <f>ROUND(+E21/C21,4)</f>
        <v>0.1968</v>
      </c>
      <c r="G21" s="90">
        <f>ROUND($R$10*$A21,2)</f>
        <v>-1.88</v>
      </c>
      <c r="H21" s="90">
        <f>ROUND($R$11*$A21,2)</f>
        <v>1.48</v>
      </c>
      <c r="I21" s="90">
        <f>ROUND($R$12*$A21,2)</f>
        <v>3.79</v>
      </c>
      <c r="J21" s="29">
        <f>+C21+G21+H21+I21</f>
        <v>54.270419901230895</v>
      </c>
      <c r="K21" s="29">
        <f>+D21+G21+H21+I21</f>
        <v>64.284393448505028</v>
      </c>
      <c r="L21" s="55">
        <f>ROUND((K21-J21)/J21,4)</f>
        <v>0.1845</v>
      </c>
      <c r="Q21" s="7">
        <f>+INPUT!$C$4</f>
        <v>10.75</v>
      </c>
      <c r="R21" s="6">
        <f>(+$A21*$R$39)*R$18</f>
        <v>27.24593561979907</v>
      </c>
      <c r="S21" s="6">
        <f>(+$A21*$S$39)*S$18</f>
        <v>12.884484281431833</v>
      </c>
      <c r="T21" s="6">
        <f>SUM(Q21:S21)</f>
        <v>50.880419901230901</v>
      </c>
      <c r="U21" s="6"/>
      <c r="W21" s="7">
        <f>INPUT!$C$25</f>
        <v>22</v>
      </c>
      <c r="X21" s="403">
        <f>(+$A21*$X$39)*X$18</f>
        <v>26.009909167073197</v>
      </c>
      <c r="Y21" s="6"/>
      <c r="Z21" s="403">
        <f>(+$A21*$Z$39)*Z$18</f>
        <v>12.884484281431833</v>
      </c>
      <c r="AA21" s="6">
        <f>SUM(W21:Z21)</f>
        <v>60.894393448505028</v>
      </c>
      <c r="AB21" s="6"/>
      <c r="AC21" s="6"/>
      <c r="AF21" s="6">
        <f>AA21-T21</f>
        <v>10.013973547274126</v>
      </c>
      <c r="AH21" s="8">
        <f>AA21/T21-1</f>
        <v>0.19681389357071466</v>
      </c>
      <c r="AI21" s="8"/>
    </row>
    <row r="22" spans="1:35" x14ac:dyDescent="0.25">
      <c r="A22" s="1"/>
      <c r="Q22" s="7"/>
      <c r="R22" s="7"/>
      <c r="S22" s="7"/>
      <c r="T22" s="6"/>
      <c r="U22" s="6"/>
      <c r="W22" s="7"/>
      <c r="X22" s="7"/>
      <c r="Y22" s="7"/>
      <c r="Z22" s="7"/>
      <c r="AA22" s="6"/>
      <c r="AB22" s="6"/>
      <c r="AC22" s="6"/>
      <c r="AH22" s="8"/>
      <c r="AI22" s="8"/>
    </row>
    <row r="23" spans="1:35" x14ac:dyDescent="0.25">
      <c r="A23" s="1">
        <v>750</v>
      </c>
      <c r="C23" s="29">
        <f>+T23</f>
        <v>70.945629851846348</v>
      </c>
      <c r="D23" s="29">
        <f>+AA23</f>
        <v>80.341590172757549</v>
      </c>
      <c r="E23" s="29">
        <f>+D23-C23</f>
        <v>9.3959603209112004</v>
      </c>
      <c r="F23" s="55">
        <f>ROUND(+E23/C23,4)</f>
        <v>0.13239999999999999</v>
      </c>
      <c r="G23" s="90">
        <f>ROUND($R$10*$A23,2)</f>
        <v>-2.82</v>
      </c>
      <c r="H23" s="90">
        <f>ROUND($R$11*$A23,2)</f>
        <v>2.2200000000000002</v>
      </c>
      <c r="I23" s="90">
        <f>ROUND($R$12*$A23,2)</f>
        <v>5.68</v>
      </c>
      <c r="J23" s="29">
        <f>+C23+G23+H23+I23</f>
        <v>76.025629851846361</v>
      </c>
      <c r="K23" s="29">
        <f>+D23+G23+H23+I23</f>
        <v>85.421590172757561</v>
      </c>
      <c r="L23" s="55">
        <f>ROUND((K23-J23)/J23,4)</f>
        <v>0.1236</v>
      </c>
      <c r="Q23" s="7">
        <f>$Q$21</f>
        <v>10.75</v>
      </c>
      <c r="R23" s="6">
        <f>(+$A23*$R$39)*R$18</f>
        <v>40.868903429698598</v>
      </c>
      <c r="S23" s="6">
        <f>(+$A23*$S$39)*S$18</f>
        <v>19.32672642214775</v>
      </c>
      <c r="T23" s="6">
        <f>SUM(Q23:S23)</f>
        <v>70.945629851846348</v>
      </c>
      <c r="U23" s="6"/>
      <c r="W23" s="7">
        <f>+$W$21</f>
        <v>22</v>
      </c>
      <c r="X23" s="403">
        <f>(+$A23*$X$39)*X$18</f>
        <v>39.014863750609791</v>
      </c>
      <c r="Y23" s="6"/>
      <c r="Z23" s="403">
        <f>(+$A23*$Z$39)*Z$18</f>
        <v>19.32672642214775</v>
      </c>
      <c r="AA23" s="6">
        <f>SUM(W23:Z23)</f>
        <v>80.341590172757549</v>
      </c>
      <c r="AB23" s="6"/>
      <c r="AC23" s="6"/>
      <c r="AF23" s="6">
        <f>AA23-T23</f>
        <v>9.3959603209112004</v>
      </c>
      <c r="AH23" s="8">
        <f>AA23/T23-1</f>
        <v>0.13243888792773428</v>
      </c>
      <c r="AI23" s="8"/>
    </row>
    <row r="24" spans="1:35" x14ac:dyDescent="0.25">
      <c r="A24" s="1"/>
      <c r="C24" s="29"/>
      <c r="D24" s="29"/>
      <c r="E24" s="29"/>
      <c r="F24" s="55"/>
      <c r="G24" s="29"/>
      <c r="H24" s="29"/>
      <c r="I24" s="29"/>
      <c r="J24" s="29"/>
      <c r="K24" s="29"/>
      <c r="L24" s="55"/>
      <c r="Q24" s="56"/>
      <c r="R24" s="56"/>
      <c r="S24" s="56"/>
      <c r="T24" s="6"/>
      <c r="U24" s="6"/>
      <c r="W24" s="7"/>
      <c r="X24" s="56"/>
      <c r="Y24" s="56"/>
      <c r="Z24" s="56"/>
      <c r="AA24" s="6"/>
      <c r="AB24" s="6"/>
      <c r="AC24" s="6"/>
      <c r="AH24" s="27"/>
      <c r="AI24" s="27"/>
    </row>
    <row r="25" spans="1:35" s="10" customFormat="1" x14ac:dyDescent="0.25">
      <c r="A25" s="14">
        <v>949</v>
      </c>
      <c r="C25" s="11">
        <f>+T25</f>
        <v>86.917536972536254</v>
      </c>
      <c r="D25" s="358">
        <f>+AA25</f>
        <v>95.821558765262552</v>
      </c>
      <c r="E25" s="358">
        <f>+D25-C25</f>
        <v>8.9040217927262972</v>
      </c>
      <c r="F25" s="359">
        <f>ROUND(+E25/C25,4)</f>
        <v>0.1024</v>
      </c>
      <c r="G25" s="360">
        <f>ROUND($R$10*$A25,2)</f>
        <v>-3.57</v>
      </c>
      <c r="H25" s="360">
        <f>ROUND($R$11*$A25,2)</f>
        <v>2.81</v>
      </c>
      <c r="I25" s="360">
        <f>ROUND($R$12*$A25,2)</f>
        <v>7.19</v>
      </c>
      <c r="J25" s="358">
        <f>+C25+G25+H25+I25</f>
        <v>93.347536972536261</v>
      </c>
      <c r="K25" s="358">
        <f>+D25+G25+H25+I25</f>
        <v>102.25155876526256</v>
      </c>
      <c r="L25" s="359">
        <f>ROUND((K25-J25)/J25,4)</f>
        <v>9.5399999999999999E-2</v>
      </c>
      <c r="Q25" s="56">
        <f>$Q$21</f>
        <v>10.75</v>
      </c>
      <c r="R25" s="6">
        <f>(+$A25*$R$39)*R$18</f>
        <v>51.712785806378633</v>
      </c>
      <c r="S25" s="6">
        <f>(+$A25*$S$39)*S$18</f>
        <v>24.454751166157621</v>
      </c>
      <c r="T25" s="6">
        <f>SUM(Q25:S25)</f>
        <v>86.917536972536254</v>
      </c>
      <c r="U25" s="6"/>
      <c r="W25" s="7">
        <f>+$W$21</f>
        <v>22</v>
      </c>
      <c r="X25" s="403">
        <f>(+$A25*$X$39)*X$18</f>
        <v>49.366807599104931</v>
      </c>
      <c r="Y25" s="6"/>
      <c r="Z25" s="403">
        <f>(+$A25*$Z$39)*Z$18</f>
        <v>24.454751166157621</v>
      </c>
      <c r="AA25" s="6">
        <f>SUM(W25:Z25)</f>
        <v>95.821558765262552</v>
      </c>
      <c r="AB25" s="6"/>
      <c r="AC25" s="11"/>
      <c r="AF25" s="11">
        <f>AA25-T25</f>
        <v>8.9040217927262972</v>
      </c>
      <c r="AH25" s="27">
        <f>AA25/T25-1</f>
        <v>0.102442177986932</v>
      </c>
      <c r="AI25" s="27"/>
    </row>
    <row r="26" spans="1:35" x14ac:dyDescent="0.25">
      <c r="A26" s="1"/>
      <c r="Q26" s="7"/>
      <c r="R26" s="7"/>
      <c r="S26" s="7"/>
      <c r="T26" s="6"/>
      <c r="U26" s="6"/>
      <c r="W26" s="7"/>
      <c r="X26" s="7"/>
      <c r="Y26" s="7"/>
      <c r="Z26" s="7"/>
      <c r="AA26" s="6"/>
      <c r="AB26" s="6"/>
      <c r="AC26" s="6"/>
      <c r="AH26" s="8"/>
      <c r="AI26" s="8"/>
    </row>
    <row r="27" spans="1:35" x14ac:dyDescent="0.25">
      <c r="A27" s="14">
        <v>1250</v>
      </c>
      <c r="B27" s="10"/>
      <c r="C27" s="358">
        <f>+T27</f>
        <v>111.07604975307726</v>
      </c>
      <c r="D27" s="358">
        <f>+AA27</f>
        <v>119.23598362126259</v>
      </c>
      <c r="E27" s="358">
        <f>+D27-C27</f>
        <v>8.1599338681853339</v>
      </c>
      <c r="F27" s="359">
        <f>ROUND(+E27/C27,4)</f>
        <v>7.3499999999999996E-2</v>
      </c>
      <c r="G27" s="360">
        <f>ROUND($R$10*$A27,2)</f>
        <v>-4.7</v>
      </c>
      <c r="H27" s="360">
        <f>ROUND($R$11*$A27,2)</f>
        <v>3.7</v>
      </c>
      <c r="I27" s="360">
        <f>ROUND($R$12*$A27,2)</f>
        <v>9.4700000000000006</v>
      </c>
      <c r="J27" s="358">
        <f>+C27+G27+H27+I27</f>
        <v>119.54604975307726</v>
      </c>
      <c r="K27" s="358">
        <f>+D27+G27+H27+I27</f>
        <v>127.70598362126259</v>
      </c>
      <c r="L27" s="359">
        <f>ROUND((K27-J27)/J27,4)</f>
        <v>6.83E-2</v>
      </c>
      <c r="M27" s="29"/>
      <c r="Q27" s="7">
        <f>$Q$21</f>
        <v>10.75</v>
      </c>
      <c r="R27" s="6">
        <f>(+$A27*$R$39)*R$18</f>
        <v>68.114839049497675</v>
      </c>
      <c r="S27" s="6">
        <f>(+$A27*$S$39)*S$18</f>
        <v>32.211210703579589</v>
      </c>
      <c r="T27" s="6">
        <f>SUM(Q27:S27)</f>
        <v>111.07604975307726</v>
      </c>
      <c r="U27" s="6"/>
      <c r="W27" s="7">
        <f>+$W$21</f>
        <v>22</v>
      </c>
      <c r="X27" s="403">
        <f>(+$A27*$X$39)*X$18</f>
        <v>65.024772917682995</v>
      </c>
      <c r="Y27" s="6"/>
      <c r="Z27" s="403">
        <f>(+$A27*$Z$39)*Z$18</f>
        <v>32.211210703579589</v>
      </c>
      <c r="AA27" s="6">
        <f>SUM(W27:Z27)</f>
        <v>119.23598362126259</v>
      </c>
      <c r="AB27" s="6"/>
      <c r="AC27" s="6"/>
      <c r="AF27" s="6">
        <f>AA27-T27</f>
        <v>8.1599338681853339</v>
      </c>
      <c r="AH27" s="8">
        <f>AA27/T27-1</f>
        <v>7.3462586095966786E-2</v>
      </c>
      <c r="AI27" s="8"/>
    </row>
    <row r="28" spans="1:35" x14ac:dyDescent="0.25">
      <c r="Q28" s="7"/>
      <c r="R28" s="7"/>
      <c r="S28" s="7"/>
      <c r="T28" s="6"/>
      <c r="U28" s="6"/>
      <c r="W28" s="7"/>
      <c r="X28" s="7"/>
      <c r="Y28" s="7"/>
      <c r="Z28" s="7"/>
      <c r="AA28" s="6"/>
      <c r="AB28" s="6"/>
      <c r="AC28" s="6"/>
      <c r="AH28" s="8"/>
      <c r="AI28" s="8"/>
    </row>
    <row r="29" spans="1:35" x14ac:dyDescent="0.25">
      <c r="A29" s="1">
        <v>1500</v>
      </c>
      <c r="C29" s="29">
        <f>+T29</f>
        <v>131.1412597036927</v>
      </c>
      <c r="D29" s="29">
        <f>+AA29</f>
        <v>138.6831803455151</v>
      </c>
      <c r="E29" s="29">
        <f>+D29-C29</f>
        <v>7.5419206418224007</v>
      </c>
      <c r="F29" s="55">
        <f>ROUND(+E29/C29,4)</f>
        <v>5.7500000000000002E-2</v>
      </c>
      <c r="G29" s="90">
        <f>ROUND($R$10*$A29,2)</f>
        <v>-5.64</v>
      </c>
      <c r="H29" s="90">
        <f>ROUND($R$11*$A29,2)</f>
        <v>4.4400000000000004</v>
      </c>
      <c r="I29" s="90">
        <f>ROUND($R$12*$A29,2)</f>
        <v>11.37</v>
      </c>
      <c r="J29" s="29">
        <f>+C29+G29+H29+I29</f>
        <v>141.31125970369271</v>
      </c>
      <c r="K29" s="29">
        <f>+D29+G29+H29+I29</f>
        <v>148.85318034551511</v>
      </c>
      <c r="L29" s="55">
        <f>ROUND((K29-J29)/J29,4)</f>
        <v>5.3400000000000003E-2</v>
      </c>
      <c r="Q29" s="7">
        <f>$Q$21</f>
        <v>10.75</v>
      </c>
      <c r="R29" s="6">
        <f>(+$A29*$R$39)*R$18</f>
        <v>81.737806859397196</v>
      </c>
      <c r="S29" s="6">
        <f>(+$A29*$S$39)*S$18</f>
        <v>38.653452844295501</v>
      </c>
      <c r="T29" s="6">
        <f>SUM(Q29:S29)</f>
        <v>131.1412597036927</v>
      </c>
      <c r="U29" s="6"/>
      <c r="W29" s="7">
        <f>+$W$21</f>
        <v>22</v>
      </c>
      <c r="X29" s="403">
        <f>(+$A29*$X$39)*X$18</f>
        <v>78.029727501219583</v>
      </c>
      <c r="Y29" s="6"/>
      <c r="Z29" s="403">
        <f>(+$A29*$Z$39)*Z$18</f>
        <v>38.653452844295501</v>
      </c>
      <c r="AA29" s="6">
        <f>SUM(W29:Z29)</f>
        <v>138.6831803455151</v>
      </c>
      <c r="AB29" s="6"/>
      <c r="AC29" s="6"/>
      <c r="AF29" s="6">
        <f>AA29-T29</f>
        <v>7.5419206418224007</v>
      </c>
      <c r="AH29" s="8">
        <f>AA29/T29-1</f>
        <v>5.7509899316683377E-2</v>
      </c>
      <c r="AI29" s="8"/>
    </row>
    <row r="30" spans="1:35" x14ac:dyDescent="0.25">
      <c r="A30" s="1"/>
      <c r="Q30" s="7"/>
      <c r="R30" s="7"/>
      <c r="S30" s="7"/>
      <c r="T30" s="6"/>
      <c r="U30" s="6"/>
      <c r="W30" s="7"/>
      <c r="X30" s="7"/>
      <c r="Y30" s="7"/>
      <c r="Z30" s="7"/>
      <c r="AA30" s="6"/>
      <c r="AB30" s="6"/>
      <c r="AC30" s="6"/>
      <c r="AH30" s="8"/>
      <c r="AI30" s="8"/>
    </row>
    <row r="31" spans="1:35" x14ac:dyDescent="0.25">
      <c r="A31" s="1">
        <v>2000</v>
      </c>
      <c r="C31" s="29">
        <f>+T31</f>
        <v>171.27167960492361</v>
      </c>
      <c r="D31" s="29">
        <f>+AA31</f>
        <v>177.57757379402011</v>
      </c>
      <c r="E31" s="29">
        <f>+D31-C31</f>
        <v>6.3058941890965059</v>
      </c>
      <c r="F31" s="55">
        <f>ROUND(+E31/C31,4)</f>
        <v>3.6799999999999999E-2</v>
      </c>
      <c r="G31" s="90">
        <f>ROUND($R$10*$A31,2)</f>
        <v>-7.52</v>
      </c>
      <c r="H31" s="90">
        <f>ROUND($R$11*$A31,2)</f>
        <v>5.92</v>
      </c>
      <c r="I31" s="90">
        <f>ROUND($R$12*$A31,2)</f>
        <v>15.16</v>
      </c>
      <c r="J31" s="29">
        <f>+C31+G31+H31+I31</f>
        <v>184.83167960492358</v>
      </c>
      <c r="K31" s="29">
        <f>+D31+G31+H31+I31</f>
        <v>191.13757379402008</v>
      </c>
      <c r="L31" s="55">
        <f>ROUND((K31-J31)/J31,4)</f>
        <v>3.4099999999999998E-2</v>
      </c>
      <c r="Q31" s="7">
        <f>$Q$21</f>
        <v>10.75</v>
      </c>
      <c r="R31" s="6">
        <f>(+$A31*$R$39)*R$18</f>
        <v>108.98374247919628</v>
      </c>
      <c r="S31" s="6">
        <f>(+$A31*$S$39)*S$18</f>
        <v>51.537937125727332</v>
      </c>
      <c r="T31" s="6">
        <f>SUM(Q31:S31)</f>
        <v>171.27167960492361</v>
      </c>
      <c r="U31" s="6"/>
      <c r="W31" s="7">
        <f>+$W$21</f>
        <v>22</v>
      </c>
      <c r="X31" s="403">
        <f>(+$A31*$X$39)*X$18</f>
        <v>104.03963666829279</v>
      </c>
      <c r="Y31" s="6"/>
      <c r="Z31" s="403">
        <f>(+$A31*$Z$39)*Z$18</f>
        <v>51.537937125727332</v>
      </c>
      <c r="AA31" s="6">
        <f>SUM(W31:Z31)</f>
        <v>177.57757379402011</v>
      </c>
      <c r="AB31" s="6"/>
      <c r="AC31" s="6"/>
      <c r="AF31" s="6">
        <f>AA31-T31</f>
        <v>6.3058941890965059</v>
      </c>
      <c r="AH31" s="8">
        <f>AA31/T31-1</f>
        <v>3.6818078760262329E-2</v>
      </c>
      <c r="AI31" s="8"/>
    </row>
    <row r="32" spans="1:35" x14ac:dyDescent="0.25">
      <c r="Q32" s="7"/>
      <c r="R32" s="7"/>
      <c r="S32" s="7"/>
      <c r="T32" s="6"/>
      <c r="U32" s="6"/>
      <c r="W32" s="7"/>
      <c r="X32" s="7"/>
      <c r="Y32" s="7"/>
      <c r="Z32" s="7"/>
      <c r="AA32" s="6"/>
      <c r="AB32" s="6"/>
      <c r="AC32" s="6"/>
      <c r="AH32" s="8"/>
      <c r="AI32" s="8"/>
    </row>
    <row r="33" spans="1:35" x14ac:dyDescent="0.25">
      <c r="A33" s="1">
        <v>2500</v>
      </c>
      <c r="C33" s="29">
        <f>+T33</f>
        <v>211.40209950615451</v>
      </c>
      <c r="D33" s="29">
        <f>+AA33</f>
        <v>216.47196724252518</v>
      </c>
      <c r="E33" s="29">
        <f>+D33-C33</f>
        <v>5.0698677363706679</v>
      </c>
      <c r="F33" s="55">
        <f>ROUND(+E33/C33,4)</f>
        <v>2.4E-2</v>
      </c>
      <c r="G33" s="90">
        <f>ROUND($R$10*$A33,2)</f>
        <v>-9.39</v>
      </c>
      <c r="H33" s="90">
        <f>ROUND($R$11*$A33,2)</f>
        <v>7.4</v>
      </c>
      <c r="I33" s="90">
        <f>ROUND($R$12*$A33,2)</f>
        <v>18.95</v>
      </c>
      <c r="J33" s="29">
        <f>+C33+G33+H33+I33</f>
        <v>228.36209950615452</v>
      </c>
      <c r="K33" s="29">
        <f>+D33+G33+H33+I33</f>
        <v>233.43196724252519</v>
      </c>
      <c r="L33" s="55">
        <f>ROUND((K33-J33)/J33,4)</f>
        <v>2.2200000000000001E-2</v>
      </c>
      <c r="Q33" s="7">
        <f>$Q$21</f>
        <v>10.75</v>
      </c>
      <c r="R33" s="6">
        <f>(+$A33*$R$39)*R$18</f>
        <v>136.22967809899535</v>
      </c>
      <c r="S33" s="6">
        <f>(+$A33*$S$39)*S$18</f>
        <v>64.422421407159177</v>
      </c>
      <c r="T33" s="6">
        <f>SUM(Q33:S33)</f>
        <v>211.40209950615451</v>
      </c>
      <c r="U33" s="6"/>
      <c r="W33" s="7">
        <f>+$W$21</f>
        <v>22</v>
      </c>
      <c r="X33" s="403">
        <f>(+$A33*$X$39)*X$18</f>
        <v>130.04954583536599</v>
      </c>
      <c r="Y33" s="6"/>
      <c r="Z33" s="403">
        <f>(+$A33*$Z$39)*Z$18</f>
        <v>64.422421407159177</v>
      </c>
      <c r="AA33" s="6">
        <f>SUM(W33:Z33)</f>
        <v>216.47196724252518</v>
      </c>
      <c r="AB33" s="6"/>
      <c r="AC33" s="6"/>
      <c r="AH33" s="8"/>
      <c r="AI33" s="8"/>
    </row>
    <row r="34" spans="1:35" x14ac:dyDescent="0.25">
      <c r="Q34" s="7"/>
      <c r="R34" s="7"/>
      <c r="S34" s="7"/>
      <c r="T34" s="6"/>
      <c r="U34" s="6"/>
      <c r="W34" s="7"/>
      <c r="X34" s="7"/>
      <c r="Y34" s="7"/>
      <c r="Z34" s="7"/>
      <c r="AA34" s="6"/>
      <c r="AB34" s="6"/>
      <c r="AC34" s="6"/>
      <c r="AH34" s="8"/>
      <c r="AI34" s="8"/>
    </row>
    <row r="35" spans="1:35" x14ac:dyDescent="0.25">
      <c r="A35" s="1">
        <v>3000</v>
      </c>
      <c r="C35" s="29">
        <f>+T35</f>
        <v>251.53251940738539</v>
      </c>
      <c r="D35" s="29">
        <f>+AA35</f>
        <v>255.36636069103017</v>
      </c>
      <c r="E35" s="29">
        <f>+D35-C35</f>
        <v>3.8338412836447731</v>
      </c>
      <c r="F35" s="55">
        <f>ROUND(+E35/C35,4)</f>
        <v>1.52E-2</v>
      </c>
      <c r="G35" s="90">
        <f>ROUND($R$10*$A35,2)</f>
        <v>-11.27</v>
      </c>
      <c r="H35" s="90">
        <f>ROUND($R$11*$A35,2)</f>
        <v>8.8800000000000008</v>
      </c>
      <c r="I35" s="90">
        <f>ROUND($R$12*$A35,2)</f>
        <v>22.74</v>
      </c>
      <c r="J35" s="29">
        <f>+C35+G35+H35+I35</f>
        <v>271.88251940738536</v>
      </c>
      <c r="K35" s="29">
        <f>+D35+G35+H35+I35</f>
        <v>275.71636069103016</v>
      </c>
      <c r="L35" s="55">
        <f>ROUND((K35-J35)/J35,4)</f>
        <v>1.41E-2</v>
      </c>
      <c r="Q35" s="7">
        <f>$Q$21</f>
        <v>10.75</v>
      </c>
      <c r="R35" s="6">
        <f>(+$A35*$R$39)*R$18</f>
        <v>163.47561371879439</v>
      </c>
      <c r="S35" s="6">
        <f>(+$A35*$S$39)*S$18</f>
        <v>77.306905688591002</v>
      </c>
      <c r="T35" s="6">
        <f>SUM(Q35:S35)</f>
        <v>251.53251940738539</v>
      </c>
      <c r="U35" s="6"/>
      <c r="W35" s="7">
        <f>+$W$21</f>
        <v>22</v>
      </c>
      <c r="X35" s="403">
        <f>(+$A35*$X$39)*X$18</f>
        <v>156.05945500243917</v>
      </c>
      <c r="Y35" s="6"/>
      <c r="Z35" s="403">
        <f>(+$A35*$Z$39)*Z$18</f>
        <v>77.306905688591002</v>
      </c>
      <c r="AA35" s="6">
        <f>SUM(W35:Z35)</f>
        <v>255.36636069103017</v>
      </c>
      <c r="AB35" s="6"/>
      <c r="AC35" s="6"/>
      <c r="AF35" s="6">
        <f>AA35-T35</f>
        <v>3.8338412836447731</v>
      </c>
      <c r="AH35" s="8">
        <f>AA35/T35-1</f>
        <v>1.5241930914847046E-2</v>
      </c>
      <c r="AI35" s="8"/>
    </row>
    <row r="36" spans="1:35" x14ac:dyDescent="0.25">
      <c r="A36" s="1"/>
      <c r="C36" s="29"/>
      <c r="D36" s="29"/>
      <c r="E36" s="29"/>
      <c r="F36" s="55"/>
      <c r="G36" s="90"/>
      <c r="H36" s="90"/>
      <c r="I36" s="90"/>
      <c r="J36" s="29"/>
      <c r="K36" s="29"/>
      <c r="L36" s="55"/>
      <c r="Q36" s="7"/>
      <c r="R36" s="6"/>
      <c r="S36" s="6"/>
      <c r="T36" s="6"/>
      <c r="U36" s="6"/>
      <c r="W36" s="7"/>
      <c r="X36" s="6"/>
      <c r="Y36" s="6"/>
      <c r="Z36" s="6"/>
      <c r="AA36" s="6"/>
      <c r="AB36" s="6"/>
      <c r="AC36" s="6"/>
      <c r="AF36" s="6"/>
      <c r="AH36" s="8"/>
      <c r="AI36" s="8"/>
    </row>
    <row r="37" spans="1:35" x14ac:dyDescent="0.25">
      <c r="A37" s="17" t="s">
        <v>336</v>
      </c>
    </row>
    <row r="38" spans="1:35" x14ac:dyDescent="0.25">
      <c r="A38" s="208" t="str">
        <f>("Average usage = "&amp;TEXT(INPUT!C19*1,"000")&amp;" kWh per month")</f>
        <v>Average usage = 949 kWh per month</v>
      </c>
      <c r="Q38" s="7"/>
      <c r="R38" s="7"/>
    </row>
    <row r="39" spans="1:35" x14ac:dyDescent="0.25">
      <c r="A39" s="210" t="s">
        <v>337</v>
      </c>
      <c r="Q39" s="30" t="s">
        <v>304</v>
      </c>
      <c r="R39" s="168">
        <f>X39</f>
        <v>0.88922766383156226</v>
      </c>
      <c r="S39" s="168">
        <f>Z39</f>
        <v>0.11077233616843772</v>
      </c>
      <c r="W39" s="30" t="s">
        <v>304</v>
      </c>
      <c r="X39" s="168">
        <f>503093/(503093+62671)</f>
        <v>0.88922766383156226</v>
      </c>
      <c r="Y39" s="168"/>
      <c r="Z39" s="168">
        <f>62671/(503093+62671)</f>
        <v>0.11077233616843772</v>
      </c>
    </row>
    <row r="40" spans="1:35" x14ac:dyDescent="0.25">
      <c r="A40" s="209" t="str">
        <f>+'Rate Case Constants'!C26</f>
        <v>Calculations may vary from other schedules due to rounding</v>
      </c>
      <c r="X40" s="169"/>
      <c r="Z40" s="402"/>
    </row>
    <row r="41" spans="1:35" x14ac:dyDescent="0.25">
      <c r="A41" s="209"/>
    </row>
    <row r="43" spans="1:35" x14ac:dyDescent="0.25">
      <c r="A43" s="209"/>
    </row>
    <row r="44" spans="1:35" ht="12" customHeight="1" x14ac:dyDescent="0.25">
      <c r="A44" s="209"/>
    </row>
    <row r="45" spans="1:35" x14ac:dyDescent="0.25">
      <c r="A45" s="210"/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K68"/>
  <sheetViews>
    <sheetView view="pageBreakPreview" topLeftCell="A28" zoomScaleNormal="100" zoomScaleSheetLayoutView="100" workbookViewId="0">
      <selection activeCell="C24" sqref="C24"/>
    </sheetView>
  </sheetViews>
  <sheetFormatPr defaultRowHeight="13.2" x14ac:dyDescent="0.25"/>
  <cols>
    <col min="1" max="1" width="7.109375" customWidth="1"/>
    <col min="2" max="2" width="3.6640625" customWidth="1"/>
    <col min="3" max="3" width="6.5546875" customWidth="1"/>
    <col min="4" max="4" width="1.88671875" customWidth="1"/>
    <col min="5" max="5" width="9.5546875" customWidth="1"/>
    <col min="6" max="6" width="2" customWidth="1"/>
    <col min="7" max="7" width="13.44140625" bestFit="1" customWidth="1"/>
    <col min="8" max="8" width="14.6640625" customWidth="1"/>
    <col min="9" max="10" width="9.88671875" customWidth="1"/>
    <col min="11" max="11" width="10.6640625" bestFit="1" customWidth="1"/>
    <col min="12" max="12" width="11.33203125" bestFit="1" customWidth="1"/>
    <col min="13" max="13" width="12.44140625" customWidth="1"/>
    <col min="14" max="15" width="13.44140625" bestFit="1" customWidth="1"/>
    <col min="16" max="18" width="9.88671875" customWidth="1"/>
    <col min="19" max="19" width="10" customWidth="1"/>
    <col min="20" max="20" width="13.5546875" customWidth="1"/>
    <col min="21" max="21" width="12.5546875" bestFit="1" customWidth="1"/>
    <col min="22" max="22" width="12" bestFit="1" customWidth="1"/>
    <col min="23" max="23" width="13" bestFit="1" customWidth="1"/>
    <col min="24" max="24" width="3.109375" customWidth="1"/>
    <col min="25" max="25" width="14.44140625" customWidth="1"/>
    <col min="26" max="26" width="3.88671875" customWidth="1"/>
    <col min="27" max="27" width="2.44140625" customWidth="1"/>
    <col min="28" max="28" width="14.44140625" bestFit="1" customWidth="1"/>
    <col min="29" max="29" width="12.6640625" bestFit="1" customWidth="1"/>
    <col min="30" max="31" width="11.5546875" bestFit="1" customWidth="1"/>
    <col min="32" max="32" width="12.6640625" bestFit="1" customWidth="1"/>
    <col min="33" max="33" width="12.6640625" customWidth="1"/>
    <col min="34" max="34" width="11.109375" customWidth="1"/>
    <col min="35" max="35" width="11.44140625" bestFit="1" customWidth="1"/>
    <col min="36" max="36" width="10.6640625" customWidth="1"/>
    <col min="37" max="37" width="11.44140625" bestFit="1" customWidth="1"/>
  </cols>
  <sheetData>
    <row r="1" spans="1:37" x14ac:dyDescent="0.25">
      <c r="A1" s="441" t="str">
        <f>+'Rate Case Constants'!C9</f>
        <v>LOUISVILLE GAS AND ELECTRIC COMPANY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</row>
    <row r="2" spans="1:37" x14ac:dyDescent="0.25">
      <c r="A2" s="441" t="str">
        <f>+'Rate Case Constants'!C10</f>
        <v>CASE NO. 2016-00371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</row>
    <row r="3" spans="1:37" x14ac:dyDescent="0.25">
      <c r="A3" s="442" t="str">
        <f>+'Rate Case Constants'!C24</f>
        <v>Typical Electric Bill Comparison under Present &amp; Proposed Rates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</row>
    <row r="4" spans="1:37" x14ac:dyDescent="0.25">
      <c r="A4" s="441" t="str">
        <f>+'Rate Case Constants'!C21</f>
        <v>FORECAST PERIOD FOR THE 12 MONTHS ENDED JUNE 30, 2018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</row>
    <row r="5" spans="1:37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</row>
    <row r="6" spans="1:37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</row>
    <row r="7" spans="1:37" x14ac:dyDescent="0.25">
      <c r="A7" s="340" t="str">
        <f>+'Rate Case Constants'!C33</f>
        <v>DATA: ____BASE PERIOD__X___FORECASTED PERIOD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1" t="str">
        <f>+'Rate Case Constants'!C25</f>
        <v>SCHEDULE N (Electric)</v>
      </c>
    </row>
    <row r="8" spans="1:37" x14ac:dyDescent="0.25">
      <c r="A8" s="340" t="str">
        <f>+'Rate Case Constants'!C29</f>
        <v>TYPE OF FILING: __X__ ORIGINAL  _____ UPDATED  _____ REVISED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2"/>
      <c r="M8" s="340"/>
      <c r="N8" s="340"/>
      <c r="O8" s="340"/>
      <c r="P8" s="342" t="str">
        <f>+'Rate Case Constants'!L10</f>
        <v>PAGE 3 of 21</v>
      </c>
    </row>
    <row r="9" spans="1:37" x14ac:dyDescent="0.25">
      <c r="A9" s="340" t="str">
        <f>+'Rate Case Constants'!C34</f>
        <v>WORKPAPER REFERENCE NO(S):________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2" t="str">
        <f>+'Rate Case Constants'!C36</f>
        <v>WITNESS:   C. M. GARRETT</v>
      </c>
      <c r="T9" s="2" t="s">
        <v>358</v>
      </c>
    </row>
    <row r="10" spans="1:37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S10" s="84" t="s">
        <v>71</v>
      </c>
      <c r="T10" s="84">
        <f>+INPUT!$G$48</f>
        <v>-3.7361722257962119E-3</v>
      </c>
    </row>
    <row r="11" spans="1:37" x14ac:dyDescent="0.25">
      <c r="A11" s="351" t="s">
        <v>392</v>
      </c>
      <c r="S11" s="84" t="s">
        <v>73</v>
      </c>
      <c r="T11" s="84">
        <f>+INPUT!$H$48</f>
        <v>3.2945826064991065E-3</v>
      </c>
    </row>
    <row r="12" spans="1:37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4" t="s">
        <v>72</v>
      </c>
      <c r="T12" s="84">
        <f>+INPUT!$I$48</f>
        <v>8.4400491239111988E-3</v>
      </c>
    </row>
    <row r="13" spans="1:37" x14ac:dyDescent="0.25">
      <c r="A13" s="45"/>
      <c r="G13" s="202" t="s">
        <v>326</v>
      </c>
      <c r="H13" s="203" t="s">
        <v>327</v>
      </c>
      <c r="I13" s="203" t="s">
        <v>328</v>
      </c>
      <c r="J13" s="202" t="s">
        <v>329</v>
      </c>
      <c r="K13" s="202" t="s">
        <v>330</v>
      </c>
      <c r="L13" s="202" t="s">
        <v>331</v>
      </c>
      <c r="M13" s="203" t="s">
        <v>332</v>
      </c>
      <c r="N13" s="202" t="s">
        <v>333</v>
      </c>
      <c r="O13" s="202" t="s">
        <v>334</v>
      </c>
      <c r="P13" s="202" t="s">
        <v>335</v>
      </c>
      <c r="S13" s="161" t="s">
        <v>293</v>
      </c>
      <c r="T13" s="16"/>
      <c r="U13" s="3" t="s">
        <v>1</v>
      </c>
      <c r="V13" s="3" t="s">
        <v>1</v>
      </c>
      <c r="Y13" s="3" t="s">
        <v>72</v>
      </c>
      <c r="AC13" s="20"/>
      <c r="AD13" s="21" t="s">
        <v>9</v>
      </c>
      <c r="AE13" s="21" t="s">
        <v>9</v>
      </c>
      <c r="AF13" s="20"/>
      <c r="AG13" s="3" t="s">
        <v>72</v>
      </c>
    </row>
    <row r="14" spans="1:37" x14ac:dyDescent="0.25">
      <c r="G14" s="313" t="s">
        <v>366</v>
      </c>
      <c r="H14" s="313" t="s">
        <v>366</v>
      </c>
      <c r="I14" s="206"/>
      <c r="J14" s="206"/>
      <c r="K14" s="206"/>
      <c r="L14" s="206"/>
      <c r="M14" s="206"/>
      <c r="N14" s="202" t="s">
        <v>5</v>
      </c>
      <c r="O14" s="202" t="s">
        <v>5</v>
      </c>
      <c r="P14" s="206"/>
      <c r="S14" s="3" t="s">
        <v>1</v>
      </c>
      <c r="T14" s="3" t="s">
        <v>1</v>
      </c>
      <c r="U14" s="22" t="s">
        <v>82</v>
      </c>
      <c r="V14" s="21" t="s">
        <v>83</v>
      </c>
      <c r="W14" s="3" t="s">
        <v>1</v>
      </c>
      <c r="X14" s="3"/>
      <c r="Y14" s="3" t="s">
        <v>1</v>
      </c>
      <c r="AB14" s="3" t="s">
        <v>9</v>
      </c>
      <c r="AC14" s="3" t="s">
        <v>9</v>
      </c>
      <c r="AD14" s="22" t="s">
        <v>82</v>
      </c>
      <c r="AE14" s="21" t="s">
        <v>83</v>
      </c>
      <c r="AF14" s="21" t="s">
        <v>9</v>
      </c>
      <c r="AG14" s="3" t="s">
        <v>1</v>
      </c>
      <c r="AI14" s="3"/>
    </row>
    <row r="15" spans="1:37" x14ac:dyDescent="0.25">
      <c r="C15" s="3" t="s">
        <v>23</v>
      </c>
      <c r="E15" s="3"/>
      <c r="F15" s="3"/>
      <c r="G15" s="202" t="s">
        <v>1</v>
      </c>
      <c r="H15" s="202" t="s">
        <v>74</v>
      </c>
      <c r="I15" s="202"/>
      <c r="J15" s="202"/>
      <c r="K15" s="436" t="s">
        <v>130</v>
      </c>
      <c r="L15" s="436"/>
      <c r="M15" s="437"/>
      <c r="N15" s="202" t="s">
        <v>1</v>
      </c>
      <c r="O15" s="202" t="s">
        <v>74</v>
      </c>
      <c r="P15" s="202"/>
      <c r="Q15" s="3"/>
      <c r="R15" s="3"/>
      <c r="S15" s="3" t="s">
        <v>2</v>
      </c>
      <c r="T15" s="3" t="s">
        <v>58</v>
      </c>
      <c r="U15" s="21" t="s">
        <v>25</v>
      </c>
      <c r="V15" s="21" t="s">
        <v>18</v>
      </c>
      <c r="W15" s="3" t="s">
        <v>5</v>
      </c>
      <c r="X15" s="3"/>
      <c r="Y15" s="3" t="s">
        <v>76</v>
      </c>
      <c r="AB15" s="26" t="s">
        <v>57</v>
      </c>
      <c r="AC15" s="3" t="s">
        <v>58</v>
      </c>
      <c r="AD15" s="21" t="s">
        <v>25</v>
      </c>
      <c r="AE15" s="21" t="s">
        <v>18</v>
      </c>
      <c r="AF15" s="21" t="s">
        <v>5</v>
      </c>
      <c r="AG15" s="3" t="s">
        <v>76</v>
      </c>
      <c r="AI15" s="3" t="s">
        <v>6</v>
      </c>
      <c r="AJ15" s="3"/>
      <c r="AK15" s="3" t="s">
        <v>8</v>
      </c>
    </row>
    <row r="16" spans="1:37" x14ac:dyDescent="0.25">
      <c r="A16" s="3" t="s">
        <v>20</v>
      </c>
      <c r="C16" s="3" t="s">
        <v>24</v>
      </c>
      <c r="E16" s="3" t="s">
        <v>0</v>
      </c>
      <c r="F16" s="3"/>
      <c r="G16" s="202" t="s">
        <v>4</v>
      </c>
      <c r="H16" s="202" t="s">
        <v>4</v>
      </c>
      <c r="I16" s="202" t="s">
        <v>75</v>
      </c>
      <c r="J16" s="202" t="s">
        <v>75</v>
      </c>
      <c r="K16" s="202" t="s">
        <v>421</v>
      </c>
      <c r="L16" s="202" t="s">
        <v>73</v>
      </c>
      <c r="M16" s="202" t="s">
        <v>72</v>
      </c>
      <c r="N16" s="202" t="s">
        <v>4</v>
      </c>
      <c r="O16" s="202" t="s">
        <v>4</v>
      </c>
      <c r="P16" s="202" t="s">
        <v>75</v>
      </c>
      <c r="Q16" s="3"/>
      <c r="R16" s="3"/>
      <c r="S16" s="26" t="s">
        <v>3</v>
      </c>
      <c r="T16" s="3" t="s">
        <v>3</v>
      </c>
      <c r="U16" s="21" t="s">
        <v>3</v>
      </c>
      <c r="V16" s="21" t="s">
        <v>3</v>
      </c>
      <c r="W16" s="3" t="s">
        <v>4</v>
      </c>
      <c r="X16" s="3"/>
      <c r="Y16" s="3" t="s">
        <v>3</v>
      </c>
      <c r="AB16" s="26" t="s">
        <v>3</v>
      </c>
      <c r="AC16" s="3" t="s">
        <v>3</v>
      </c>
      <c r="AD16" s="21" t="s">
        <v>3</v>
      </c>
      <c r="AE16" s="21" t="s">
        <v>3</v>
      </c>
      <c r="AF16" s="21" t="s">
        <v>4</v>
      </c>
      <c r="AG16" s="3" t="s">
        <v>3</v>
      </c>
      <c r="AI16" s="3" t="s">
        <v>7</v>
      </c>
      <c r="AJ16" s="3"/>
      <c r="AK16" s="3" t="s">
        <v>7</v>
      </c>
    </row>
    <row r="17" spans="1:37" x14ac:dyDescent="0.25">
      <c r="A17" s="3"/>
      <c r="C17" s="3"/>
      <c r="E17" s="3"/>
      <c r="F17" s="3"/>
      <c r="G17" s="26" t="s">
        <v>368</v>
      </c>
      <c r="H17" s="202"/>
      <c r="I17" s="202" t="s">
        <v>69</v>
      </c>
      <c r="J17" s="203" t="s">
        <v>70</v>
      </c>
      <c r="K17" s="204"/>
      <c r="L17" s="204"/>
      <c r="M17" s="205"/>
      <c r="N17" s="202" t="s">
        <v>69</v>
      </c>
      <c r="O17" s="202" t="s">
        <v>69</v>
      </c>
      <c r="P17" s="203" t="s">
        <v>70</v>
      </c>
      <c r="Q17" s="3"/>
      <c r="R17" s="3"/>
      <c r="S17" s="26"/>
      <c r="T17" s="43">
        <f>+INPUT!$D$6</f>
        <v>4.5650000000000003E-2</v>
      </c>
      <c r="U17" s="44">
        <f>+INPUT!$D$14</f>
        <v>12.38</v>
      </c>
      <c r="V17" s="44">
        <f>+INPUT!$D$16</f>
        <v>3.25</v>
      </c>
      <c r="W17" s="3"/>
      <c r="X17" s="3"/>
      <c r="Y17" s="43"/>
      <c r="AB17" s="26"/>
      <c r="AC17" s="43">
        <f>+INPUT!$D$27</f>
        <v>3.6810000000000002E-2</v>
      </c>
      <c r="AD17" s="44">
        <f>+INPUT!$D$35</f>
        <v>7.68</v>
      </c>
      <c r="AE17" s="44">
        <f>+INPUT!$D$37</f>
        <v>3.51</v>
      </c>
      <c r="AF17" s="21"/>
      <c r="AG17" s="43"/>
      <c r="AI17" s="3"/>
      <c r="AJ17" s="3"/>
      <c r="AK17" s="3"/>
    </row>
    <row r="18" spans="1:37" x14ac:dyDescent="0.25">
      <c r="A18" s="16"/>
      <c r="B18" s="16"/>
      <c r="C18" s="81"/>
      <c r="D18" s="16"/>
      <c r="E18" s="81"/>
      <c r="F18" s="81"/>
      <c r="G18" s="325"/>
      <c r="H18" s="325"/>
      <c r="I18" s="325" t="str">
        <f>("[ "&amp;H13&amp;" - "&amp;G13&amp;" ]")</f>
        <v>[ B - A ]</v>
      </c>
      <c r="J18" s="325" t="str">
        <f>("[ "&amp;I13&amp;" / "&amp;G13&amp;" ]")</f>
        <v>[ C / A ]</v>
      </c>
      <c r="K18" s="353"/>
      <c r="L18" s="353"/>
      <c r="M18" s="353"/>
      <c r="N18" s="325" t="str">
        <f>("["&amp;G13&amp;"+"&amp;$K$13&amp;"+"&amp;$L$13&amp;"+"&amp;$M$13&amp;"]")</f>
        <v>[A+E+F+G]</v>
      </c>
      <c r="O18" s="325" t="str">
        <f>("["&amp;H13&amp;"+"&amp;$K$13&amp;"+"&amp;$L$13&amp;"+"&amp;$M$13&amp;"]")</f>
        <v>[B+E+F+G]</v>
      </c>
      <c r="P18" s="325" t="str">
        <f>("[("&amp;O13&amp;" - "&amp;N13&amp;")/"&amp;N13&amp;"]")</f>
        <v>[(I - H)/H]</v>
      </c>
      <c r="Q18" s="3"/>
      <c r="R18" s="3"/>
      <c r="T18" s="26" t="s">
        <v>14</v>
      </c>
      <c r="U18" s="26" t="s">
        <v>19</v>
      </c>
      <c r="V18" s="26" t="s">
        <v>19</v>
      </c>
      <c r="W18" s="3"/>
      <c r="X18" s="3"/>
      <c r="Y18" s="26"/>
      <c r="AB18" s="26"/>
      <c r="AC18" s="26" t="s">
        <v>14</v>
      </c>
      <c r="AD18" s="26" t="s">
        <v>19</v>
      </c>
      <c r="AE18" s="26" t="s">
        <v>19</v>
      </c>
      <c r="AF18" s="21"/>
      <c r="AG18" s="26"/>
      <c r="AI18" s="3"/>
      <c r="AJ18" s="3"/>
      <c r="AK18" s="3"/>
    </row>
    <row r="19" spans="1:37" x14ac:dyDescent="0.25">
      <c r="C19" s="3"/>
      <c r="E19" s="3"/>
      <c r="F19" s="3"/>
      <c r="G19" s="3"/>
      <c r="H19" s="3"/>
      <c r="I19" s="202"/>
      <c r="J19" s="202"/>
      <c r="K19" s="3"/>
      <c r="L19" s="3"/>
      <c r="M19" s="3"/>
      <c r="N19" s="202"/>
      <c r="O19" s="3"/>
      <c r="P19" s="202"/>
      <c r="Q19" s="3"/>
      <c r="R19" s="3"/>
      <c r="U19" s="3"/>
      <c r="V19" s="3"/>
      <c r="W19" s="3"/>
      <c r="X19" s="3"/>
      <c r="AB19" s="26"/>
      <c r="AC19" s="3"/>
      <c r="AD19" s="21"/>
      <c r="AE19" s="21"/>
      <c r="AF19" s="21"/>
      <c r="AI19" s="3"/>
      <c r="AJ19" s="3"/>
      <c r="AK19" s="3"/>
    </row>
    <row r="20" spans="1:37" x14ac:dyDescent="0.25">
      <c r="A20" s="1">
        <v>2</v>
      </c>
      <c r="B20" s="1"/>
      <c r="C20" s="13">
        <v>0.3</v>
      </c>
      <c r="E20" s="1">
        <f>C20*($A$20*730)</f>
        <v>438</v>
      </c>
      <c r="F20" s="1"/>
      <c r="G20" s="29">
        <f>+W20</f>
        <v>62.0047</v>
      </c>
      <c r="H20" s="29">
        <f>+AF20</f>
        <v>60.502780000000001</v>
      </c>
      <c r="I20" s="29">
        <f>+H20-G20</f>
        <v>-1.5019199999999984</v>
      </c>
      <c r="J20" s="55">
        <f>ROUND(+I20/G20,4)</f>
        <v>-2.4199999999999999E-2</v>
      </c>
      <c r="K20" s="90">
        <f>ROUND($T$10*$E20,2)</f>
        <v>-1.64</v>
      </c>
      <c r="L20" s="90">
        <f>ROUND($T$11*$E20,2)</f>
        <v>1.44</v>
      </c>
      <c r="M20" s="90">
        <f>ROUND($T$12*$E20,2)</f>
        <v>3.7</v>
      </c>
      <c r="N20" s="29">
        <f>+G20+K20+L20+M20</f>
        <v>65.5047</v>
      </c>
      <c r="O20" s="29">
        <f>+H20+K20+L20+M20</f>
        <v>64.002780000000001</v>
      </c>
      <c r="P20" s="55">
        <f>(O20-N20)/N20</f>
        <v>-2.2928431089677511E-2</v>
      </c>
      <c r="Q20" s="1"/>
      <c r="S20" s="7">
        <f>+INPUT!$D$4</f>
        <v>10.75</v>
      </c>
      <c r="T20" s="20">
        <f>$T$17*E20</f>
        <v>19.994700000000002</v>
      </c>
      <c r="U20" s="20">
        <f>$U$17*$A$20</f>
        <v>24.76</v>
      </c>
      <c r="V20" s="20">
        <f>$V$17*$A$20</f>
        <v>6.5</v>
      </c>
      <c r="W20" s="25">
        <f>S20+T20+U20+V20</f>
        <v>62.0047</v>
      </c>
      <c r="X20" s="25"/>
      <c r="Y20" s="20"/>
      <c r="AB20" s="7">
        <f>INPUT!$D$25</f>
        <v>22</v>
      </c>
      <c r="AC20" s="20">
        <f>$AC$17*E20</f>
        <v>16.122780000000002</v>
      </c>
      <c r="AD20" s="20">
        <f>$A$20*$AD$17</f>
        <v>15.36</v>
      </c>
      <c r="AE20" s="20">
        <f>$A$20*$AE$17</f>
        <v>7.02</v>
      </c>
      <c r="AF20" s="25">
        <f>SUM(AB20:AE20)</f>
        <v>60.502780000000001</v>
      </c>
      <c r="AG20" s="20"/>
      <c r="AH20" s="17"/>
      <c r="AI20" s="7">
        <f>AF20-W20</f>
        <v>-1.5019199999999984</v>
      </c>
      <c r="AK20" s="18">
        <f>AF20/W20-1</f>
        <v>-2.4222679893620924E-2</v>
      </c>
    </row>
    <row r="21" spans="1:37" x14ac:dyDescent="0.25">
      <c r="C21" s="13">
        <v>0.5</v>
      </c>
      <c r="E21" s="1">
        <f>C21*($A$20*730)</f>
        <v>730</v>
      </c>
      <c r="F21" s="1"/>
      <c r="G21" s="29">
        <f t="shared" ref="G21:G38" si="0">+W21</f>
        <v>75.334500000000006</v>
      </c>
      <c r="H21" s="29">
        <f>+AF21</f>
        <v>71.251300000000001</v>
      </c>
      <c r="I21" s="29">
        <f>+H21-G21</f>
        <v>-4.083200000000005</v>
      </c>
      <c r="J21" s="55">
        <f>ROUND(+I21/G21,4)</f>
        <v>-5.4199999999999998E-2</v>
      </c>
      <c r="K21" s="90">
        <f>ROUND($T$10*$E21,2)</f>
        <v>-2.73</v>
      </c>
      <c r="L21" s="90">
        <f>ROUND($T$11*$E21,2)</f>
        <v>2.41</v>
      </c>
      <c r="M21" s="90">
        <f>ROUND($T$12*$E21,2)</f>
        <v>6.16</v>
      </c>
      <c r="N21" s="29">
        <f>+G21+K21+L21+M21</f>
        <v>81.174499999999995</v>
      </c>
      <c r="O21" s="29">
        <f>+H21+K21+L21+M21</f>
        <v>77.09129999999999</v>
      </c>
      <c r="P21" s="55">
        <f>(O21-N21)/N21</f>
        <v>-5.0301510942475841E-2</v>
      </c>
      <c r="Q21" s="1"/>
      <c r="S21" s="7">
        <f>$S$20</f>
        <v>10.75</v>
      </c>
      <c r="T21" s="20">
        <f>$T$17*E21</f>
        <v>33.3245</v>
      </c>
      <c r="U21" s="20">
        <f>$U$17*$A$20</f>
        <v>24.76</v>
      </c>
      <c r="V21" s="20">
        <f>$V$17*$A$20</f>
        <v>6.5</v>
      </c>
      <c r="W21" s="25">
        <f>S21+T21+U21+V21</f>
        <v>75.334500000000006</v>
      </c>
      <c r="X21" s="25"/>
      <c r="Y21" s="20"/>
      <c r="AB21" s="7">
        <f>$AB$20</f>
        <v>22</v>
      </c>
      <c r="AC21" s="20">
        <f>$AC$17*E21</f>
        <v>26.871300000000002</v>
      </c>
      <c r="AD21" s="20">
        <f>$A$20*$AD$17</f>
        <v>15.36</v>
      </c>
      <c r="AE21" s="20">
        <f>$A$20*$AE$17</f>
        <v>7.02</v>
      </c>
      <c r="AF21" s="25">
        <f>SUM(AB21:AE21)</f>
        <v>71.251300000000001</v>
      </c>
      <c r="AG21" s="20"/>
      <c r="AH21" s="17"/>
      <c r="AI21" s="7">
        <f>AF21-W21</f>
        <v>-4.083200000000005</v>
      </c>
      <c r="AK21" s="18">
        <f>AF21/W21-1</f>
        <v>-5.4200930516562829E-2</v>
      </c>
    </row>
    <row r="22" spans="1:37" x14ac:dyDescent="0.25">
      <c r="C22" s="13">
        <v>0.7</v>
      </c>
      <c r="E22" s="1">
        <f>C22*($A$20*730)</f>
        <v>1021.9999999999999</v>
      </c>
      <c r="F22" s="1"/>
      <c r="G22" s="29">
        <f t="shared" si="0"/>
        <v>88.664299999999997</v>
      </c>
      <c r="H22" s="29">
        <f>+AF22</f>
        <v>81.999819999999985</v>
      </c>
      <c r="I22" s="29">
        <f>+H22-G22</f>
        <v>-6.6644800000000117</v>
      </c>
      <c r="J22" s="55">
        <f>ROUND(+I22/G22,4)</f>
        <v>-7.5200000000000003E-2</v>
      </c>
      <c r="K22" s="90">
        <f>ROUND($T$10*$E22,2)</f>
        <v>-3.82</v>
      </c>
      <c r="L22" s="90">
        <f>ROUND($T$11*$E22,2)</f>
        <v>3.37</v>
      </c>
      <c r="M22" s="90">
        <f>ROUND($T$12*$E22,2)</f>
        <v>8.6300000000000008</v>
      </c>
      <c r="N22" s="29">
        <f>+G22+K22+L22+M22</f>
        <v>96.844300000000004</v>
      </c>
      <c r="O22" s="29">
        <f>+H22+K22+L22+M22</f>
        <v>90.179819999999992</v>
      </c>
      <c r="P22" s="55">
        <f>(O22-N22)/N22</f>
        <v>-6.8816440410019081E-2</v>
      </c>
      <c r="Q22" s="1"/>
      <c r="S22" s="7">
        <f>$S$20</f>
        <v>10.75</v>
      </c>
      <c r="T22" s="20">
        <f>$T$17*E22</f>
        <v>46.654299999999999</v>
      </c>
      <c r="U22" s="20">
        <f>$U$17*$A$20</f>
        <v>24.76</v>
      </c>
      <c r="V22" s="20">
        <f>$V$17*$A$20</f>
        <v>6.5</v>
      </c>
      <c r="W22" s="25">
        <f>S22+T22+U22+V22</f>
        <v>88.664299999999997</v>
      </c>
      <c r="X22" s="25"/>
      <c r="Y22" s="20"/>
      <c r="AB22" s="7">
        <f>$AB$20</f>
        <v>22</v>
      </c>
      <c r="AC22" s="20">
        <f>$AC$17*E22</f>
        <v>37.619819999999997</v>
      </c>
      <c r="AD22" s="20">
        <f>$A$20*$AD$17</f>
        <v>15.36</v>
      </c>
      <c r="AE22" s="20">
        <f>$A$20*$AE$17</f>
        <v>7.02</v>
      </c>
      <c r="AF22" s="25">
        <f>SUM(AB22:AE22)</f>
        <v>81.999819999999985</v>
      </c>
      <c r="AG22" s="20"/>
      <c r="AH22" s="17"/>
      <c r="AI22" s="7">
        <f>AF22-W22</f>
        <v>-6.6644800000000117</v>
      </c>
      <c r="AK22" s="18">
        <f>AF22/W22-1</f>
        <v>-7.5165314562907648E-2</v>
      </c>
    </row>
    <row r="23" spans="1:37" x14ac:dyDescent="0.25">
      <c r="C23" s="13"/>
      <c r="E23" s="1"/>
      <c r="F23" s="1"/>
      <c r="G23" s="29"/>
      <c r="H23" s="29"/>
      <c r="J23" s="5"/>
      <c r="K23" s="1"/>
      <c r="L23" s="1"/>
      <c r="M23" s="1"/>
      <c r="P23" s="55"/>
      <c r="Q23" s="1"/>
      <c r="S23" s="7"/>
      <c r="T23" s="20"/>
      <c r="U23" s="20"/>
      <c r="V23" s="20"/>
      <c r="W23" s="25"/>
      <c r="X23" s="25"/>
      <c r="AB23" s="7"/>
      <c r="AC23" s="20"/>
      <c r="AD23" s="20"/>
      <c r="AE23" s="20"/>
      <c r="AF23" s="25"/>
      <c r="AH23" s="17"/>
      <c r="AI23" s="6"/>
      <c r="AK23" s="6"/>
    </row>
    <row r="24" spans="1:37" x14ac:dyDescent="0.25">
      <c r="A24" s="1">
        <v>5</v>
      </c>
      <c r="B24" s="1"/>
      <c r="C24" s="13">
        <v>0.3</v>
      </c>
      <c r="E24" s="1">
        <f>C24*($A$24*730)</f>
        <v>1095</v>
      </c>
      <c r="F24" s="1"/>
      <c r="G24" s="29">
        <f t="shared" si="0"/>
        <v>138.88675000000001</v>
      </c>
      <c r="H24" s="29">
        <f>+AF24</f>
        <v>118.25695</v>
      </c>
      <c r="I24" s="29">
        <f>+H24-G24</f>
        <v>-20.629800000000003</v>
      </c>
      <c r="J24" s="55">
        <f>ROUND(+I24/G24,4)</f>
        <v>-0.14849999999999999</v>
      </c>
      <c r="K24" s="90">
        <f>ROUND($T$10*$E24,2)</f>
        <v>-4.09</v>
      </c>
      <c r="L24" s="90">
        <f>ROUND($T$11*$E24,2)</f>
        <v>3.61</v>
      </c>
      <c r="M24" s="90">
        <f>ROUND($T$12*$E24,2)</f>
        <v>9.24</v>
      </c>
      <c r="N24" s="29">
        <f>+G24+K24+L24+M24</f>
        <v>147.64675000000003</v>
      </c>
      <c r="O24" s="29">
        <f>+H24+K24+L24+M24</f>
        <v>127.01694999999999</v>
      </c>
      <c r="P24" s="55">
        <f>(O24-N24)/N24</f>
        <v>-0.13972403727139288</v>
      </c>
      <c r="Q24" s="1"/>
      <c r="S24" s="7">
        <f>$S$20</f>
        <v>10.75</v>
      </c>
      <c r="T24" s="20">
        <f>$T$17*E24</f>
        <v>49.986750000000001</v>
      </c>
      <c r="U24" s="20">
        <f>$U$17*$A$24</f>
        <v>61.900000000000006</v>
      </c>
      <c r="V24" s="20">
        <f>$V$17*$A$24</f>
        <v>16.25</v>
      </c>
      <c r="W24" s="25">
        <f>S24+T24+U24+V24</f>
        <v>138.88675000000001</v>
      </c>
      <c r="X24" s="25"/>
      <c r="Y24" s="20"/>
      <c r="AB24" s="7">
        <f>$AB$20</f>
        <v>22</v>
      </c>
      <c r="AC24" s="20">
        <f>$AC$17*E24</f>
        <v>40.306950000000001</v>
      </c>
      <c r="AD24" s="20">
        <f>$A$24*$AD$17</f>
        <v>38.4</v>
      </c>
      <c r="AE24" s="20">
        <f>$A$24*$AE$17</f>
        <v>17.549999999999997</v>
      </c>
      <c r="AF24" s="25">
        <f>SUM(AB24:AE24)</f>
        <v>118.25695</v>
      </c>
      <c r="AG24" s="20"/>
      <c r="AH24" s="17"/>
      <c r="AI24" s="7">
        <f>AF24-W24</f>
        <v>-20.629800000000003</v>
      </c>
      <c r="AJ24" s="10"/>
      <c r="AK24" s="18">
        <f>AF24/W24-1</f>
        <v>-0.14853684746745099</v>
      </c>
    </row>
    <row r="25" spans="1:37" x14ac:dyDescent="0.25">
      <c r="C25" s="13">
        <v>0.5</v>
      </c>
      <c r="E25" s="1">
        <f>C25*($A$24*730)</f>
        <v>1825</v>
      </c>
      <c r="F25" s="1"/>
      <c r="G25" s="29">
        <f t="shared" si="0"/>
        <v>172.21125000000001</v>
      </c>
      <c r="H25" s="29">
        <f>+AF25</f>
        <v>145.12824999999998</v>
      </c>
      <c r="I25" s="29">
        <f>+H25-G25</f>
        <v>-27.083000000000027</v>
      </c>
      <c r="J25" s="55">
        <f>ROUND(+I25/G25,4)</f>
        <v>-0.1573</v>
      </c>
      <c r="K25" s="90">
        <f>ROUND($T$10*$E25,2)</f>
        <v>-6.82</v>
      </c>
      <c r="L25" s="90">
        <f>ROUND($T$11*$E25,2)</f>
        <v>6.01</v>
      </c>
      <c r="M25" s="90">
        <f>ROUND($T$12*$E25,2)</f>
        <v>15.4</v>
      </c>
      <c r="N25" s="29">
        <f>+G25+K25+L25+M25</f>
        <v>186.80125000000001</v>
      </c>
      <c r="O25" s="29">
        <f>+H25+K25+L25+M25</f>
        <v>159.71824999999998</v>
      </c>
      <c r="P25" s="55">
        <f>(O25-N25)/N25</f>
        <v>-0.14498296986770712</v>
      </c>
      <c r="Q25" s="1"/>
      <c r="S25" s="7">
        <f>$S$20</f>
        <v>10.75</v>
      </c>
      <c r="T25" s="20">
        <f>$T$17*E25</f>
        <v>83.311250000000001</v>
      </c>
      <c r="U25" s="20">
        <f>$U$17*$A$24</f>
        <v>61.900000000000006</v>
      </c>
      <c r="V25" s="20">
        <f>$V$17*$A$24</f>
        <v>16.25</v>
      </c>
      <c r="W25" s="25">
        <f>S25+T25+U25+V25</f>
        <v>172.21125000000001</v>
      </c>
      <c r="X25" s="25"/>
      <c r="Y25" s="20"/>
      <c r="AB25" s="7">
        <f>$AB$20</f>
        <v>22</v>
      </c>
      <c r="AC25" s="20">
        <f>$AC$17*E25</f>
        <v>67.178250000000006</v>
      </c>
      <c r="AD25" s="20">
        <f>$A$24*$AD$17</f>
        <v>38.4</v>
      </c>
      <c r="AE25" s="20">
        <f>$A$24*$AE$17</f>
        <v>17.549999999999997</v>
      </c>
      <c r="AF25" s="25">
        <f>SUM(AB25:AE25)</f>
        <v>145.12824999999998</v>
      </c>
      <c r="AG25" s="20"/>
      <c r="AH25" s="17"/>
      <c r="AI25" s="7">
        <f>AF25-W25</f>
        <v>-27.083000000000027</v>
      </c>
      <c r="AJ25" s="10"/>
      <c r="AK25" s="18">
        <f>AF25/W25-1</f>
        <v>-0.15726614840784225</v>
      </c>
    </row>
    <row r="26" spans="1:37" x14ac:dyDescent="0.25">
      <c r="C26" s="13">
        <v>0.7</v>
      </c>
      <c r="E26" s="1">
        <f>C26*($A$24*730)</f>
        <v>2555</v>
      </c>
      <c r="F26" s="1"/>
      <c r="G26" s="29">
        <f t="shared" si="0"/>
        <v>205.53575000000001</v>
      </c>
      <c r="H26" s="29">
        <f>+AF26</f>
        <v>171.99955</v>
      </c>
      <c r="I26" s="29">
        <f>+H26-G26</f>
        <v>-33.536200000000008</v>
      </c>
      <c r="J26" s="55">
        <f>ROUND(+I26/G26,4)</f>
        <v>-0.16320000000000001</v>
      </c>
      <c r="K26" s="90">
        <f>ROUND($T$10*$E26,2)</f>
        <v>-9.5500000000000007</v>
      </c>
      <c r="L26" s="90">
        <f>ROUND($T$11*$E26,2)</f>
        <v>8.42</v>
      </c>
      <c r="M26" s="90">
        <f>ROUND($T$12*$E26,2)</f>
        <v>21.56</v>
      </c>
      <c r="N26" s="29">
        <f>+G26+K26+L26+M26</f>
        <v>225.96574999999999</v>
      </c>
      <c r="O26" s="29">
        <f>+H26+K26+L26+M26</f>
        <v>192.42954999999998</v>
      </c>
      <c r="P26" s="55">
        <f>(O26-N26)/N26</f>
        <v>-0.14841275724307781</v>
      </c>
      <c r="Q26" s="1"/>
      <c r="S26" s="7">
        <f>$S$20</f>
        <v>10.75</v>
      </c>
      <c r="T26" s="20">
        <f>$T$17*E26</f>
        <v>116.63575</v>
      </c>
      <c r="U26" s="20">
        <f>$U$17*$A$24</f>
        <v>61.900000000000006</v>
      </c>
      <c r="V26" s="20">
        <f>$V$17*$A$24</f>
        <v>16.25</v>
      </c>
      <c r="W26" s="25">
        <f>S26+T26+U26+V26</f>
        <v>205.53575000000001</v>
      </c>
      <c r="X26" s="25"/>
      <c r="Y26" s="20"/>
      <c r="AB26" s="7">
        <f>$AB$20</f>
        <v>22</v>
      </c>
      <c r="AC26" s="20">
        <f>$AC$17*E26</f>
        <v>94.049550000000011</v>
      </c>
      <c r="AD26" s="20">
        <f>$A$24*$AD$17</f>
        <v>38.4</v>
      </c>
      <c r="AE26" s="20">
        <f>$A$24*$AE$17</f>
        <v>17.549999999999997</v>
      </c>
      <c r="AF26" s="25">
        <f>SUM(AB26:AE26)</f>
        <v>171.99955</v>
      </c>
      <c r="AG26" s="20"/>
      <c r="AH26" s="17"/>
      <c r="AI26" s="7">
        <f>AF26-W26</f>
        <v>-33.536200000000008</v>
      </c>
      <c r="AK26" s="18">
        <f>AF26/W26-1</f>
        <v>-0.16316480223026897</v>
      </c>
    </row>
    <row r="27" spans="1:37" x14ac:dyDescent="0.25">
      <c r="C27" s="13"/>
      <c r="E27" s="1"/>
      <c r="F27" s="1"/>
      <c r="G27" s="29"/>
      <c r="H27" s="29"/>
      <c r="J27" s="5"/>
      <c r="K27" s="1"/>
      <c r="L27" s="1"/>
      <c r="M27" s="1"/>
      <c r="P27" s="55"/>
      <c r="Q27" s="1"/>
      <c r="S27" s="7"/>
      <c r="T27" s="20"/>
      <c r="U27" s="20"/>
      <c r="V27" s="20"/>
      <c r="W27" s="25"/>
      <c r="X27" s="25"/>
      <c r="AB27" s="7"/>
      <c r="AC27" s="20"/>
      <c r="AD27" s="20"/>
      <c r="AE27" s="20"/>
      <c r="AF27" s="25"/>
      <c r="AH27" s="17"/>
      <c r="AI27" s="6"/>
      <c r="AK27" s="6"/>
    </row>
    <row r="28" spans="1:37" x14ac:dyDescent="0.25">
      <c r="A28" s="1">
        <v>7</v>
      </c>
      <c r="B28" s="1"/>
      <c r="C28" s="13">
        <v>0.3</v>
      </c>
      <c r="E28" s="1">
        <f>C28*($A$28*730)</f>
        <v>1533</v>
      </c>
      <c r="F28" s="1"/>
      <c r="G28" s="29">
        <f t="shared" si="0"/>
        <v>190.14145000000002</v>
      </c>
      <c r="H28" s="29">
        <f>+AF28</f>
        <v>156.75972999999999</v>
      </c>
      <c r="I28" s="29">
        <f>+H28-G28</f>
        <v>-33.38172000000003</v>
      </c>
      <c r="J28" s="55">
        <f>ROUND(+I28/G28,4)</f>
        <v>-0.17560000000000001</v>
      </c>
      <c r="K28" s="90">
        <f>ROUND($T$10*$E28,2)</f>
        <v>-5.73</v>
      </c>
      <c r="L28" s="90">
        <f>ROUND($T$11*$E28,2)</f>
        <v>5.05</v>
      </c>
      <c r="M28" s="90">
        <f>ROUND($T$12*$E28,2)</f>
        <v>12.94</v>
      </c>
      <c r="N28" s="29">
        <f>+G28+K28+L28+M28</f>
        <v>202.40145000000004</v>
      </c>
      <c r="O28" s="29">
        <f>+H28+K28+L28+M28</f>
        <v>169.01973000000001</v>
      </c>
      <c r="P28" s="55">
        <f>(O28-N28)/N28</f>
        <v>-0.1649282650890101</v>
      </c>
      <c r="Q28" s="1"/>
      <c r="S28" s="7">
        <f>$S$20</f>
        <v>10.75</v>
      </c>
      <c r="T28" s="20">
        <f>$T$17*E28</f>
        <v>69.981450000000009</v>
      </c>
      <c r="U28" s="20">
        <f>$U$17*$A$28</f>
        <v>86.660000000000011</v>
      </c>
      <c r="V28" s="20">
        <f>$V$17*$A$28</f>
        <v>22.75</v>
      </c>
      <c r="W28" s="25">
        <f>S28+T28+U28+V28</f>
        <v>190.14145000000002</v>
      </c>
      <c r="X28" s="25"/>
      <c r="Y28" s="20"/>
      <c r="AB28" s="7">
        <f>$AB$20</f>
        <v>22</v>
      </c>
      <c r="AC28" s="20">
        <f>$AC$17*E28</f>
        <v>56.429730000000006</v>
      </c>
      <c r="AD28" s="20">
        <f>$A$28*$AD$17</f>
        <v>53.76</v>
      </c>
      <c r="AE28" s="20">
        <f>$A$28*$AE$17</f>
        <v>24.57</v>
      </c>
      <c r="AF28" s="25">
        <f>SUM(AB28:AE28)</f>
        <v>156.75972999999999</v>
      </c>
      <c r="AG28" s="20"/>
      <c r="AH28" s="17"/>
      <c r="AI28" s="7">
        <f>AF28-W28</f>
        <v>-33.38172000000003</v>
      </c>
      <c r="AK28" s="18">
        <f>AF28/W28-1</f>
        <v>-0.17556256145096205</v>
      </c>
    </row>
    <row r="29" spans="1:37" x14ac:dyDescent="0.25">
      <c r="C29" s="13">
        <v>0.5</v>
      </c>
      <c r="E29" s="1">
        <f>C29*($A$28*730)</f>
        <v>2555</v>
      </c>
      <c r="F29" s="1"/>
      <c r="G29" s="29">
        <f t="shared" si="0"/>
        <v>236.79575</v>
      </c>
      <c r="H29" s="29">
        <f>+AF29</f>
        <v>194.37954999999999</v>
      </c>
      <c r="I29" s="29">
        <f>+H29-G29</f>
        <v>-42.416200000000003</v>
      </c>
      <c r="J29" s="55">
        <f>ROUND(+I29/G29,4)</f>
        <v>-0.17910000000000001</v>
      </c>
      <c r="K29" s="90">
        <f>ROUND($T$10*$E29,2)</f>
        <v>-9.5500000000000007</v>
      </c>
      <c r="L29" s="90">
        <f>ROUND($T$11*$E29,2)</f>
        <v>8.42</v>
      </c>
      <c r="M29" s="90">
        <f>ROUND($T$12*$E29,2)</f>
        <v>21.56</v>
      </c>
      <c r="N29" s="29">
        <f>+G29+K29+L29+M29</f>
        <v>257.22574999999995</v>
      </c>
      <c r="O29" s="29">
        <f>+H29+K29+L29+M29</f>
        <v>214.80954999999997</v>
      </c>
      <c r="P29" s="55">
        <f>(O29-N29)/N29</f>
        <v>-0.16489873195043647</v>
      </c>
      <c r="Q29" s="1"/>
      <c r="S29" s="7">
        <f>$S$20</f>
        <v>10.75</v>
      </c>
      <c r="T29" s="20">
        <f>$T$17*E29</f>
        <v>116.63575</v>
      </c>
      <c r="U29" s="20">
        <f>$U$17*$A$28</f>
        <v>86.660000000000011</v>
      </c>
      <c r="V29" s="20">
        <f>$V$17*$A$28</f>
        <v>22.75</v>
      </c>
      <c r="W29" s="25">
        <f>S29+T29+U29+V29</f>
        <v>236.79575</v>
      </c>
      <c r="X29" s="25"/>
      <c r="Y29" s="20"/>
      <c r="AB29" s="7">
        <f>$AB$20</f>
        <v>22</v>
      </c>
      <c r="AC29" s="20">
        <f>$AC$17*E29</f>
        <v>94.049550000000011</v>
      </c>
      <c r="AD29" s="20">
        <f>$A$28*$AD$17</f>
        <v>53.76</v>
      </c>
      <c r="AE29" s="20">
        <f>$A$28*$AE$17</f>
        <v>24.57</v>
      </c>
      <c r="AF29" s="25">
        <f>SUM(AB29:AE29)</f>
        <v>194.37954999999999</v>
      </c>
      <c r="AG29" s="20"/>
      <c r="AH29" s="17"/>
      <c r="AI29" s="7">
        <f>AF29-W29</f>
        <v>-42.416200000000003</v>
      </c>
      <c r="AK29" s="18">
        <f>AF29/W29-1</f>
        <v>-0.17912568109858396</v>
      </c>
    </row>
    <row r="30" spans="1:37" x14ac:dyDescent="0.25">
      <c r="C30" s="13">
        <v>0.7</v>
      </c>
      <c r="E30" s="1">
        <f>C30*($A$28*730)</f>
        <v>3577</v>
      </c>
      <c r="F30" s="1"/>
      <c r="G30" s="29">
        <f t="shared" si="0"/>
        <v>283.45005000000003</v>
      </c>
      <c r="H30" s="29">
        <f>+AF30</f>
        <v>231.99937</v>
      </c>
      <c r="I30" s="29">
        <f>+H30-G30</f>
        <v>-51.450680000000034</v>
      </c>
      <c r="J30" s="55">
        <f>ROUND(+I30/G30,4)</f>
        <v>-0.18149999999999999</v>
      </c>
      <c r="K30" s="90">
        <f>ROUND($T$10*$E30,2)</f>
        <v>-13.36</v>
      </c>
      <c r="L30" s="90">
        <f>ROUND($T$11*$E30,2)</f>
        <v>11.78</v>
      </c>
      <c r="M30" s="90">
        <f>ROUND($T$12*$E30,2)</f>
        <v>30.19</v>
      </c>
      <c r="N30" s="29">
        <f>+G30+K30+L30+M30</f>
        <v>312.06004999999999</v>
      </c>
      <c r="O30" s="29">
        <f>+H30+K30+L30+M30</f>
        <v>260.60937000000001</v>
      </c>
      <c r="P30" s="55">
        <f>(O30-N30)/N30</f>
        <v>-0.16487429262412789</v>
      </c>
      <c r="Q30" s="1"/>
      <c r="S30" s="7">
        <f>$S$20</f>
        <v>10.75</v>
      </c>
      <c r="T30" s="20">
        <f>$T$17*E30</f>
        <v>163.29005000000001</v>
      </c>
      <c r="U30" s="20">
        <f>$U$17*$A$28</f>
        <v>86.660000000000011</v>
      </c>
      <c r="V30" s="20">
        <f>$V$17*$A$28</f>
        <v>22.75</v>
      </c>
      <c r="W30" s="25">
        <f>S30+T30+U30+V30</f>
        <v>283.45005000000003</v>
      </c>
      <c r="X30" s="25"/>
      <c r="Y30" s="20"/>
      <c r="AB30" s="7">
        <f>$AB$20</f>
        <v>22</v>
      </c>
      <c r="AC30" s="20">
        <f>$AC$17*E30</f>
        <v>131.66937000000001</v>
      </c>
      <c r="AD30" s="20">
        <f>$A$28*$AD$17</f>
        <v>53.76</v>
      </c>
      <c r="AE30" s="20">
        <f>$A$28*$AE$17</f>
        <v>24.57</v>
      </c>
      <c r="AF30" s="25">
        <f>SUM(AB30:AE30)</f>
        <v>231.99937</v>
      </c>
      <c r="AG30" s="20"/>
      <c r="AH30" s="17"/>
      <c r="AI30" s="7">
        <f>AF30-W30</f>
        <v>-51.450680000000034</v>
      </c>
      <c r="AK30" s="18">
        <f>AF30/W30-1</f>
        <v>-0.18151586143660947</v>
      </c>
    </row>
    <row r="31" spans="1:37" x14ac:dyDescent="0.25">
      <c r="C31" s="13"/>
      <c r="E31" s="1"/>
      <c r="F31" s="1"/>
      <c r="G31" s="29"/>
      <c r="H31" s="29"/>
      <c r="J31" s="5"/>
      <c r="K31" s="1"/>
      <c r="L31" s="1"/>
      <c r="M31" s="1"/>
      <c r="P31" s="55"/>
      <c r="Q31" s="1"/>
      <c r="S31" s="7"/>
      <c r="T31" s="20"/>
      <c r="U31" s="20"/>
      <c r="V31" s="20"/>
      <c r="W31" s="25"/>
      <c r="X31" s="25"/>
      <c r="AB31" s="7"/>
      <c r="AC31" s="20"/>
      <c r="AD31" s="20"/>
      <c r="AE31" s="20"/>
      <c r="AF31" s="25"/>
      <c r="AH31" s="17"/>
      <c r="AI31" s="6"/>
      <c r="AK31" s="6"/>
    </row>
    <row r="32" spans="1:37" x14ac:dyDescent="0.25">
      <c r="A32" s="1">
        <v>10</v>
      </c>
      <c r="B32" s="1"/>
      <c r="C32" s="13">
        <v>0.3</v>
      </c>
      <c r="E32" s="1">
        <f>C32*($A$32*730)</f>
        <v>2190</v>
      </c>
      <c r="F32" s="1"/>
      <c r="G32" s="29">
        <f t="shared" si="0"/>
        <v>267.02350000000001</v>
      </c>
      <c r="H32" s="29">
        <f>+AF32</f>
        <v>214.51390000000001</v>
      </c>
      <c r="I32" s="29">
        <f>+H32-G32</f>
        <v>-52.509600000000006</v>
      </c>
      <c r="J32" s="55">
        <f>ROUND(+I32/G32,4)</f>
        <v>-0.1966</v>
      </c>
      <c r="K32" s="90">
        <f>ROUND($T$10*$E32,2)</f>
        <v>-8.18</v>
      </c>
      <c r="L32" s="90">
        <f>ROUND($T$11*$E32,2)</f>
        <v>7.22</v>
      </c>
      <c r="M32" s="90">
        <f>ROUND($T$12*$E32,2)</f>
        <v>18.48</v>
      </c>
      <c r="N32" s="29">
        <f>+G32+K32+L32+M32</f>
        <v>284.54350000000005</v>
      </c>
      <c r="O32" s="29">
        <f>+H32+K32+L32+M32</f>
        <v>232.03389999999999</v>
      </c>
      <c r="P32" s="55">
        <f>(O32-N32)/N32</f>
        <v>-0.18453979795707881</v>
      </c>
      <c r="Q32" s="1"/>
      <c r="S32" s="7">
        <f>$S$20</f>
        <v>10.75</v>
      </c>
      <c r="T32" s="20">
        <f>$T$17*E32</f>
        <v>99.973500000000001</v>
      </c>
      <c r="U32" s="20">
        <f>$U$17*$A$32</f>
        <v>123.80000000000001</v>
      </c>
      <c r="V32" s="20">
        <f>$V$17*$A$32</f>
        <v>32.5</v>
      </c>
      <c r="W32" s="25">
        <f>S32+T32+U32+V32</f>
        <v>267.02350000000001</v>
      </c>
      <c r="X32" s="25"/>
      <c r="Y32" s="20"/>
      <c r="AB32" s="7">
        <f>$AB$20</f>
        <v>22</v>
      </c>
      <c r="AC32" s="20">
        <f>$AC$17*E32</f>
        <v>80.613900000000001</v>
      </c>
      <c r="AD32" s="20">
        <f>$A$32*$AD$17</f>
        <v>76.8</v>
      </c>
      <c r="AE32" s="20">
        <f>$A$32*$AE$17</f>
        <v>35.099999999999994</v>
      </c>
      <c r="AF32" s="25">
        <f>SUM(AB32:AE32)</f>
        <v>214.51390000000001</v>
      </c>
      <c r="AG32" s="20"/>
      <c r="AH32" s="17"/>
      <c r="AI32" s="7">
        <f>AF32-W32</f>
        <v>-52.509600000000006</v>
      </c>
      <c r="AK32" s="18">
        <f>AF32/W32-1</f>
        <v>-0.19664786058155936</v>
      </c>
    </row>
    <row r="33" spans="1:37" x14ac:dyDescent="0.25">
      <c r="C33" s="13">
        <v>0.5</v>
      </c>
      <c r="E33" s="1">
        <f>C33*($A$32*730)</f>
        <v>3650</v>
      </c>
      <c r="F33" s="1"/>
      <c r="G33" s="29">
        <f t="shared" si="0"/>
        <v>333.67250000000001</v>
      </c>
      <c r="H33" s="29">
        <f>+AF33</f>
        <v>268.25649999999996</v>
      </c>
      <c r="I33" s="29">
        <f>+H33-G33</f>
        <v>-65.416000000000054</v>
      </c>
      <c r="J33" s="55">
        <f>ROUND(+I33/G33,4)</f>
        <v>-0.19600000000000001</v>
      </c>
      <c r="K33" s="90">
        <f>ROUND($T$10*$E33,2)</f>
        <v>-13.64</v>
      </c>
      <c r="L33" s="90">
        <f>ROUND($T$11*$E33,2)</f>
        <v>12.03</v>
      </c>
      <c r="M33" s="90">
        <f>ROUND($T$12*$E33,2)</f>
        <v>30.81</v>
      </c>
      <c r="N33" s="29">
        <f>+G33+K33+L33+M33</f>
        <v>362.8725</v>
      </c>
      <c r="O33" s="29">
        <f>+H33+K33+L33+M33</f>
        <v>297.45649999999995</v>
      </c>
      <c r="P33" s="55">
        <f>(O33-N33)/N33</f>
        <v>-0.18027268530957857</v>
      </c>
      <c r="Q33" s="1"/>
      <c r="S33" s="7">
        <f>$S$20</f>
        <v>10.75</v>
      </c>
      <c r="T33" s="20">
        <f>$T$17*E33</f>
        <v>166.6225</v>
      </c>
      <c r="U33" s="20">
        <f>$U$17*$A$32</f>
        <v>123.80000000000001</v>
      </c>
      <c r="V33" s="20">
        <f>$V$17*$A$32</f>
        <v>32.5</v>
      </c>
      <c r="W33" s="25">
        <f>S33+T33+U33+V33</f>
        <v>333.67250000000001</v>
      </c>
      <c r="X33" s="25"/>
      <c r="Y33" s="20"/>
      <c r="AB33" s="7">
        <f>$AB$20</f>
        <v>22</v>
      </c>
      <c r="AC33" s="20">
        <f>$AC$17*E33</f>
        <v>134.35650000000001</v>
      </c>
      <c r="AD33" s="20">
        <f>$A$32*$AD$17</f>
        <v>76.8</v>
      </c>
      <c r="AE33" s="20">
        <f>$A$32*$AE$17</f>
        <v>35.099999999999994</v>
      </c>
      <c r="AF33" s="25">
        <f>SUM(AB33:AE33)</f>
        <v>268.25649999999996</v>
      </c>
      <c r="AG33" s="20"/>
      <c r="AH33" s="17"/>
      <c r="AI33" s="7">
        <f>AF33-W33</f>
        <v>-65.416000000000054</v>
      </c>
      <c r="AK33" s="18">
        <f>AF33/W33-1</f>
        <v>-0.1960485206302589</v>
      </c>
    </row>
    <row r="34" spans="1:37" x14ac:dyDescent="0.25">
      <c r="C34" s="13">
        <v>0.7</v>
      </c>
      <c r="E34" s="1">
        <f>C34*($A$32*730)</f>
        <v>5110</v>
      </c>
      <c r="F34" s="1"/>
      <c r="G34" s="29">
        <f t="shared" si="0"/>
        <v>400.32150000000001</v>
      </c>
      <c r="H34" s="29">
        <f>+AF34</f>
        <v>321.9991</v>
      </c>
      <c r="I34" s="29">
        <f>+H34-G34</f>
        <v>-78.322400000000016</v>
      </c>
      <c r="J34" s="55">
        <f>ROUND(+I34/G34,4)</f>
        <v>-0.1956</v>
      </c>
      <c r="K34" s="90">
        <f>ROUND($T$10*$E34,2)</f>
        <v>-19.09</v>
      </c>
      <c r="L34" s="90">
        <f>ROUND($T$11*$E34,2)</f>
        <v>16.84</v>
      </c>
      <c r="M34" s="90">
        <f>ROUND($T$12*$E34,2)</f>
        <v>43.13</v>
      </c>
      <c r="N34" s="29">
        <f>+G34+K34+L34+M34</f>
        <v>441.20150000000001</v>
      </c>
      <c r="O34" s="29">
        <f>+H34+K34+L34+M34</f>
        <v>362.87909999999999</v>
      </c>
      <c r="P34" s="55">
        <f>(O34-N34)/N34</f>
        <v>-0.17752070199217368</v>
      </c>
      <c r="Q34" s="1"/>
      <c r="S34" s="7">
        <f>$S$20</f>
        <v>10.75</v>
      </c>
      <c r="T34" s="20">
        <f>$T$17*E34</f>
        <v>233.2715</v>
      </c>
      <c r="U34" s="20">
        <f>$U$17*$A$32</f>
        <v>123.80000000000001</v>
      </c>
      <c r="V34" s="20">
        <f>$V$17*$A$32</f>
        <v>32.5</v>
      </c>
      <c r="W34" s="25">
        <f>S34+T34+U34+V34</f>
        <v>400.32150000000001</v>
      </c>
      <c r="X34" s="25"/>
      <c r="Y34" s="20"/>
      <c r="AB34" s="7">
        <f>$AB$20</f>
        <v>22</v>
      </c>
      <c r="AC34" s="20">
        <f>$AC$17*E34</f>
        <v>188.09910000000002</v>
      </c>
      <c r="AD34" s="20">
        <f>$A$32*$AD$17</f>
        <v>76.8</v>
      </c>
      <c r="AE34" s="20">
        <f>$A$32*$AE$17</f>
        <v>35.099999999999994</v>
      </c>
      <c r="AF34" s="25">
        <f>SUM(AB34:AE34)</f>
        <v>321.9991</v>
      </c>
      <c r="AG34" s="20"/>
      <c r="AH34" s="17"/>
      <c r="AI34" s="7">
        <f>AF34-W34</f>
        <v>-78.322400000000016</v>
      </c>
      <c r="AK34" s="18">
        <f>AF34/W34-1</f>
        <v>-0.19564874731934212</v>
      </c>
    </row>
    <row r="35" spans="1:37" x14ac:dyDescent="0.25">
      <c r="C35" s="13"/>
      <c r="E35" s="1"/>
      <c r="F35" s="1"/>
      <c r="G35" s="29"/>
      <c r="H35" s="29"/>
      <c r="J35" s="5"/>
      <c r="K35" s="1"/>
      <c r="L35" s="1"/>
      <c r="M35" s="1"/>
      <c r="P35" s="55"/>
      <c r="Q35" s="1"/>
      <c r="S35" s="7"/>
      <c r="T35" s="20"/>
      <c r="U35" s="20"/>
      <c r="V35" s="20"/>
      <c r="W35" s="25"/>
      <c r="X35" s="25"/>
      <c r="AB35" s="7"/>
      <c r="AC35" s="20"/>
      <c r="AD35" s="20"/>
      <c r="AE35" s="20"/>
      <c r="AF35" s="25"/>
      <c r="AH35" s="17"/>
      <c r="AI35" s="6"/>
      <c r="AK35" s="6"/>
    </row>
    <row r="36" spans="1:37" x14ac:dyDescent="0.25">
      <c r="A36" s="1">
        <v>15</v>
      </c>
      <c r="B36" s="1"/>
      <c r="C36" s="13">
        <v>0.3</v>
      </c>
      <c r="E36" s="1">
        <f>C36*($A$36*730)</f>
        <v>3285</v>
      </c>
      <c r="F36" s="1"/>
      <c r="G36" s="29">
        <f t="shared" si="0"/>
        <v>395.16025000000002</v>
      </c>
      <c r="H36" s="29">
        <f>+AF36</f>
        <v>310.77085</v>
      </c>
      <c r="I36" s="29">
        <f>+H36-G36</f>
        <v>-84.389400000000023</v>
      </c>
      <c r="J36" s="55">
        <f>ROUND(+I36/G36,4)</f>
        <v>-0.21360000000000001</v>
      </c>
      <c r="K36" s="90">
        <f>ROUND($T$10*$E36,2)</f>
        <v>-12.27</v>
      </c>
      <c r="L36" s="90">
        <f>ROUND($T$11*$E36,2)</f>
        <v>10.82</v>
      </c>
      <c r="M36" s="90">
        <f>ROUND($T$12*$E36,2)</f>
        <v>27.73</v>
      </c>
      <c r="N36" s="29">
        <f>+G36+K36+L36+M36</f>
        <v>421.44025000000005</v>
      </c>
      <c r="O36" s="29">
        <f>+H36+K36+L36+M36</f>
        <v>337.05085000000003</v>
      </c>
      <c r="P36" s="55">
        <f>(O36-N36)/N36</f>
        <v>-0.20024048486113991</v>
      </c>
      <c r="Q36" s="1"/>
      <c r="S36" s="7">
        <f>$S$20</f>
        <v>10.75</v>
      </c>
      <c r="T36" s="20">
        <f>$T$17*E36</f>
        <v>149.96025</v>
      </c>
      <c r="U36" s="20">
        <f>$U$17*$A$36</f>
        <v>185.70000000000002</v>
      </c>
      <c r="V36" s="20">
        <f>$V$17*$A$36</f>
        <v>48.75</v>
      </c>
      <c r="W36" s="25">
        <f>S36+T36+U36+V36</f>
        <v>395.16025000000002</v>
      </c>
      <c r="X36" s="25"/>
      <c r="Y36" s="20"/>
      <c r="AB36" s="7">
        <f>$AB$20</f>
        <v>22</v>
      </c>
      <c r="AC36" s="20">
        <f>$AC$17*E36</f>
        <v>120.92085</v>
      </c>
      <c r="AD36" s="20">
        <f>$A$36*$AD$17</f>
        <v>115.19999999999999</v>
      </c>
      <c r="AE36" s="20">
        <f>$A$36*$AE$17</f>
        <v>52.65</v>
      </c>
      <c r="AF36" s="25">
        <f>SUM(AB36:AE36)</f>
        <v>310.77085</v>
      </c>
      <c r="AG36" s="20"/>
      <c r="AH36" s="17"/>
      <c r="AI36" s="7">
        <f>AF36-W36</f>
        <v>-84.389400000000023</v>
      </c>
      <c r="AK36" s="18">
        <f>AF36/W36-1</f>
        <v>-0.2135574112021642</v>
      </c>
    </row>
    <row r="37" spans="1:37" x14ac:dyDescent="0.25">
      <c r="C37" s="13">
        <v>0.5</v>
      </c>
      <c r="E37" s="1">
        <f>C37*($A$36*730)</f>
        <v>5475</v>
      </c>
      <c r="F37" s="1"/>
      <c r="G37" s="29">
        <f t="shared" si="0"/>
        <v>495.13375000000008</v>
      </c>
      <c r="H37" s="29">
        <f>+AF37</f>
        <v>391.38474999999994</v>
      </c>
      <c r="I37" s="29">
        <f>+H37-G37</f>
        <v>-103.74900000000014</v>
      </c>
      <c r="J37" s="55">
        <f>ROUND(+I37/G37,4)</f>
        <v>-0.20949999999999999</v>
      </c>
      <c r="K37" s="90">
        <f>ROUND($T$10*$E37,2)</f>
        <v>-20.46</v>
      </c>
      <c r="L37" s="90">
        <f>ROUND($T$11*$E37,2)</f>
        <v>18.04</v>
      </c>
      <c r="M37" s="90">
        <f>ROUND($T$12*$E37,2)</f>
        <v>46.21</v>
      </c>
      <c r="N37" s="29">
        <f>+G37+K37+L37+M37</f>
        <v>538.92375000000015</v>
      </c>
      <c r="O37" s="29">
        <f>+H37+K37+L37+M37</f>
        <v>435.17474999999996</v>
      </c>
      <c r="P37" s="55">
        <f>(O37-N37)/N37</f>
        <v>-0.19251146382025316</v>
      </c>
      <c r="Q37" s="1"/>
      <c r="S37" s="7">
        <f>$S$20</f>
        <v>10.75</v>
      </c>
      <c r="T37" s="20">
        <f>$T$17*E37</f>
        <v>249.93375</v>
      </c>
      <c r="U37" s="20">
        <f>$U$17*$A$36</f>
        <v>185.70000000000002</v>
      </c>
      <c r="V37" s="20">
        <f>$V$17*$A$36</f>
        <v>48.75</v>
      </c>
      <c r="W37" s="25">
        <f>S37+T37+U37+V37</f>
        <v>495.13375000000008</v>
      </c>
      <c r="X37" s="25"/>
      <c r="Y37" s="20"/>
      <c r="AB37" s="7">
        <f>$AB$20</f>
        <v>22</v>
      </c>
      <c r="AC37" s="20">
        <f>$AC$17*E37</f>
        <v>201.53475</v>
      </c>
      <c r="AD37" s="20">
        <f>$A$36*$AD$17</f>
        <v>115.19999999999999</v>
      </c>
      <c r="AE37" s="20">
        <f>$A$36*$AE$17</f>
        <v>52.65</v>
      </c>
      <c r="AF37" s="25">
        <f>SUM(AB37:AE37)</f>
        <v>391.38474999999994</v>
      </c>
      <c r="AG37" s="20"/>
      <c r="AH37" s="17"/>
      <c r="AI37" s="7">
        <f>AF37-W37</f>
        <v>-103.74900000000014</v>
      </c>
      <c r="AK37" s="18">
        <f>AF37/W37-1</f>
        <v>-0.20953732198623121</v>
      </c>
    </row>
    <row r="38" spans="1:37" x14ac:dyDescent="0.25">
      <c r="C38" s="13">
        <v>0.7</v>
      </c>
      <c r="E38" s="1">
        <f>C38*($A$36*730)</f>
        <v>7664.9999999999991</v>
      </c>
      <c r="F38" s="1"/>
      <c r="G38" s="29">
        <f t="shared" si="0"/>
        <v>595.10725000000002</v>
      </c>
      <c r="H38" s="29">
        <f>+AF38</f>
        <v>471.99864999999994</v>
      </c>
      <c r="I38" s="29">
        <f>+H38-G38</f>
        <v>-123.10860000000008</v>
      </c>
      <c r="J38" s="55">
        <f>ROUND(+I38/G38,4)</f>
        <v>-0.2069</v>
      </c>
      <c r="K38" s="90">
        <f>ROUND($T$10*$E38,2)</f>
        <v>-28.64</v>
      </c>
      <c r="L38" s="90">
        <f>ROUND($T$11*$E38,2)</f>
        <v>25.25</v>
      </c>
      <c r="M38" s="90">
        <f>ROUND($T$12*$E38,2)</f>
        <v>64.69</v>
      </c>
      <c r="N38" s="29">
        <f>+G38+K38+L38+M38</f>
        <v>656.40724999999998</v>
      </c>
      <c r="O38" s="29">
        <f>+H38+K38+L38+M38</f>
        <v>533.29864999999995</v>
      </c>
      <c r="P38" s="55">
        <f>(O38-N38)/N38</f>
        <v>-0.18754911680210729</v>
      </c>
      <c r="Q38" s="1"/>
      <c r="S38" s="7">
        <f>$S$20</f>
        <v>10.75</v>
      </c>
      <c r="T38" s="20">
        <f>$T$17*E38</f>
        <v>349.90724999999998</v>
      </c>
      <c r="U38" s="20">
        <f>$U$17*$A$36</f>
        <v>185.70000000000002</v>
      </c>
      <c r="V38" s="20">
        <f>$V$17*$A$36</f>
        <v>48.75</v>
      </c>
      <c r="W38" s="25">
        <f>S38+T38+U38+V38</f>
        <v>595.10725000000002</v>
      </c>
      <c r="X38" s="25"/>
      <c r="Y38" s="20"/>
      <c r="AB38" s="7">
        <f>$AB$20</f>
        <v>22</v>
      </c>
      <c r="AC38" s="20">
        <f>$AC$17*E38</f>
        <v>282.14864999999998</v>
      </c>
      <c r="AD38" s="20">
        <f>$A$36*$AD$17</f>
        <v>115.19999999999999</v>
      </c>
      <c r="AE38" s="20">
        <f>$A$36*$AE$17</f>
        <v>52.65</v>
      </c>
      <c r="AF38" s="25">
        <f>SUM(AB38:AE38)</f>
        <v>471.99864999999994</v>
      </c>
      <c r="AG38" s="20"/>
      <c r="AH38" s="17"/>
      <c r="AI38" s="7">
        <f>AF38-W38</f>
        <v>-123.10860000000008</v>
      </c>
      <c r="AK38" s="18">
        <f>AF38/W38-1</f>
        <v>-0.20686792170654966</v>
      </c>
    </row>
    <row r="39" spans="1:37" x14ac:dyDescent="0.25">
      <c r="T39" s="20"/>
      <c r="U39" s="20"/>
      <c r="V39" s="20"/>
      <c r="W39" s="20"/>
      <c r="X39" s="20"/>
    </row>
    <row r="40" spans="1:37" x14ac:dyDescent="0.25">
      <c r="A40" s="17" t="s">
        <v>336</v>
      </c>
      <c r="T40" s="20"/>
      <c r="U40" s="20"/>
      <c r="V40" s="20"/>
      <c r="W40" s="20"/>
      <c r="X40" s="20"/>
    </row>
    <row r="41" spans="1:37" x14ac:dyDescent="0.25">
      <c r="A41" s="208" t="str">
        <f>("Average usage = "&amp;INPUT!D19&amp;" kWh per month")</f>
        <v>Average usage = 0 kWh per month</v>
      </c>
      <c r="G41" s="47" t="s">
        <v>367</v>
      </c>
      <c r="T41" s="20"/>
      <c r="U41" s="20"/>
      <c r="V41" s="20"/>
      <c r="W41" s="20"/>
      <c r="X41" s="20"/>
    </row>
    <row r="42" spans="1:37" x14ac:dyDescent="0.25">
      <c r="A42" s="210" t="s">
        <v>337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D42" s="31"/>
      <c r="AE42" s="20"/>
      <c r="AF42" s="20"/>
      <c r="AG42" s="20"/>
      <c r="AH42" s="20"/>
      <c r="AI42" s="6"/>
    </row>
    <row r="43" spans="1:37" x14ac:dyDescent="0.25">
      <c r="A43" s="209" t="str">
        <f>+'Rate Case Constants'!C26</f>
        <v>Calculations may vary from other schedules due to rounding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D43" s="9"/>
    </row>
    <row r="44" spans="1:37" x14ac:dyDescent="0.25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Z44" s="3"/>
      <c r="AA44" s="2"/>
      <c r="AB44" s="3"/>
      <c r="AD44" s="3"/>
    </row>
    <row r="45" spans="1:37" x14ac:dyDescent="0.25">
      <c r="AD45" s="9"/>
    </row>
    <row r="46" spans="1:37" x14ac:dyDescent="0.25">
      <c r="S46" s="3"/>
      <c r="V46" s="3"/>
      <c r="Z46" s="3"/>
      <c r="AD46" s="9"/>
    </row>
    <row r="47" spans="1:37" x14ac:dyDescent="0.25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Z47" s="3"/>
      <c r="AA47" s="2"/>
      <c r="AB47" s="3"/>
      <c r="AD47" s="3"/>
    </row>
    <row r="48" spans="1:37" x14ac:dyDescent="0.2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Z48" s="3"/>
      <c r="AA48" s="2"/>
      <c r="AB48" s="3"/>
      <c r="AD48" s="3"/>
    </row>
    <row r="49" spans="5:30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</row>
    <row r="50" spans="5:30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V50" s="12"/>
      <c r="W50" s="12"/>
      <c r="X50" s="12"/>
      <c r="Z50" s="6"/>
      <c r="AB50" s="6"/>
      <c r="AD50" s="9"/>
    </row>
    <row r="51" spans="5:30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V51" s="12"/>
      <c r="W51" s="12"/>
      <c r="X51" s="12"/>
      <c r="Z51" s="6"/>
      <c r="AB51" s="6"/>
      <c r="AD51" s="9"/>
    </row>
    <row r="52" spans="5:30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V52" s="12"/>
      <c r="W52" s="12"/>
      <c r="X52" s="12"/>
      <c r="Z52" s="6"/>
      <c r="AB52" s="6"/>
      <c r="AD52" s="9"/>
    </row>
    <row r="53" spans="5:30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V53" s="12"/>
      <c r="W53" s="12"/>
      <c r="X53" s="12"/>
      <c r="Z53" s="6"/>
      <c r="AA53" s="10"/>
      <c r="AB53" s="6"/>
      <c r="AC53" s="10"/>
      <c r="AD53" s="9"/>
    </row>
    <row r="54" spans="5:30" ht="6.75" customHeight="1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V54" s="12"/>
      <c r="W54" s="12"/>
      <c r="X54" s="12"/>
      <c r="Z54" s="6"/>
      <c r="AA54" s="10"/>
      <c r="AB54" s="6"/>
      <c r="AC54" s="10"/>
      <c r="AD54" s="9"/>
    </row>
    <row r="55" spans="5:30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V55" s="12"/>
      <c r="W55" s="12"/>
      <c r="X55" s="12"/>
      <c r="Z55" s="6"/>
      <c r="AB55" s="6"/>
      <c r="AD55" s="9"/>
    </row>
    <row r="56" spans="5:30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V56" s="12"/>
      <c r="W56" s="12"/>
      <c r="X56" s="12"/>
      <c r="Z56" s="6"/>
      <c r="AB56" s="6"/>
      <c r="AD56" s="9"/>
    </row>
    <row r="57" spans="5:30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V57" s="12"/>
      <c r="W57" s="12"/>
      <c r="X57" s="12"/>
      <c r="Z57" s="6"/>
      <c r="AB57" s="6"/>
      <c r="AD57" s="9"/>
    </row>
    <row r="58" spans="5:30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V58" s="12"/>
      <c r="W58" s="12"/>
      <c r="X58" s="12"/>
      <c r="Z58" s="6"/>
      <c r="AB58" s="6"/>
      <c r="AD58" s="9"/>
    </row>
    <row r="59" spans="5:30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V59" s="12"/>
      <c r="W59" s="12"/>
      <c r="X59" s="12"/>
      <c r="Z59" s="6"/>
      <c r="AB59" s="6"/>
      <c r="AD59" s="9"/>
    </row>
    <row r="60" spans="5:30" ht="6.75" customHeight="1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V60" s="12"/>
      <c r="W60" s="12"/>
      <c r="X60" s="12"/>
      <c r="Z60" s="6"/>
      <c r="AB60" s="6"/>
      <c r="AD60" s="9"/>
    </row>
    <row r="61" spans="5:30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V61" s="12"/>
      <c r="W61" s="12"/>
      <c r="X61" s="12"/>
      <c r="Z61" s="6"/>
      <c r="AB61" s="6"/>
      <c r="AD61" s="9"/>
    </row>
    <row r="62" spans="5:30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V62" s="12"/>
      <c r="W62" s="12"/>
      <c r="X62" s="12"/>
      <c r="Z62" s="6"/>
      <c r="AB62" s="6"/>
      <c r="AD62" s="9"/>
    </row>
    <row r="63" spans="5:30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V63" s="12"/>
      <c r="W63" s="12"/>
      <c r="X63" s="12"/>
      <c r="Z63" s="6"/>
      <c r="AB63" s="6"/>
      <c r="AD63" s="9"/>
    </row>
    <row r="64" spans="5:30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V64" s="12"/>
      <c r="W64" s="12"/>
      <c r="X64" s="12"/>
      <c r="Z64" s="6"/>
      <c r="AB64" s="6"/>
      <c r="AD64" s="9"/>
    </row>
    <row r="65" spans="5:33" x14ac:dyDescent="0.2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</row>
    <row r="66" spans="5:33" x14ac:dyDescent="0.2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</row>
    <row r="67" spans="5:33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D67" s="9"/>
    </row>
    <row r="68" spans="5:33" x14ac:dyDescent="0.25">
      <c r="AF68" s="4"/>
      <c r="AG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F42"/>
  <sheetViews>
    <sheetView view="pageBreakPreview" topLeftCell="A25" zoomScaleNormal="80" zoomScaleSheetLayoutView="100" workbookViewId="0">
      <selection activeCell="K29" sqref="K29"/>
    </sheetView>
  </sheetViews>
  <sheetFormatPr defaultRowHeight="13.2" x14ac:dyDescent="0.25"/>
  <cols>
    <col min="1" max="1" width="10" customWidth="1"/>
    <col min="2" max="2" width="3.5546875" customWidth="1"/>
    <col min="3" max="3" width="10.33203125" bestFit="1" customWidth="1"/>
    <col min="4" max="4" width="10.109375" bestFit="1" customWidth="1"/>
    <col min="5" max="6" width="9.33203125" bestFit="1" customWidth="1"/>
    <col min="7" max="7" width="10.6640625" bestFit="1" customWidth="1"/>
    <col min="8" max="8" width="10" bestFit="1" customWidth="1"/>
    <col min="9" max="9" width="10" customWidth="1"/>
    <col min="10" max="11" width="10.5546875" bestFit="1" customWidth="1"/>
    <col min="12" max="12" width="9.33203125" bestFit="1" customWidth="1"/>
    <col min="13" max="16" width="3.5546875" customWidth="1"/>
    <col min="17" max="17" width="11.88671875" customWidth="1"/>
    <col min="18" max="18" width="9.88671875" customWidth="1"/>
    <col min="19" max="20" width="9.5546875" customWidth="1"/>
    <col min="21" max="21" width="7.109375" customWidth="1"/>
    <col min="22" max="22" width="11.5546875" customWidth="1"/>
    <col min="23" max="23" width="9.5546875" customWidth="1"/>
    <col min="27" max="28" width="3" customWidth="1"/>
    <col min="30" max="30" width="2.6640625" customWidth="1"/>
  </cols>
  <sheetData>
    <row r="1" spans="1:32" x14ac:dyDescent="0.25">
      <c r="A1" s="443" t="str">
        <f>+'Rate Case Constants'!C9</f>
        <v>LOUISVILLE GAS AND ELECTRIC COMPANY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</row>
    <row r="2" spans="1:32" x14ac:dyDescent="0.25">
      <c r="A2" s="443" t="str">
        <f>+'Rate Case Constants'!C10</f>
        <v>CASE NO. 2016-00371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32" x14ac:dyDescent="0.25">
      <c r="A3" s="445" t="str">
        <f>+'Rate Case Constants'!C24</f>
        <v>Typical Electric Bill Comparison under Present &amp; Proposed Rates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32" x14ac:dyDescent="0.25">
      <c r="A4" s="443" t="str">
        <f>+'Rate Case Constants'!C21</f>
        <v>FORECAST PERIOD FOR THE 12 MONTHS ENDED JUNE 30, 2018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</row>
    <row r="5" spans="1:32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1:32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32" x14ac:dyDescent="0.25">
      <c r="A7" s="340" t="str">
        <f>+'Rate Case Constants'!C33</f>
        <v>DATA: ____BASE PERIOD__X___FORECASTED PERIOD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1" t="str">
        <f>+'Rate Case Constants'!C25</f>
        <v>SCHEDULE N (Electric)</v>
      </c>
    </row>
    <row r="8" spans="1:32" x14ac:dyDescent="0.25">
      <c r="A8" s="340" t="str">
        <f>+'Rate Case Constants'!C29</f>
        <v>TYPE OF FILING: __X__ ORIGINAL  _____ UPDATED  _____ REVISED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2" t="str">
        <f>+'Rate Case Constants'!L11</f>
        <v>PAGE 4 of 21</v>
      </c>
    </row>
    <row r="9" spans="1:32" x14ac:dyDescent="0.25">
      <c r="A9" s="340" t="str">
        <f>+'Rate Case Constants'!C34</f>
        <v>WORKPAPER REFERENCE NO(S):________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2" t="str">
        <f>+'Rate Case Constants'!C36</f>
        <v>WITNESS:   C. M. GARRETT</v>
      </c>
      <c r="Q9" s="30" t="s">
        <v>357</v>
      </c>
    </row>
    <row r="10" spans="1:32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Q10" s="84" t="s">
        <v>71</v>
      </c>
      <c r="R10">
        <f>+INPUT!J51</f>
        <v>-3.7679581055900455E-3</v>
      </c>
    </row>
    <row r="11" spans="1:32" x14ac:dyDescent="0.25">
      <c r="A11" s="351" t="s">
        <v>77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84" t="s">
        <v>73</v>
      </c>
      <c r="R11" s="30">
        <f>+INPUT!K51</f>
        <v>2.78861744839027E-3</v>
      </c>
      <c r="S11" s="30"/>
      <c r="T11" s="30"/>
      <c r="U11" s="30"/>
      <c r="V11" s="34"/>
      <c r="W11" s="30"/>
      <c r="X11" s="30"/>
      <c r="Y11" s="30"/>
      <c r="Z11" s="30"/>
    </row>
    <row r="12" spans="1:32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84" t="s">
        <v>72</v>
      </c>
      <c r="R12" s="30">
        <f>+INPUT!L51</f>
        <v>1.7787143390213016E-2</v>
      </c>
      <c r="S12" s="30"/>
      <c r="T12" s="30"/>
      <c r="U12" s="30"/>
      <c r="V12" s="30"/>
      <c r="W12" s="30"/>
      <c r="X12" s="30"/>
      <c r="Y12" s="30"/>
      <c r="Z12" s="30"/>
    </row>
    <row r="13" spans="1:32" x14ac:dyDescent="0.25">
      <c r="A13" s="30"/>
      <c r="B13" s="30"/>
      <c r="C13" s="202" t="s">
        <v>326</v>
      </c>
      <c r="D13" s="203" t="s">
        <v>327</v>
      </c>
      <c r="E13" s="203" t="s">
        <v>328</v>
      </c>
      <c r="F13" s="202" t="s">
        <v>329</v>
      </c>
      <c r="G13" s="202" t="s">
        <v>330</v>
      </c>
      <c r="H13" s="202" t="s">
        <v>331</v>
      </c>
      <c r="I13" s="203" t="s">
        <v>332</v>
      </c>
      <c r="J13" s="202" t="s">
        <v>333</v>
      </c>
      <c r="K13" s="202" t="s">
        <v>334</v>
      </c>
      <c r="L13" s="202" t="s">
        <v>335</v>
      </c>
      <c r="M13" s="30"/>
      <c r="N13" s="30"/>
      <c r="O13" s="30"/>
      <c r="P13" s="30"/>
      <c r="Q13" s="30"/>
      <c r="R13" s="30"/>
      <c r="S13" s="30"/>
      <c r="U13" s="30"/>
      <c r="V13" s="30"/>
      <c r="W13" s="30"/>
      <c r="X13" s="30"/>
      <c r="Y13" s="30"/>
      <c r="Z13" s="30"/>
    </row>
    <row r="14" spans="1:32" x14ac:dyDescent="0.25">
      <c r="C14" s="313" t="s">
        <v>366</v>
      </c>
      <c r="D14" s="313" t="s">
        <v>366</v>
      </c>
      <c r="E14" s="206"/>
      <c r="F14" s="206"/>
      <c r="G14" s="206"/>
      <c r="H14" s="206"/>
      <c r="I14" s="206"/>
      <c r="J14" s="202" t="s">
        <v>5</v>
      </c>
      <c r="K14" s="202" t="s">
        <v>5</v>
      </c>
      <c r="L14" s="206"/>
      <c r="Q14" s="50" t="s">
        <v>61</v>
      </c>
      <c r="R14" s="50"/>
      <c r="S14" s="50"/>
      <c r="T14" s="3" t="s">
        <v>72</v>
      </c>
      <c r="V14" s="50" t="s">
        <v>62</v>
      </c>
      <c r="W14" s="50"/>
      <c r="X14" s="50"/>
      <c r="Y14" s="3" t="s">
        <v>72</v>
      </c>
      <c r="Z14" s="57"/>
    </row>
    <row r="15" spans="1:32" x14ac:dyDescent="0.25">
      <c r="C15" s="202" t="s">
        <v>1</v>
      </c>
      <c r="D15" s="202" t="s">
        <v>74</v>
      </c>
      <c r="E15" s="202"/>
      <c r="F15" s="202"/>
      <c r="G15" s="436" t="s">
        <v>130</v>
      </c>
      <c r="H15" s="436"/>
      <c r="I15" s="437"/>
      <c r="J15" s="202" t="s">
        <v>1</v>
      </c>
      <c r="K15" s="202" t="s">
        <v>74</v>
      </c>
      <c r="L15" s="202"/>
      <c r="Q15" s="26" t="s">
        <v>64</v>
      </c>
      <c r="R15" s="3"/>
      <c r="S15" s="26"/>
      <c r="T15" s="3" t="s">
        <v>1</v>
      </c>
      <c r="V15" s="26" t="s">
        <v>64</v>
      </c>
      <c r="W15" s="3"/>
      <c r="X15" s="26"/>
      <c r="Y15" s="3" t="s">
        <v>1</v>
      </c>
      <c r="Z15" s="26"/>
    </row>
    <row r="16" spans="1:32" x14ac:dyDescent="0.25">
      <c r="A16" s="3"/>
      <c r="B16" s="3"/>
      <c r="C16" s="202" t="s">
        <v>4</v>
      </c>
      <c r="D16" s="202" t="s">
        <v>4</v>
      </c>
      <c r="E16" s="202" t="s">
        <v>75</v>
      </c>
      <c r="F16" s="202" t="s">
        <v>75</v>
      </c>
      <c r="G16" s="202" t="s">
        <v>421</v>
      </c>
      <c r="H16" s="202" t="s">
        <v>73</v>
      </c>
      <c r="I16" s="202" t="s">
        <v>72</v>
      </c>
      <c r="J16" s="202" t="s">
        <v>4</v>
      </c>
      <c r="K16" s="202" t="s">
        <v>4</v>
      </c>
      <c r="L16" s="202" t="s">
        <v>75</v>
      </c>
      <c r="M16" s="3"/>
      <c r="N16" s="3"/>
      <c r="O16" s="3"/>
      <c r="P16" s="3"/>
      <c r="Q16" s="26" t="s">
        <v>63</v>
      </c>
      <c r="R16" s="3" t="s">
        <v>58</v>
      </c>
      <c r="S16" s="26" t="s">
        <v>5</v>
      </c>
      <c r="T16" s="3" t="s">
        <v>76</v>
      </c>
      <c r="V16" s="26" t="s">
        <v>63</v>
      </c>
      <c r="W16" s="3" t="s">
        <v>58</v>
      </c>
      <c r="X16" s="26" t="s">
        <v>5</v>
      </c>
      <c r="Y16" s="3" t="s">
        <v>76</v>
      </c>
      <c r="Z16" s="26"/>
      <c r="AB16" s="2"/>
      <c r="AC16" s="3" t="s">
        <v>6</v>
      </c>
      <c r="AD16" s="3"/>
      <c r="AE16" s="3" t="s">
        <v>8</v>
      </c>
      <c r="AF16" s="3"/>
    </row>
    <row r="17" spans="1:32" x14ac:dyDescent="0.25">
      <c r="A17" s="3" t="s">
        <v>50</v>
      </c>
      <c r="B17" s="3"/>
      <c r="C17" s="202"/>
      <c r="D17" s="202"/>
      <c r="E17" s="202" t="s">
        <v>69</v>
      </c>
      <c r="F17" s="203" t="s">
        <v>70</v>
      </c>
      <c r="G17" s="204"/>
      <c r="H17" s="204"/>
      <c r="I17" s="205"/>
      <c r="J17" s="202" t="s">
        <v>69</v>
      </c>
      <c r="K17" s="202" t="s">
        <v>69</v>
      </c>
      <c r="L17" s="203" t="s">
        <v>70</v>
      </c>
      <c r="M17" s="3"/>
      <c r="N17" s="3"/>
      <c r="O17" s="3"/>
      <c r="P17" s="3"/>
      <c r="Q17" s="36" t="s">
        <v>3</v>
      </c>
      <c r="R17" s="15" t="s">
        <v>3</v>
      </c>
      <c r="S17" s="36" t="s">
        <v>4</v>
      </c>
      <c r="T17" s="15" t="s">
        <v>3</v>
      </c>
      <c r="V17" s="36" t="s">
        <v>3</v>
      </c>
      <c r="W17" s="15" t="s">
        <v>3</v>
      </c>
      <c r="X17" s="36" t="s">
        <v>4</v>
      </c>
      <c r="Y17" s="15" t="s">
        <v>3</v>
      </c>
      <c r="Z17" s="58"/>
      <c r="AB17" s="2"/>
      <c r="AC17" s="3" t="s">
        <v>7</v>
      </c>
      <c r="AD17" s="3"/>
      <c r="AE17" s="3" t="s">
        <v>7</v>
      </c>
      <c r="AF17" s="3"/>
    </row>
    <row r="18" spans="1:32" x14ac:dyDescent="0.25">
      <c r="A18" s="81"/>
      <c r="B18" s="81"/>
      <c r="C18" s="325"/>
      <c r="D18" s="325"/>
      <c r="E18" s="325" t="str">
        <f>("[ "&amp;D13&amp;" - "&amp;C13&amp;" ]")</f>
        <v>[ B - A ]</v>
      </c>
      <c r="F18" s="325" t="str">
        <f>("[ "&amp;E13&amp;" / "&amp;C13&amp;" ]")</f>
        <v>[ C / A ]</v>
      </c>
      <c r="G18" s="353"/>
      <c r="H18" s="353"/>
      <c r="I18" s="353"/>
      <c r="J18" s="325" t="str">
        <f>("["&amp;C13&amp;"+"&amp;$G$13&amp;"+"&amp;$H$13&amp;"+"&amp;$I$13&amp;"]")</f>
        <v>[A+E+F+G]</v>
      </c>
      <c r="K18" s="325" t="str">
        <f>("["&amp;D13&amp;"+"&amp;$G$13&amp;"+"&amp;$H$13&amp;"+"&amp;$I$13&amp;"]")</f>
        <v>[B+E+F+G]</v>
      </c>
      <c r="L18" s="325" t="str">
        <f>("[("&amp;K13&amp;" - "&amp;J13&amp;")/"&amp;J13&amp;"]")</f>
        <v>[(I - H)/H]</v>
      </c>
      <c r="M18" s="3"/>
      <c r="N18" s="3"/>
      <c r="O18" s="3"/>
      <c r="P18" s="202"/>
      <c r="Q18" s="26"/>
      <c r="R18" s="33">
        <f>+INPUT!$E$6</f>
        <v>9.6500000000000002E-2</v>
      </c>
      <c r="S18" s="26"/>
      <c r="T18" s="43"/>
      <c r="V18" s="26"/>
      <c r="W18" s="33">
        <f>INPUT!$E$27</f>
        <v>0.1023</v>
      </c>
      <c r="X18" s="26"/>
      <c r="Y18" s="43"/>
      <c r="Z18" s="26"/>
      <c r="AB18" s="2"/>
      <c r="AC18" s="3"/>
      <c r="AD18" s="3"/>
      <c r="AE18" s="3"/>
      <c r="AF18" s="3"/>
    </row>
    <row r="19" spans="1:32" x14ac:dyDescent="0.25">
      <c r="A19" s="3"/>
      <c r="B19" s="3"/>
      <c r="C19" s="3"/>
      <c r="D19" s="3"/>
      <c r="E19" s="202"/>
      <c r="F19" s="202"/>
      <c r="G19" s="3"/>
      <c r="H19" s="3"/>
      <c r="I19" s="3"/>
      <c r="J19" s="202"/>
      <c r="K19" s="3"/>
      <c r="L19" s="202"/>
      <c r="M19" s="3"/>
      <c r="N19" s="3"/>
      <c r="O19" s="3"/>
      <c r="P19" s="3"/>
      <c r="Q19" s="26"/>
      <c r="R19" s="3" t="s">
        <v>14</v>
      </c>
      <c r="S19" s="26"/>
      <c r="T19" s="3"/>
      <c r="V19" s="26"/>
      <c r="W19" s="3" t="s">
        <v>14</v>
      </c>
      <c r="X19" s="26"/>
      <c r="Y19" s="3"/>
      <c r="Z19" s="26"/>
      <c r="AB19" s="2"/>
      <c r="AC19" s="3"/>
      <c r="AD19" s="3"/>
      <c r="AE19" s="3"/>
      <c r="AF19" s="3"/>
    </row>
    <row r="20" spans="1:32" x14ac:dyDescent="0.25">
      <c r="A20" s="3"/>
      <c r="B20" s="3"/>
      <c r="C20" s="3"/>
      <c r="D20" s="3"/>
      <c r="E20" s="3"/>
      <c r="F20" s="3"/>
      <c r="G20" s="87"/>
      <c r="H20" s="87"/>
      <c r="I20" s="87"/>
      <c r="J20" s="87"/>
      <c r="K20" s="3"/>
      <c r="L20" s="3"/>
      <c r="M20" s="3"/>
      <c r="N20" s="3"/>
      <c r="O20" s="3"/>
      <c r="P20" s="3"/>
      <c r="R20" s="3"/>
      <c r="S20" s="3"/>
      <c r="T20" s="3"/>
      <c r="W20" s="3"/>
      <c r="X20" s="3"/>
      <c r="Y20" s="3"/>
      <c r="Z20" s="3"/>
    </row>
    <row r="21" spans="1:32" x14ac:dyDescent="0.25">
      <c r="A21">
        <v>500</v>
      </c>
      <c r="C21" s="90">
        <f>+S21</f>
        <v>73.25</v>
      </c>
      <c r="D21" s="90">
        <f>+X21</f>
        <v>82.65</v>
      </c>
      <c r="E21" s="29">
        <f>+D21-C21</f>
        <v>9.4000000000000057</v>
      </c>
      <c r="F21" s="55">
        <f>ROUND(+E21/C21,4)</f>
        <v>0.1283</v>
      </c>
      <c r="G21" s="90">
        <f>ROUND($R$10*$A21,2)</f>
        <v>-1.88</v>
      </c>
      <c r="H21" s="90">
        <f>ROUND($R$11*$A21,2)</f>
        <v>1.39</v>
      </c>
      <c r="I21" s="90">
        <f>ROUND($R$12*$A21,2)</f>
        <v>8.89</v>
      </c>
      <c r="J21" s="90">
        <f>+C21+G21+H21+I21</f>
        <v>81.650000000000006</v>
      </c>
      <c r="K21" s="29">
        <f>+D21+G21+H21+I21</f>
        <v>91.050000000000011</v>
      </c>
      <c r="L21" s="55">
        <f>ROUND((K21-J21)/J21,4)</f>
        <v>0.11509999999999999</v>
      </c>
      <c r="Q21" s="7">
        <f>+INPUT!$E$4</f>
        <v>25</v>
      </c>
      <c r="R21" s="6">
        <f>A21*$R$18</f>
        <v>48.25</v>
      </c>
      <c r="S21" s="6">
        <f>Q21+R21</f>
        <v>73.25</v>
      </c>
      <c r="T21" s="6"/>
      <c r="V21" s="7">
        <f>INPUT!$E$25</f>
        <v>31.5</v>
      </c>
      <c r="W21" s="6">
        <f>+$A21*W$18</f>
        <v>51.15</v>
      </c>
      <c r="X21" s="6">
        <f>V21+W21</f>
        <v>82.65</v>
      </c>
      <c r="Y21" s="6"/>
      <c r="Z21" s="6"/>
      <c r="AC21" s="6">
        <f>X21-S21</f>
        <v>9.4000000000000057</v>
      </c>
      <c r="AE21" s="8">
        <f>X21/S21-1</f>
        <v>0.12832764505119454</v>
      </c>
      <c r="AF21" s="8"/>
    </row>
    <row r="22" spans="1:32" x14ac:dyDescent="0.25">
      <c r="C22" s="17"/>
      <c r="D22" s="17"/>
      <c r="G22" s="17"/>
      <c r="H22" s="17"/>
      <c r="I22" s="17"/>
      <c r="J22" s="17"/>
      <c r="Q22" s="7"/>
      <c r="R22" s="6"/>
      <c r="S22" s="6"/>
      <c r="T22" s="6"/>
      <c r="V22" s="7"/>
      <c r="W22" s="6"/>
      <c r="X22" s="6"/>
      <c r="Y22" s="6"/>
      <c r="Z22" s="6"/>
      <c r="AE22" s="8"/>
      <c r="AF22" s="8"/>
    </row>
    <row r="23" spans="1:32" x14ac:dyDescent="0.25">
      <c r="A23" s="1">
        <v>1000</v>
      </c>
      <c r="C23" s="90">
        <f>+S23</f>
        <v>121.5</v>
      </c>
      <c r="D23" s="90">
        <f>+X23</f>
        <v>133.80000000000001</v>
      </c>
      <c r="E23" s="29">
        <f>+D23-C23</f>
        <v>12.300000000000011</v>
      </c>
      <c r="F23" s="55">
        <f>ROUND(+E23/C23,4)</f>
        <v>0.1012</v>
      </c>
      <c r="G23" s="90">
        <f>ROUND($R$10*$A23,2)</f>
        <v>-3.77</v>
      </c>
      <c r="H23" s="90">
        <f>ROUND($R$11*$A23,2)</f>
        <v>2.79</v>
      </c>
      <c r="I23" s="90">
        <f>ROUND($R$12*$A23,2)</f>
        <v>17.79</v>
      </c>
      <c r="J23" s="90">
        <f>+C23+G23+H23+I23</f>
        <v>138.31</v>
      </c>
      <c r="K23" s="29">
        <f>+D23+G23+H23+I23</f>
        <v>150.60999999999999</v>
      </c>
      <c r="L23" s="55">
        <f>ROUND((K23-J23)/J23,4)</f>
        <v>8.8900000000000007E-2</v>
      </c>
      <c r="Q23" s="7">
        <f>$Q$21</f>
        <v>25</v>
      </c>
      <c r="R23" s="6">
        <f>A23*$R$18</f>
        <v>96.5</v>
      </c>
      <c r="S23" s="6">
        <f>Q23+R23</f>
        <v>121.5</v>
      </c>
      <c r="T23" s="6"/>
      <c r="V23" s="7">
        <f>+$V$21</f>
        <v>31.5</v>
      </c>
      <c r="W23" s="6">
        <f>+$A23*W$18</f>
        <v>102.3</v>
      </c>
      <c r="X23" s="6">
        <f>V23+W23</f>
        <v>133.80000000000001</v>
      </c>
      <c r="Y23" s="6"/>
      <c r="Z23" s="6"/>
      <c r="AC23" s="6">
        <f>X23-S23</f>
        <v>12.300000000000011</v>
      </c>
      <c r="AE23" s="8">
        <f>X23/S23-1</f>
        <v>0.10123456790123475</v>
      </c>
      <c r="AF23" s="8"/>
    </row>
    <row r="24" spans="1:32" x14ac:dyDescent="0.25">
      <c r="C24" s="90"/>
      <c r="D24" s="90"/>
      <c r="E24" s="29"/>
      <c r="F24" s="55"/>
      <c r="G24" s="90"/>
      <c r="H24" s="90"/>
      <c r="I24" s="90"/>
      <c r="J24" s="90"/>
      <c r="K24" s="29"/>
      <c r="L24" s="55"/>
      <c r="Q24" s="56"/>
      <c r="R24" s="6"/>
      <c r="S24" s="6"/>
      <c r="T24" s="6"/>
      <c r="V24" s="7"/>
      <c r="W24" s="6"/>
      <c r="X24" s="6"/>
      <c r="Y24" s="6"/>
      <c r="Z24" s="6"/>
      <c r="AE24" s="27"/>
      <c r="AF24" s="27"/>
    </row>
    <row r="25" spans="1:32" s="10" customFormat="1" x14ac:dyDescent="0.25">
      <c r="A25" s="14">
        <f>INPUT!E19</f>
        <v>1204.9670461736753</v>
      </c>
      <c r="B25"/>
      <c r="C25" s="90">
        <f>+S25</f>
        <v>141.27931995575966</v>
      </c>
      <c r="D25" s="90">
        <f>+X25</f>
        <v>154.768128823567</v>
      </c>
      <c r="E25" s="29">
        <f>+D25-C25</f>
        <v>13.488808867807336</v>
      </c>
      <c r="F25" s="55">
        <f>ROUND(+E25/C25,4)</f>
        <v>9.5500000000000002E-2</v>
      </c>
      <c r="G25" s="90">
        <f>ROUND($R$10*$A25,2)</f>
        <v>-4.54</v>
      </c>
      <c r="H25" s="90">
        <f>ROUND($R$11*$A25,2)</f>
        <v>3.36</v>
      </c>
      <c r="I25" s="90">
        <f>ROUND($R$12*$A25,2)</f>
        <v>21.43</v>
      </c>
      <c r="J25" s="90">
        <f>+C25+G25+H25+I25</f>
        <v>161.52931995575969</v>
      </c>
      <c r="K25" s="29">
        <f>+D25+G25+H25+I25</f>
        <v>175.01812882356703</v>
      </c>
      <c r="L25" s="55">
        <f>ROUND((K25-J25)/J25,4)</f>
        <v>8.3500000000000005E-2</v>
      </c>
      <c r="Q25" s="56">
        <f>$Q$21</f>
        <v>25</v>
      </c>
      <c r="R25" s="6">
        <f>A25*$R$18</f>
        <v>116.27931995575966</v>
      </c>
      <c r="S25" s="11">
        <f>Q25+R25</f>
        <v>141.27931995575966</v>
      </c>
      <c r="T25" s="6"/>
      <c r="V25" s="7">
        <f>+$V$21</f>
        <v>31.5</v>
      </c>
      <c r="W25" s="6">
        <f>+$A25*W$18</f>
        <v>123.26812882356698</v>
      </c>
      <c r="X25" s="11">
        <f>V25+W25</f>
        <v>154.768128823567</v>
      </c>
      <c r="Y25" s="6"/>
      <c r="Z25" s="11"/>
      <c r="AC25" s="11">
        <f>X25-S25</f>
        <v>13.488808867807336</v>
      </c>
      <c r="AE25" s="27">
        <f>X25/S25-1</f>
        <v>9.54761735265377E-2</v>
      </c>
      <c r="AF25" s="27"/>
    </row>
    <row r="26" spans="1:32" x14ac:dyDescent="0.25">
      <c r="C26" s="17"/>
      <c r="D26" s="17"/>
      <c r="G26" s="17"/>
      <c r="H26" s="17"/>
      <c r="I26" s="17"/>
      <c r="J26" s="17"/>
      <c r="Q26" s="7"/>
      <c r="R26" s="6"/>
      <c r="S26" s="6"/>
      <c r="T26" s="6"/>
      <c r="V26" s="7"/>
      <c r="W26" s="6"/>
      <c r="X26" s="6"/>
      <c r="Y26" s="6"/>
      <c r="Z26" s="6"/>
      <c r="AE26" s="8"/>
      <c r="AF26" s="8"/>
    </row>
    <row r="27" spans="1:32" x14ac:dyDescent="0.25">
      <c r="A27" s="1">
        <v>2000</v>
      </c>
      <c r="C27" s="90">
        <f>+S27</f>
        <v>218</v>
      </c>
      <c r="D27" s="90">
        <f>+X27</f>
        <v>236.1</v>
      </c>
      <c r="E27" s="29">
        <f>+D27-C27</f>
        <v>18.099999999999994</v>
      </c>
      <c r="F27" s="55">
        <f>ROUND(+E27/C27,4)</f>
        <v>8.3000000000000004E-2</v>
      </c>
      <c r="G27" s="90">
        <f>ROUND($R$10*$A27,2)</f>
        <v>-7.54</v>
      </c>
      <c r="H27" s="90">
        <f>ROUND($R$11*$A27,2)</f>
        <v>5.58</v>
      </c>
      <c r="I27" s="90">
        <f>ROUND($R$12*$A27,2)</f>
        <v>35.57</v>
      </c>
      <c r="J27" s="90">
        <f>+C27+G27+H27+I27</f>
        <v>251.61</v>
      </c>
      <c r="K27" s="29">
        <f>+D27+G27+H27+I27</f>
        <v>269.71000000000004</v>
      </c>
      <c r="L27" s="55">
        <f>ROUND((K27-J27)/J27,4)</f>
        <v>7.1900000000000006E-2</v>
      </c>
      <c r="Q27" s="7">
        <f>$Q$21</f>
        <v>25</v>
      </c>
      <c r="R27" s="6">
        <f>A27*$R$18</f>
        <v>193</v>
      </c>
      <c r="S27" s="6">
        <f>Q27+R27</f>
        <v>218</v>
      </c>
      <c r="T27" s="6"/>
      <c r="V27" s="7">
        <f>+$V$21</f>
        <v>31.5</v>
      </c>
      <c r="W27" s="6">
        <f>+$A27*W$18</f>
        <v>204.6</v>
      </c>
      <c r="X27" s="6">
        <f>V27+W27</f>
        <v>236.1</v>
      </c>
      <c r="Y27" s="6"/>
      <c r="Z27" s="6"/>
      <c r="AC27" s="6">
        <f>X27-S27</f>
        <v>18.099999999999994</v>
      </c>
      <c r="AE27" s="8">
        <f>X27/S27-1</f>
        <v>8.3027522935779752E-2</v>
      </c>
      <c r="AF27" s="8"/>
    </row>
    <row r="28" spans="1:32" x14ac:dyDescent="0.25">
      <c r="C28" s="17"/>
      <c r="D28" s="17"/>
      <c r="G28" s="17"/>
      <c r="H28" s="17"/>
      <c r="I28" s="17"/>
      <c r="J28" s="17"/>
      <c r="Q28" s="7"/>
      <c r="R28" s="6"/>
      <c r="S28" s="6"/>
      <c r="T28" s="6"/>
      <c r="V28" s="7"/>
      <c r="W28" s="6"/>
      <c r="X28" s="6"/>
      <c r="Y28" s="6"/>
      <c r="Z28" s="6"/>
      <c r="AE28" s="8"/>
      <c r="AF28" s="8"/>
    </row>
    <row r="29" spans="1:32" x14ac:dyDescent="0.25">
      <c r="A29" s="1">
        <v>2500</v>
      </c>
      <c r="C29" s="90">
        <f>+S29</f>
        <v>266.25</v>
      </c>
      <c r="D29" s="90">
        <f>+X29</f>
        <v>287.25</v>
      </c>
      <c r="E29" s="29">
        <f>+D29-C29</f>
        <v>21</v>
      </c>
      <c r="F29" s="55">
        <f>ROUND(+E29/C29,4)</f>
        <v>7.8899999999999998E-2</v>
      </c>
      <c r="G29" s="90">
        <f>ROUND($R$10*$A29,2)</f>
        <v>-9.42</v>
      </c>
      <c r="H29" s="90">
        <f>ROUND($R$11*$A29,2)</f>
        <v>6.97</v>
      </c>
      <c r="I29" s="90">
        <f>ROUND($R$12*$A29,2)</f>
        <v>44.47</v>
      </c>
      <c r="J29" s="90">
        <f>+C29+G29+H29+I29</f>
        <v>308.27</v>
      </c>
      <c r="K29" s="29">
        <f>+D29+G29+H29+I29</f>
        <v>329.27</v>
      </c>
      <c r="L29" s="55">
        <f>ROUND((K29-J29)/J29,4)</f>
        <v>6.8099999999999994E-2</v>
      </c>
      <c r="Q29" s="7">
        <f>$Q$21</f>
        <v>25</v>
      </c>
      <c r="R29" s="6">
        <f>A29*$R$18</f>
        <v>241.25</v>
      </c>
      <c r="S29" s="6">
        <f>Q29+R29</f>
        <v>266.25</v>
      </c>
      <c r="T29" s="6"/>
      <c r="V29" s="7">
        <f>+$V$21</f>
        <v>31.5</v>
      </c>
      <c r="W29" s="6">
        <f>+$A29*W$18</f>
        <v>255.75</v>
      </c>
      <c r="X29" s="6">
        <f>V29+W29</f>
        <v>287.25</v>
      </c>
      <c r="Y29" s="6"/>
      <c r="Z29" s="6"/>
      <c r="AC29" s="6">
        <f>X29-S29</f>
        <v>21</v>
      </c>
      <c r="AE29" s="8">
        <f>X29/S29-1</f>
        <v>7.8873239436619613E-2</v>
      </c>
      <c r="AF29" s="8"/>
    </row>
    <row r="30" spans="1:32" x14ac:dyDescent="0.25">
      <c r="A30" s="1"/>
      <c r="C30" s="17"/>
      <c r="D30" s="17"/>
      <c r="G30" s="17"/>
      <c r="H30" s="17"/>
      <c r="I30" s="17"/>
      <c r="J30" s="17"/>
      <c r="Q30" s="7"/>
      <c r="R30" s="6"/>
      <c r="S30" s="6"/>
      <c r="T30" s="6"/>
      <c r="V30" s="7"/>
      <c r="W30" s="6"/>
      <c r="X30" s="6"/>
      <c r="Y30" s="6"/>
      <c r="Z30" s="6"/>
      <c r="AE30" s="8"/>
      <c r="AF30" s="8"/>
    </row>
    <row r="31" spans="1:32" x14ac:dyDescent="0.25">
      <c r="A31" s="1">
        <v>5000</v>
      </c>
      <c r="C31" s="90">
        <f>+S31</f>
        <v>507.5</v>
      </c>
      <c r="D31" s="90">
        <f>+X31</f>
        <v>543</v>
      </c>
      <c r="E31" s="29">
        <f>+D31-C31</f>
        <v>35.5</v>
      </c>
      <c r="F31" s="55">
        <f>ROUND(+E31/C31,4)</f>
        <v>7.0000000000000007E-2</v>
      </c>
      <c r="G31" s="90">
        <f>ROUND($R$10*$A31,2)</f>
        <v>-18.84</v>
      </c>
      <c r="H31" s="90">
        <f>ROUND($R$11*$A31,2)</f>
        <v>13.94</v>
      </c>
      <c r="I31" s="90">
        <f>ROUND($R$12*$A31,2)</f>
        <v>88.94</v>
      </c>
      <c r="J31" s="90">
        <f>+C31+G31+H31+I31</f>
        <v>591.54</v>
      </c>
      <c r="K31" s="29">
        <f>+D31+G31+H31+I31</f>
        <v>627.04</v>
      </c>
      <c r="L31" s="55">
        <f>ROUND((K31-J31)/J31,4)</f>
        <v>0.06</v>
      </c>
      <c r="Q31" s="7">
        <f>$Q$21</f>
        <v>25</v>
      </c>
      <c r="R31" s="6">
        <f>A31*$R$18</f>
        <v>482.5</v>
      </c>
      <c r="S31" s="6">
        <f>Q31+R31</f>
        <v>507.5</v>
      </c>
      <c r="T31" s="6"/>
      <c r="V31" s="7">
        <f>+$V$21</f>
        <v>31.5</v>
      </c>
      <c r="W31" s="6">
        <f>+$A31*W$18</f>
        <v>511.5</v>
      </c>
      <c r="X31" s="6">
        <f>V31+W31</f>
        <v>543</v>
      </c>
      <c r="Y31" s="6"/>
      <c r="Z31" s="6"/>
      <c r="AC31" s="6">
        <f>X31-S31</f>
        <v>35.5</v>
      </c>
      <c r="AE31" s="8">
        <f>X31/S31-1</f>
        <v>6.9950738916256139E-2</v>
      </c>
      <c r="AF31" s="8"/>
    </row>
    <row r="32" spans="1:32" x14ac:dyDescent="0.25">
      <c r="C32" s="17"/>
      <c r="D32" s="17"/>
      <c r="G32" s="17"/>
      <c r="H32" s="17"/>
      <c r="I32" s="17"/>
      <c r="J32" s="17"/>
      <c r="Q32" s="7"/>
      <c r="R32" s="6"/>
      <c r="S32" s="6"/>
      <c r="T32" s="6"/>
      <c r="V32" s="7"/>
      <c r="W32" s="6"/>
      <c r="X32" s="6"/>
      <c r="Y32" s="6"/>
      <c r="Z32" s="6"/>
      <c r="AE32" s="8"/>
      <c r="AF32" s="8"/>
    </row>
    <row r="33" spans="1:32" x14ac:dyDescent="0.25">
      <c r="A33" s="1">
        <v>7500</v>
      </c>
      <c r="C33" s="90">
        <f>+S33</f>
        <v>748.75</v>
      </c>
      <c r="D33" s="90">
        <f>+X33</f>
        <v>798.75</v>
      </c>
      <c r="E33" s="29">
        <f>+D33-C33</f>
        <v>50</v>
      </c>
      <c r="F33" s="55">
        <f>ROUND(+E33/C33,4)</f>
        <v>6.6799999999999998E-2</v>
      </c>
      <c r="G33" s="90">
        <f>ROUND($R$10*$A33,2)</f>
        <v>-28.26</v>
      </c>
      <c r="H33" s="90">
        <f>ROUND($R$11*$A33,2)</f>
        <v>20.91</v>
      </c>
      <c r="I33" s="90">
        <f>ROUND($R$12*$A33,2)</f>
        <v>133.4</v>
      </c>
      <c r="J33" s="90">
        <f>+C33+G33+H33+I33</f>
        <v>874.8</v>
      </c>
      <c r="K33" s="29">
        <f>+D33+G33+H33+I33</f>
        <v>924.8</v>
      </c>
      <c r="L33" s="55">
        <f>ROUND((K33-J33)/J33,4)</f>
        <v>5.7200000000000001E-2</v>
      </c>
      <c r="Q33" s="7">
        <f>$Q$21</f>
        <v>25</v>
      </c>
      <c r="R33" s="6">
        <f>A33*$R$18</f>
        <v>723.75</v>
      </c>
      <c r="S33" s="6">
        <f>Q33+R33</f>
        <v>748.75</v>
      </c>
      <c r="T33" s="6"/>
      <c r="V33" s="7">
        <f>+$V$21</f>
        <v>31.5</v>
      </c>
      <c r="W33" s="6">
        <f>+$A33*W$18</f>
        <v>767.25</v>
      </c>
      <c r="X33" s="6">
        <f>V33+W33</f>
        <v>798.75</v>
      </c>
      <c r="Y33" s="6"/>
      <c r="Z33" s="6"/>
      <c r="AC33" s="6">
        <f>X33-S33</f>
        <v>50</v>
      </c>
      <c r="AE33" s="8">
        <f>X33/S33-1</f>
        <v>6.6777963272120155E-2</v>
      </c>
      <c r="AF33" s="8"/>
    </row>
    <row r="34" spans="1:32" x14ac:dyDescent="0.25">
      <c r="C34" s="17"/>
      <c r="D34" s="17"/>
      <c r="G34" s="17"/>
      <c r="H34" s="17"/>
      <c r="I34" s="17"/>
      <c r="J34" s="17"/>
      <c r="Q34" s="7"/>
      <c r="R34" s="6"/>
      <c r="S34" s="6"/>
      <c r="T34" s="6"/>
      <c r="V34" s="7"/>
      <c r="W34" s="6"/>
      <c r="X34" s="6"/>
      <c r="Y34" s="6"/>
      <c r="Z34" s="6"/>
      <c r="AE34" s="8"/>
      <c r="AF34" s="8"/>
    </row>
    <row r="35" spans="1:32" x14ac:dyDescent="0.25">
      <c r="A35" s="1">
        <v>10000</v>
      </c>
      <c r="C35" s="90">
        <f>+S35</f>
        <v>990</v>
      </c>
      <c r="D35" s="90">
        <f>+X35</f>
        <v>1054.5</v>
      </c>
      <c r="E35" s="29">
        <f>+D35-C35</f>
        <v>64.5</v>
      </c>
      <c r="F35" s="55">
        <f>ROUND(+E35/C35,4)</f>
        <v>6.5199999999999994E-2</v>
      </c>
      <c r="G35" s="90">
        <f>ROUND($R$10*$A35,2)</f>
        <v>-37.68</v>
      </c>
      <c r="H35" s="90">
        <f>ROUND($R$11*$A35,2)</f>
        <v>27.89</v>
      </c>
      <c r="I35" s="90">
        <f>ROUND($R$12*$A35,2)</f>
        <v>177.87</v>
      </c>
      <c r="J35" s="90">
        <f>+C35+G35+H35+I35</f>
        <v>1158.08</v>
      </c>
      <c r="K35" s="29">
        <f>+D35+G35+H35+I35</f>
        <v>1222.58</v>
      </c>
      <c r="L35" s="55">
        <f>ROUND((K35-J35)/J35,4)</f>
        <v>5.57E-2</v>
      </c>
      <c r="Q35" s="7">
        <f>$Q$21</f>
        <v>25</v>
      </c>
      <c r="R35" s="6">
        <f>A35*$R$18</f>
        <v>965</v>
      </c>
      <c r="S35" s="6">
        <f>Q35+R35</f>
        <v>990</v>
      </c>
      <c r="T35" s="6"/>
      <c r="V35" s="7">
        <f>+$V$21</f>
        <v>31.5</v>
      </c>
      <c r="W35" s="6">
        <f>+$A35*W$18</f>
        <v>1023</v>
      </c>
      <c r="X35" s="6">
        <f>V35+W35</f>
        <v>1054.5</v>
      </c>
      <c r="Y35" s="6"/>
      <c r="Z35" s="6"/>
      <c r="AE35" s="8"/>
      <c r="AF35" s="8"/>
    </row>
    <row r="36" spans="1:32" x14ac:dyDescent="0.25">
      <c r="C36" s="17"/>
      <c r="D36" s="17"/>
      <c r="G36" s="17"/>
      <c r="H36" s="17"/>
      <c r="I36" s="17"/>
      <c r="J36" s="17"/>
      <c r="Q36" s="7"/>
      <c r="R36" s="6"/>
      <c r="S36" s="6"/>
      <c r="T36" s="6"/>
      <c r="V36" s="7"/>
      <c r="W36" s="6"/>
      <c r="X36" s="6"/>
      <c r="Y36" s="6"/>
      <c r="Z36" s="6"/>
      <c r="AE36" s="8"/>
      <c r="AF36" s="8"/>
    </row>
    <row r="37" spans="1:32" x14ac:dyDescent="0.25">
      <c r="Q37" s="7"/>
    </row>
    <row r="38" spans="1:32" x14ac:dyDescent="0.25">
      <c r="A38" s="17" t="s">
        <v>336</v>
      </c>
    </row>
    <row r="39" spans="1:32" x14ac:dyDescent="0.25">
      <c r="A39" s="208" t="str">
        <f>("Average usage = "&amp;TEXT(INPUT!E19*1,"0,000")&amp;" kWh per month")</f>
        <v>Average usage = 1,205 kWh per month</v>
      </c>
    </row>
    <row r="40" spans="1:32" x14ac:dyDescent="0.25">
      <c r="A40" s="210" t="s">
        <v>337</v>
      </c>
    </row>
    <row r="41" spans="1:32" x14ac:dyDescent="0.25">
      <c r="A41" s="210" t="str">
        <f>+'Rate Case Constants'!C26</f>
        <v>Calculations may vary from other schedules due to rounding</v>
      </c>
    </row>
    <row r="42" spans="1:32" ht="12" customHeight="1" x14ac:dyDescent="0.25"/>
  </sheetData>
  <mergeCells count="5">
    <mergeCell ref="G15:I15"/>
    <mergeCell ref="A1:L1"/>
    <mergeCell ref="A2:L2"/>
    <mergeCell ref="A3:L3"/>
    <mergeCell ref="A4:L4"/>
  </mergeCells>
  <printOptions horizontalCentered="1"/>
  <pageMargins left="0.75" right="0.75" top="1.5" bottom="0.5" header="1" footer="0.5"/>
  <pageSetup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F42"/>
  <sheetViews>
    <sheetView view="pageBreakPreview" zoomScaleNormal="80" zoomScaleSheetLayoutView="100" workbookViewId="0">
      <selection activeCell="A35" sqref="A35"/>
    </sheetView>
  </sheetViews>
  <sheetFormatPr defaultRowHeight="13.2" x14ac:dyDescent="0.25"/>
  <cols>
    <col min="1" max="1" width="10" customWidth="1"/>
    <col min="2" max="2" width="3.5546875" customWidth="1"/>
    <col min="3" max="3" width="10.33203125" bestFit="1" customWidth="1"/>
    <col min="4" max="4" width="11.6640625" customWidth="1"/>
    <col min="5" max="6" width="9.33203125" bestFit="1" customWidth="1"/>
    <col min="7" max="7" width="10.6640625" bestFit="1" customWidth="1"/>
    <col min="8" max="8" width="10" bestFit="1" customWidth="1"/>
    <col min="9" max="9" width="10" customWidth="1"/>
    <col min="10" max="11" width="10.5546875" bestFit="1" customWidth="1"/>
    <col min="12" max="12" width="9.33203125" bestFit="1" customWidth="1"/>
    <col min="13" max="16" width="3.5546875" customWidth="1"/>
    <col min="17" max="17" width="11.88671875" customWidth="1"/>
    <col min="18" max="18" width="9.88671875" customWidth="1"/>
    <col min="19" max="20" width="9.5546875" customWidth="1"/>
    <col min="21" max="21" width="7.109375" customWidth="1"/>
    <col min="22" max="22" width="11.5546875" customWidth="1"/>
    <col min="23" max="23" width="9.5546875" customWidth="1"/>
    <col min="27" max="28" width="3" customWidth="1"/>
    <col min="30" max="30" width="2.6640625" customWidth="1"/>
  </cols>
  <sheetData>
    <row r="1" spans="1:32" x14ac:dyDescent="0.25">
      <c r="A1" s="443" t="str">
        <f>+'Rate Case Constants'!C9</f>
        <v>LOUISVILLE GAS AND ELECTRIC COMPANY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</row>
    <row r="2" spans="1:32" x14ac:dyDescent="0.25">
      <c r="A2" s="443" t="str">
        <f>+'Rate Case Constants'!C10</f>
        <v>CASE NO. 2016-00371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32" x14ac:dyDescent="0.25">
      <c r="A3" s="445" t="str">
        <f>+'Rate Case Constants'!C24</f>
        <v>Typical Electric Bill Comparison under Present &amp; Proposed Rates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32" x14ac:dyDescent="0.25">
      <c r="A4" s="443" t="str">
        <f>+'Rate Case Constants'!C21</f>
        <v>FORECAST PERIOD FOR THE 12 MONTHS ENDED JUNE 30, 2018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</row>
    <row r="5" spans="1:32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1:32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32" x14ac:dyDescent="0.25">
      <c r="A7" s="340" t="str">
        <f>+'Rate Case Constants'!C33</f>
        <v>DATA: ____BASE PERIOD__X___FORECASTED PERIOD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1" t="str">
        <f>+'Rate Case Constants'!C25</f>
        <v>SCHEDULE N (Electric)</v>
      </c>
    </row>
    <row r="8" spans="1:32" x14ac:dyDescent="0.25">
      <c r="A8" s="340" t="str">
        <f>+'Rate Case Constants'!C29</f>
        <v>TYPE OF FILING: __X__ ORIGINAL  _____ UPDATED  _____ REVISED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2" t="str">
        <f>+'Rate Case Constants'!L12</f>
        <v>PAGE 5 of 21</v>
      </c>
    </row>
    <row r="9" spans="1:32" x14ac:dyDescent="0.25">
      <c r="A9" s="340" t="str">
        <f>+'Rate Case Constants'!C34</f>
        <v>WORKPAPER REFERENCE NO(S):________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2" t="str">
        <f>+'Rate Case Constants'!C36</f>
        <v>WITNESS:   C. M. GARRETT</v>
      </c>
      <c r="Q9" s="30" t="s">
        <v>357</v>
      </c>
    </row>
    <row r="10" spans="1:32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Q10" s="84" t="s">
        <v>71</v>
      </c>
      <c r="R10">
        <f>+INPUT!J51</f>
        <v>-3.7679581055900455E-3</v>
      </c>
    </row>
    <row r="11" spans="1:32" x14ac:dyDescent="0.25">
      <c r="A11" s="351" t="s">
        <v>78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84" t="s">
        <v>73</v>
      </c>
      <c r="R11" s="30">
        <f>+INPUT!K51</f>
        <v>2.78861744839027E-3</v>
      </c>
      <c r="S11" s="30"/>
      <c r="T11" s="30"/>
      <c r="U11" s="30"/>
      <c r="V11" s="34"/>
      <c r="W11" s="30"/>
      <c r="X11" s="30"/>
      <c r="Y11" s="30"/>
      <c r="Z11" s="30"/>
    </row>
    <row r="12" spans="1:32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84" t="s">
        <v>72</v>
      </c>
      <c r="R12" s="30">
        <f>+INPUT!L51</f>
        <v>1.7787143390213016E-2</v>
      </c>
      <c r="S12" s="30"/>
      <c r="T12" s="30"/>
      <c r="U12" s="30"/>
      <c r="V12" s="30"/>
      <c r="W12" s="30"/>
      <c r="X12" s="30"/>
      <c r="Y12" s="30"/>
      <c r="Z12" s="30"/>
    </row>
    <row r="13" spans="1:32" x14ac:dyDescent="0.25">
      <c r="A13" s="30"/>
      <c r="B13" s="30"/>
      <c r="C13" s="202" t="s">
        <v>326</v>
      </c>
      <c r="D13" s="203" t="s">
        <v>327</v>
      </c>
      <c r="E13" s="203" t="s">
        <v>328</v>
      </c>
      <c r="F13" s="202" t="s">
        <v>329</v>
      </c>
      <c r="G13" s="202" t="s">
        <v>330</v>
      </c>
      <c r="H13" s="202" t="s">
        <v>331</v>
      </c>
      <c r="I13" s="203" t="s">
        <v>332</v>
      </c>
      <c r="J13" s="202" t="s">
        <v>333</v>
      </c>
      <c r="K13" s="202" t="s">
        <v>334</v>
      </c>
      <c r="L13" s="202" t="s">
        <v>335</v>
      </c>
      <c r="M13" s="30"/>
      <c r="N13" s="30"/>
      <c r="O13" s="30"/>
      <c r="P13" s="30"/>
      <c r="Q13" s="30"/>
      <c r="R13" s="30"/>
      <c r="S13" s="30"/>
      <c r="U13" s="30"/>
      <c r="V13" s="30"/>
      <c r="W13" s="30"/>
      <c r="X13" s="30"/>
      <c r="Y13" s="30"/>
      <c r="Z13" s="30"/>
    </row>
    <row r="14" spans="1:32" x14ac:dyDescent="0.25">
      <c r="C14" s="313" t="s">
        <v>366</v>
      </c>
      <c r="D14" s="313" t="s">
        <v>366</v>
      </c>
      <c r="E14" s="206"/>
      <c r="F14" s="206"/>
      <c r="G14" s="206"/>
      <c r="H14" s="206"/>
      <c r="I14" s="206"/>
      <c r="J14" s="202" t="s">
        <v>5</v>
      </c>
      <c r="K14" s="202" t="s">
        <v>5</v>
      </c>
      <c r="L14" s="206"/>
      <c r="Q14" s="50" t="s">
        <v>61</v>
      </c>
      <c r="R14" s="50"/>
      <c r="S14" s="50"/>
      <c r="T14" s="3" t="s">
        <v>72</v>
      </c>
      <c r="V14" s="50" t="s">
        <v>62</v>
      </c>
      <c r="W14" s="50"/>
      <c r="X14" s="50"/>
      <c r="Y14" s="3" t="s">
        <v>72</v>
      </c>
      <c r="Z14" s="57"/>
    </row>
    <row r="15" spans="1:32" x14ac:dyDescent="0.25">
      <c r="C15" s="202" t="s">
        <v>1</v>
      </c>
      <c r="D15" s="202" t="s">
        <v>74</v>
      </c>
      <c r="E15" s="202"/>
      <c r="F15" s="202"/>
      <c r="G15" s="436" t="s">
        <v>130</v>
      </c>
      <c r="H15" s="436"/>
      <c r="I15" s="437"/>
      <c r="J15" s="202" t="s">
        <v>1</v>
      </c>
      <c r="K15" s="202" t="s">
        <v>74</v>
      </c>
      <c r="L15" s="202"/>
      <c r="Q15" s="26" t="s">
        <v>64</v>
      </c>
      <c r="R15" s="3"/>
      <c r="S15" s="26"/>
      <c r="T15" s="3" t="s">
        <v>1</v>
      </c>
      <c r="V15" s="26" t="s">
        <v>64</v>
      </c>
      <c r="W15" s="3"/>
      <c r="X15" s="26"/>
      <c r="Y15" s="3" t="s">
        <v>1</v>
      </c>
      <c r="Z15" s="26"/>
    </row>
    <row r="16" spans="1:32" x14ac:dyDescent="0.25">
      <c r="A16" s="3"/>
      <c r="B16" s="3"/>
      <c r="C16" s="202" t="s">
        <v>4</v>
      </c>
      <c r="D16" s="202" t="s">
        <v>4</v>
      </c>
      <c r="E16" s="202" t="s">
        <v>75</v>
      </c>
      <c r="F16" s="202" t="s">
        <v>75</v>
      </c>
      <c r="G16" s="202" t="s">
        <v>421</v>
      </c>
      <c r="H16" s="202" t="s">
        <v>73</v>
      </c>
      <c r="I16" s="202" t="s">
        <v>72</v>
      </c>
      <c r="J16" s="202" t="s">
        <v>4</v>
      </c>
      <c r="K16" s="202" t="s">
        <v>4</v>
      </c>
      <c r="L16" s="202" t="s">
        <v>75</v>
      </c>
      <c r="M16" s="3"/>
      <c r="N16" s="3"/>
      <c r="O16" s="3"/>
      <c r="P16" s="3"/>
      <c r="Q16" s="26" t="s">
        <v>63</v>
      </c>
      <c r="R16" s="3" t="s">
        <v>58</v>
      </c>
      <c r="S16" s="26" t="s">
        <v>5</v>
      </c>
      <c r="T16" s="3" t="s">
        <v>76</v>
      </c>
      <c r="V16" s="26" t="s">
        <v>63</v>
      </c>
      <c r="W16" s="3" t="s">
        <v>58</v>
      </c>
      <c r="X16" s="26" t="s">
        <v>5</v>
      </c>
      <c r="Y16" s="3" t="s">
        <v>76</v>
      </c>
      <c r="Z16" s="26"/>
      <c r="AB16" s="2"/>
      <c r="AC16" s="3" t="s">
        <v>6</v>
      </c>
      <c r="AD16" s="3"/>
      <c r="AE16" s="3" t="s">
        <v>8</v>
      </c>
      <c r="AF16" s="3"/>
    </row>
    <row r="17" spans="1:32" x14ac:dyDescent="0.25">
      <c r="A17" s="3" t="s">
        <v>50</v>
      </c>
      <c r="B17" s="3"/>
      <c r="C17" s="202"/>
      <c r="D17" s="202"/>
      <c r="E17" s="202" t="s">
        <v>69</v>
      </c>
      <c r="F17" s="203" t="s">
        <v>70</v>
      </c>
      <c r="G17" s="204"/>
      <c r="H17" s="204"/>
      <c r="I17" s="205"/>
      <c r="J17" s="202" t="s">
        <v>69</v>
      </c>
      <c r="K17" s="202" t="s">
        <v>69</v>
      </c>
      <c r="L17" s="203" t="s">
        <v>70</v>
      </c>
      <c r="M17" s="3"/>
      <c r="N17" s="3"/>
      <c r="O17" s="3"/>
      <c r="P17" s="3"/>
      <c r="Q17" s="288" t="s">
        <v>3</v>
      </c>
      <c r="R17" s="81" t="s">
        <v>3</v>
      </c>
      <c r="S17" s="288" t="s">
        <v>4</v>
      </c>
      <c r="T17" s="81" t="s">
        <v>3</v>
      </c>
      <c r="V17" s="288" t="s">
        <v>3</v>
      </c>
      <c r="W17" s="81" t="s">
        <v>3</v>
      </c>
      <c r="X17" s="288" t="s">
        <v>4</v>
      </c>
      <c r="Y17" s="81" t="s">
        <v>3</v>
      </c>
      <c r="Z17" s="58"/>
      <c r="AB17" s="2"/>
      <c r="AC17" s="3" t="s">
        <v>7</v>
      </c>
      <c r="AD17" s="3"/>
      <c r="AE17" s="3" t="s">
        <v>7</v>
      </c>
      <c r="AF17" s="3"/>
    </row>
    <row r="18" spans="1:32" x14ac:dyDescent="0.25">
      <c r="A18" s="81"/>
      <c r="B18" s="81"/>
      <c r="C18" s="325"/>
      <c r="D18" s="325"/>
      <c r="E18" s="325" t="str">
        <f>("[ "&amp;D13&amp;" - "&amp;C13&amp;" ]")</f>
        <v>[ B - A ]</v>
      </c>
      <c r="F18" s="325" t="str">
        <f>("[ "&amp;E13&amp;" / "&amp;C13&amp;" ]")</f>
        <v>[ C / A ]</v>
      </c>
      <c r="G18" s="353"/>
      <c r="H18" s="353"/>
      <c r="I18" s="353"/>
      <c r="J18" s="325" t="str">
        <f>("["&amp;C13&amp;"+"&amp;$G$13&amp;"+"&amp;$H$13&amp;"+"&amp;$I$13&amp;"]")</f>
        <v>[A+E+F+G]</v>
      </c>
      <c r="K18" s="325" t="str">
        <f>("["&amp;D13&amp;"+"&amp;$G$13&amp;"+"&amp;$H$13&amp;"+"&amp;$I$13&amp;"]")</f>
        <v>[B+E+F+G]</v>
      </c>
      <c r="L18" s="325" t="str">
        <f>("[("&amp;K13&amp;" - "&amp;J13&amp;")/"&amp;J13&amp;"]")</f>
        <v>[(I - H)/H]</v>
      </c>
      <c r="M18" s="3"/>
      <c r="N18" s="3"/>
      <c r="O18" s="3"/>
      <c r="P18" s="202"/>
      <c r="Q18" s="26"/>
      <c r="R18" s="33">
        <f>+INPUT!$F$6</f>
        <v>9.6500000000000002E-2</v>
      </c>
      <c r="S18" s="26"/>
      <c r="T18" s="43"/>
      <c r="V18" s="26"/>
      <c r="W18" s="33">
        <f>INPUT!$F$27</f>
        <v>0.1023</v>
      </c>
      <c r="X18" s="26"/>
      <c r="Y18" s="43"/>
      <c r="Z18" s="26"/>
      <c r="AB18" s="2"/>
      <c r="AC18" s="3"/>
      <c r="AD18" s="3"/>
      <c r="AE18" s="3"/>
      <c r="AF18" s="3"/>
    </row>
    <row r="19" spans="1:32" x14ac:dyDescent="0.25">
      <c r="A19" s="3"/>
      <c r="B19" s="3"/>
      <c r="C19" s="3"/>
      <c r="D19" s="3"/>
      <c r="E19" s="202"/>
      <c r="F19" s="202"/>
      <c r="G19" s="3"/>
      <c r="H19" s="3"/>
      <c r="I19" s="3"/>
      <c r="J19" s="202"/>
      <c r="K19" s="3"/>
      <c r="L19" s="202"/>
      <c r="M19" s="3"/>
      <c r="N19" s="3"/>
      <c r="O19" s="3"/>
      <c r="P19" s="3"/>
      <c r="Q19" s="26"/>
      <c r="R19" s="3" t="s">
        <v>14</v>
      </c>
      <c r="S19" s="26"/>
      <c r="T19" s="3"/>
      <c r="V19" s="26"/>
      <c r="W19" s="3" t="s">
        <v>14</v>
      </c>
      <c r="X19" s="26"/>
      <c r="Y19" s="3"/>
      <c r="Z19" s="26"/>
      <c r="AB19" s="2"/>
      <c r="AC19" s="3"/>
      <c r="AD19" s="3"/>
      <c r="AE19" s="3"/>
      <c r="AF19" s="3"/>
    </row>
    <row r="20" spans="1:32" x14ac:dyDescent="0.25">
      <c r="A20" s="3"/>
      <c r="B20" s="3"/>
      <c r="C20" s="3"/>
      <c r="D20" s="3"/>
      <c r="E20" s="3"/>
      <c r="F20" s="3"/>
      <c r="G20" s="87"/>
      <c r="H20" s="87"/>
      <c r="I20" s="87"/>
      <c r="J20" s="87"/>
      <c r="K20" s="3"/>
      <c r="L20" s="3"/>
      <c r="M20" s="3"/>
      <c r="N20" s="3"/>
      <c r="O20" s="3"/>
      <c r="P20" s="3"/>
      <c r="R20" s="3"/>
      <c r="S20" s="3"/>
      <c r="T20" s="3"/>
      <c r="W20" s="3"/>
      <c r="X20" s="3"/>
      <c r="Y20" s="3"/>
      <c r="Z20" s="3"/>
    </row>
    <row r="21" spans="1:32" x14ac:dyDescent="0.25">
      <c r="A21" s="1">
        <v>500</v>
      </c>
      <c r="C21" s="90">
        <f>+S21</f>
        <v>88.25</v>
      </c>
      <c r="D21" s="90">
        <f>+X21</f>
        <v>101.55</v>
      </c>
      <c r="E21" s="29">
        <f>+D21-C21</f>
        <v>13.299999999999997</v>
      </c>
      <c r="F21" s="55">
        <f>ROUND(+E21/C21,4)</f>
        <v>0.1507</v>
      </c>
      <c r="G21" s="90">
        <f>ROUND($R$10*$A21,2)</f>
        <v>-1.88</v>
      </c>
      <c r="H21" s="90">
        <f>ROUND($R$11*$A21,2)</f>
        <v>1.39</v>
      </c>
      <c r="I21" s="90">
        <f>ROUND($R$12*$A21,2)</f>
        <v>8.89</v>
      </c>
      <c r="J21" s="90">
        <f>+C21+G21+H21+I21</f>
        <v>96.65</v>
      </c>
      <c r="K21" s="29">
        <f>+D21+G21+H21+I21</f>
        <v>109.95</v>
      </c>
      <c r="L21" s="55">
        <f>ROUND((K21-J21)/J21,4)</f>
        <v>0.1376</v>
      </c>
      <c r="Q21" s="7">
        <f>+INPUT!$F$4</f>
        <v>40</v>
      </c>
      <c r="R21" s="6">
        <f>A21*$R$18</f>
        <v>48.25</v>
      </c>
      <c r="S21" s="6">
        <f>Q21+R21</f>
        <v>88.25</v>
      </c>
      <c r="T21" s="6"/>
      <c r="V21" s="7">
        <f>INPUT!$F$25</f>
        <v>50.4</v>
      </c>
      <c r="W21" s="6">
        <f>+$A21*W$18</f>
        <v>51.15</v>
      </c>
      <c r="X21" s="6">
        <f>V21+W21</f>
        <v>101.55</v>
      </c>
      <c r="Y21" s="6"/>
      <c r="Z21" s="6"/>
      <c r="AC21" s="6">
        <f>X21-S21</f>
        <v>13.299999999999997</v>
      </c>
      <c r="AE21" s="8">
        <f>X21/S21-1</f>
        <v>0.15070821529745038</v>
      </c>
      <c r="AF21" s="8"/>
    </row>
    <row r="22" spans="1:32" x14ac:dyDescent="0.25">
      <c r="C22" s="17"/>
      <c r="D22" s="17"/>
      <c r="G22" s="17"/>
      <c r="H22" s="17"/>
      <c r="I22" s="17"/>
      <c r="J22" s="17"/>
      <c r="Q22" s="7"/>
      <c r="R22" s="6"/>
      <c r="S22" s="6"/>
      <c r="T22" s="6"/>
      <c r="V22" s="7"/>
      <c r="W22" s="6"/>
      <c r="X22" s="6"/>
      <c r="Y22" s="6"/>
      <c r="Z22" s="6"/>
      <c r="AE22" s="8"/>
      <c r="AF22" s="8"/>
    </row>
    <row r="23" spans="1:32" x14ac:dyDescent="0.25">
      <c r="A23" s="1">
        <v>1000</v>
      </c>
      <c r="C23" s="90">
        <f>+S23</f>
        <v>136.5</v>
      </c>
      <c r="D23" s="90">
        <f>+X23</f>
        <v>152.69999999999999</v>
      </c>
      <c r="E23" s="29">
        <f>+D23-C23</f>
        <v>16.199999999999989</v>
      </c>
      <c r="F23" s="55">
        <f>ROUND(+E23/C23,4)</f>
        <v>0.1187</v>
      </c>
      <c r="G23" s="90">
        <f>ROUND($R$10*$A23,2)</f>
        <v>-3.77</v>
      </c>
      <c r="H23" s="90">
        <f>ROUND($R$11*$A23,2)</f>
        <v>2.79</v>
      </c>
      <c r="I23" s="90">
        <f>ROUND($R$12*$A23,2)</f>
        <v>17.79</v>
      </c>
      <c r="J23" s="90">
        <f>+C23+G23+H23+I23</f>
        <v>153.30999999999997</v>
      </c>
      <c r="K23" s="29">
        <f>+D23+G23+H23+I23</f>
        <v>169.50999999999996</v>
      </c>
      <c r="L23" s="55">
        <f>ROUND((K23-J23)/J23,4)</f>
        <v>0.1057</v>
      </c>
      <c r="Q23" s="7">
        <f>$Q$21</f>
        <v>40</v>
      </c>
      <c r="R23" s="6">
        <f>A23*$R$18</f>
        <v>96.5</v>
      </c>
      <c r="S23" s="6">
        <f>Q23+R23</f>
        <v>136.5</v>
      </c>
      <c r="T23" s="6"/>
      <c r="V23" s="7">
        <f>+$V$21</f>
        <v>50.4</v>
      </c>
      <c r="W23" s="6">
        <f>+$A23*W$18</f>
        <v>102.3</v>
      </c>
      <c r="X23" s="6">
        <f>V23+W23</f>
        <v>152.69999999999999</v>
      </c>
      <c r="Y23" s="6"/>
      <c r="Z23" s="6"/>
      <c r="AC23" s="6">
        <f>X23-S23</f>
        <v>16.199999999999989</v>
      </c>
      <c r="AE23" s="8">
        <f>X23/S23-1</f>
        <v>0.1186813186813187</v>
      </c>
      <c r="AF23" s="8"/>
    </row>
    <row r="24" spans="1:32" x14ac:dyDescent="0.25">
      <c r="C24" s="90"/>
      <c r="D24" s="90"/>
      <c r="E24" s="29"/>
      <c r="F24" s="55"/>
      <c r="G24" s="90"/>
      <c r="H24" s="90"/>
      <c r="I24" s="90"/>
      <c r="J24" s="90"/>
      <c r="K24" s="29"/>
      <c r="L24" s="55"/>
      <c r="Q24" s="56"/>
      <c r="R24" s="6"/>
      <c r="S24" s="6"/>
      <c r="T24" s="6"/>
      <c r="V24" s="7"/>
      <c r="W24" s="6"/>
      <c r="X24" s="6"/>
      <c r="Y24" s="6"/>
      <c r="Z24" s="6"/>
      <c r="AE24" s="27"/>
      <c r="AF24" s="27"/>
    </row>
    <row r="25" spans="1:32" s="10" customFormat="1" x14ac:dyDescent="0.25">
      <c r="A25" s="1">
        <v>2500</v>
      </c>
      <c r="B25"/>
      <c r="C25" s="90">
        <f>+S25</f>
        <v>281.25</v>
      </c>
      <c r="D25" s="90">
        <f>+X25</f>
        <v>306.14999999999998</v>
      </c>
      <c r="E25" s="29">
        <f>+D25-C25</f>
        <v>24.899999999999977</v>
      </c>
      <c r="F25" s="55">
        <f>ROUND(+E25/C25,4)</f>
        <v>8.8499999999999995E-2</v>
      </c>
      <c r="G25" s="90">
        <f>ROUND($R$10*$A25,2)</f>
        <v>-9.42</v>
      </c>
      <c r="H25" s="90">
        <f>ROUND($R$11*$A25,2)</f>
        <v>6.97</v>
      </c>
      <c r="I25" s="90">
        <f>ROUND($R$12*$A25,2)</f>
        <v>44.47</v>
      </c>
      <c r="J25" s="90">
        <f>+C25+G25+H25+I25</f>
        <v>323.27</v>
      </c>
      <c r="K25" s="29">
        <f>+D25+G25+H25+I25</f>
        <v>348.16999999999996</v>
      </c>
      <c r="L25" s="55">
        <f>ROUND((K25-J25)/J25,4)</f>
        <v>7.6999999999999999E-2</v>
      </c>
      <c r="Q25" s="56">
        <f>$Q$21</f>
        <v>40</v>
      </c>
      <c r="R25" s="6">
        <f>A25*$R$18</f>
        <v>241.25</v>
      </c>
      <c r="S25" s="11">
        <f>Q25+R25</f>
        <v>281.25</v>
      </c>
      <c r="T25" s="6"/>
      <c r="V25" s="7">
        <f>+$V$21</f>
        <v>50.4</v>
      </c>
      <c r="W25" s="6">
        <f>+$A25*W$18</f>
        <v>255.75</v>
      </c>
      <c r="X25" s="11">
        <f>V25+W25</f>
        <v>306.14999999999998</v>
      </c>
      <c r="Y25" s="6"/>
      <c r="Z25" s="11"/>
      <c r="AC25" s="11">
        <f>X25-S25</f>
        <v>24.899999999999977</v>
      </c>
      <c r="AE25" s="27">
        <f>X25/S25-1</f>
        <v>8.8533333333333353E-2</v>
      </c>
      <c r="AF25" s="27"/>
    </row>
    <row r="26" spans="1:32" x14ac:dyDescent="0.25">
      <c r="C26" s="17"/>
      <c r="D26" s="17"/>
      <c r="G26" s="17"/>
      <c r="H26" s="17"/>
      <c r="I26" s="17"/>
      <c r="J26" s="17"/>
      <c r="Q26" s="7"/>
      <c r="R26" s="6"/>
      <c r="S26" s="6"/>
      <c r="T26" s="6"/>
      <c r="V26" s="7"/>
      <c r="W26" s="6"/>
      <c r="X26" s="6"/>
      <c r="Y26" s="6"/>
      <c r="Z26" s="6"/>
      <c r="AE26" s="8"/>
      <c r="AF26" s="8"/>
    </row>
    <row r="27" spans="1:32" x14ac:dyDescent="0.25">
      <c r="A27" s="14">
        <f>INPUT!F19</f>
        <v>4755.3955041792278</v>
      </c>
      <c r="C27" s="90">
        <f>+S27</f>
        <v>498.89566615329551</v>
      </c>
      <c r="D27" s="90">
        <f>+X27</f>
        <v>536.87696007753505</v>
      </c>
      <c r="E27" s="29">
        <f>+D27-C27</f>
        <v>37.981293924239537</v>
      </c>
      <c r="F27" s="55">
        <f>ROUND(+E27/C27,4)</f>
        <v>7.6100000000000001E-2</v>
      </c>
      <c r="G27" s="90">
        <f>ROUND($R$10*$A27,2)</f>
        <v>-17.920000000000002</v>
      </c>
      <c r="H27" s="90">
        <f>ROUND($R$11*$A27,2)</f>
        <v>13.26</v>
      </c>
      <c r="I27" s="90">
        <f>ROUND($R$12*$A27,2)</f>
        <v>84.58</v>
      </c>
      <c r="J27" s="90">
        <f>+C27+G27+H27+I27</f>
        <v>578.81566615329552</v>
      </c>
      <c r="K27" s="29">
        <f>+D27+G27+H27+I27</f>
        <v>616.79696007753512</v>
      </c>
      <c r="L27" s="55">
        <f>ROUND((K27-J27)/J27,4)</f>
        <v>6.5600000000000006E-2</v>
      </c>
      <c r="Q27" s="7">
        <f>$Q$21</f>
        <v>40</v>
      </c>
      <c r="R27" s="6">
        <f>A27*$R$18</f>
        <v>458.89566615329551</v>
      </c>
      <c r="S27" s="6">
        <f>Q27+R27</f>
        <v>498.89566615329551</v>
      </c>
      <c r="T27" s="6"/>
      <c r="V27" s="7">
        <f>+$V$21</f>
        <v>50.4</v>
      </c>
      <c r="W27" s="6">
        <f>+$A27*W$18</f>
        <v>486.47696007753501</v>
      </c>
      <c r="X27" s="6">
        <f>V27+W27</f>
        <v>536.87696007753505</v>
      </c>
      <c r="Y27" s="6"/>
      <c r="Z27" s="6"/>
      <c r="AC27" s="6">
        <f>X27-S27</f>
        <v>37.981293924239537</v>
      </c>
      <c r="AE27" s="8">
        <f>X27/S27-1</f>
        <v>7.6130735344108968E-2</v>
      </c>
      <c r="AF27" s="8"/>
    </row>
    <row r="28" spans="1:32" x14ac:dyDescent="0.25">
      <c r="C28" s="17"/>
      <c r="D28" s="17"/>
      <c r="G28" s="17"/>
      <c r="H28" s="17"/>
      <c r="I28" s="17"/>
      <c r="J28" s="17"/>
      <c r="Q28" s="7"/>
      <c r="R28" s="6"/>
      <c r="S28" s="6"/>
      <c r="T28" s="6"/>
      <c r="V28" s="7"/>
      <c r="W28" s="6"/>
      <c r="X28" s="6"/>
      <c r="Y28" s="6"/>
      <c r="Z28" s="6"/>
      <c r="AE28" s="8"/>
      <c r="AF28" s="8"/>
    </row>
    <row r="29" spans="1:32" x14ac:dyDescent="0.25">
      <c r="A29" s="1">
        <v>7500</v>
      </c>
      <c r="C29" s="90">
        <f>+S29</f>
        <v>763.75</v>
      </c>
      <c r="D29" s="90">
        <f>+X29</f>
        <v>817.65</v>
      </c>
      <c r="E29" s="29">
        <f>+D29-C29</f>
        <v>53.899999999999977</v>
      </c>
      <c r="F29" s="55">
        <f>ROUND(+E29/C29,4)</f>
        <v>7.0599999999999996E-2</v>
      </c>
      <c r="G29" s="90">
        <f>ROUND($R$10*$A29,2)</f>
        <v>-28.26</v>
      </c>
      <c r="H29" s="90">
        <f>ROUND($R$11*$A29,2)</f>
        <v>20.91</v>
      </c>
      <c r="I29" s="90">
        <f>ROUND($R$12*$A29,2)</f>
        <v>133.4</v>
      </c>
      <c r="J29" s="90">
        <f>+C29+G29+H29+I29</f>
        <v>889.8</v>
      </c>
      <c r="K29" s="29">
        <f>+D29+G29+H29+I29</f>
        <v>943.69999999999993</v>
      </c>
      <c r="L29" s="55">
        <f>ROUND((K29-J29)/J29,4)</f>
        <v>6.0600000000000001E-2</v>
      </c>
      <c r="Q29" s="7">
        <f>$Q$21</f>
        <v>40</v>
      </c>
      <c r="R29" s="6">
        <f>A29*$R$18</f>
        <v>723.75</v>
      </c>
      <c r="S29" s="6">
        <f>Q29+R29</f>
        <v>763.75</v>
      </c>
      <c r="T29" s="6"/>
      <c r="V29" s="7">
        <f>+$V$21</f>
        <v>50.4</v>
      </c>
      <c r="W29" s="6">
        <f>+$A29*W$18</f>
        <v>767.25</v>
      </c>
      <c r="X29" s="6">
        <f>V29+W29</f>
        <v>817.65</v>
      </c>
      <c r="Y29" s="6"/>
      <c r="Z29" s="6"/>
      <c r="AC29" s="6">
        <f>X29-S29</f>
        <v>53.899999999999977</v>
      </c>
      <c r="AE29" s="8">
        <f>X29/S29-1</f>
        <v>7.0572831423895144E-2</v>
      </c>
      <c r="AF29" s="8"/>
    </row>
    <row r="30" spans="1:32" x14ac:dyDescent="0.25">
      <c r="C30" s="17"/>
      <c r="D30" s="17"/>
      <c r="G30" s="17"/>
      <c r="H30" s="17"/>
      <c r="I30" s="17"/>
      <c r="J30" s="17"/>
      <c r="Q30" s="7"/>
      <c r="R30" s="6"/>
      <c r="S30" s="6"/>
      <c r="T30" s="6"/>
      <c r="V30" s="7"/>
      <c r="W30" s="6"/>
      <c r="X30" s="6"/>
      <c r="Y30" s="6"/>
      <c r="Z30" s="6"/>
      <c r="AE30" s="8"/>
      <c r="AF30" s="8"/>
    </row>
    <row r="31" spans="1:32" x14ac:dyDescent="0.25">
      <c r="A31" s="1">
        <v>10000</v>
      </c>
      <c r="C31" s="90">
        <f>+S31</f>
        <v>1005</v>
      </c>
      <c r="D31" s="90">
        <f>+X31</f>
        <v>1073.4000000000001</v>
      </c>
      <c r="E31" s="29">
        <f>+D31-C31</f>
        <v>68.400000000000091</v>
      </c>
      <c r="F31" s="55">
        <f>ROUND(+E31/C31,4)</f>
        <v>6.8099999999999994E-2</v>
      </c>
      <c r="G31" s="90">
        <f>ROUND($R$10*$A31,2)</f>
        <v>-37.68</v>
      </c>
      <c r="H31" s="90">
        <f>ROUND($R$11*$A31,2)</f>
        <v>27.89</v>
      </c>
      <c r="I31" s="90">
        <f>ROUND($R$12*$A31,2)</f>
        <v>177.87</v>
      </c>
      <c r="J31" s="90">
        <f>+C31+G31+H31+I31</f>
        <v>1173.08</v>
      </c>
      <c r="K31" s="29">
        <f>+D31+G31+H31+I31</f>
        <v>1241.48</v>
      </c>
      <c r="L31" s="55">
        <f>ROUND((K31-J31)/J31,4)</f>
        <v>5.8299999999999998E-2</v>
      </c>
      <c r="Q31" s="7">
        <f>$Q$21</f>
        <v>40</v>
      </c>
      <c r="R31" s="6">
        <f>A31*$R$18</f>
        <v>965</v>
      </c>
      <c r="S31" s="6">
        <f>Q31+R31</f>
        <v>1005</v>
      </c>
      <c r="T31" s="6"/>
      <c r="V31" s="7">
        <f>+$V$21</f>
        <v>50.4</v>
      </c>
      <c r="W31" s="6">
        <f>+$A31*W$18</f>
        <v>1023</v>
      </c>
      <c r="X31" s="6">
        <f>V31+W31</f>
        <v>1073.4000000000001</v>
      </c>
      <c r="Y31" s="6"/>
      <c r="Z31" s="6"/>
      <c r="AC31" s="6">
        <f>X31-S31</f>
        <v>68.400000000000091</v>
      </c>
      <c r="AE31" s="8">
        <f>X31/S31-1</f>
        <v>6.8059701492537483E-2</v>
      </c>
      <c r="AF31" s="8"/>
    </row>
    <row r="32" spans="1:32" x14ac:dyDescent="0.25">
      <c r="A32" s="1"/>
      <c r="C32" s="17"/>
      <c r="D32" s="17"/>
      <c r="G32" s="17"/>
      <c r="H32" s="17"/>
      <c r="I32" s="17"/>
      <c r="J32" s="17"/>
      <c r="Q32" s="7"/>
      <c r="R32" s="6"/>
      <c r="S32" s="6"/>
      <c r="T32" s="6"/>
      <c r="V32" s="7"/>
      <c r="W32" s="6"/>
      <c r="X32" s="6"/>
      <c r="Y32" s="6"/>
      <c r="Z32" s="6"/>
      <c r="AE32" s="8"/>
      <c r="AF32" s="8"/>
    </row>
    <row r="33" spans="1:32" x14ac:dyDescent="0.25">
      <c r="A33" s="1">
        <v>15000</v>
      </c>
      <c r="C33" s="90">
        <f>+S33</f>
        <v>1487.5</v>
      </c>
      <c r="D33" s="90">
        <f>+X33</f>
        <v>1584.9</v>
      </c>
      <c r="E33" s="29">
        <f>+D33-C33</f>
        <v>97.400000000000091</v>
      </c>
      <c r="F33" s="55">
        <f>ROUND(+E33/C33,4)</f>
        <v>6.5500000000000003E-2</v>
      </c>
      <c r="G33" s="90">
        <f>ROUND($R$10*$A33,2)</f>
        <v>-56.52</v>
      </c>
      <c r="H33" s="90">
        <f>ROUND($R$11*$A33,2)</f>
        <v>41.83</v>
      </c>
      <c r="I33" s="90">
        <f>ROUND($R$12*$A33,2)</f>
        <v>266.81</v>
      </c>
      <c r="J33" s="90">
        <f>+C33+G33+H33+I33</f>
        <v>1739.62</v>
      </c>
      <c r="K33" s="29">
        <f>+D33+G33+H33+I33</f>
        <v>1837.02</v>
      </c>
      <c r="L33" s="55">
        <f>ROUND((K33-J33)/J33,4)</f>
        <v>5.6000000000000001E-2</v>
      </c>
      <c r="Q33" s="7">
        <f>$Q$21</f>
        <v>40</v>
      </c>
      <c r="R33" s="6">
        <f>A33*$R$18</f>
        <v>1447.5</v>
      </c>
      <c r="S33" s="6">
        <f>Q33+R33</f>
        <v>1487.5</v>
      </c>
      <c r="T33" s="6"/>
      <c r="V33" s="7">
        <f>+$V$21</f>
        <v>50.4</v>
      </c>
      <c r="W33" s="6">
        <f>+$A33*W$18</f>
        <v>1534.5</v>
      </c>
      <c r="X33" s="6">
        <f>V33+W33</f>
        <v>1584.9</v>
      </c>
      <c r="Y33" s="6"/>
      <c r="Z33" s="6"/>
      <c r="AC33" s="6">
        <f>X33-S33</f>
        <v>97.400000000000091</v>
      </c>
      <c r="AE33" s="8">
        <f>X33/S33-1</f>
        <v>6.5478991596638725E-2</v>
      </c>
      <c r="AF33" s="8"/>
    </row>
    <row r="34" spans="1:32" x14ac:dyDescent="0.25">
      <c r="C34" s="17"/>
      <c r="D34" s="17"/>
      <c r="G34" s="17"/>
      <c r="H34" s="17"/>
      <c r="I34" s="17"/>
      <c r="J34" s="17"/>
      <c r="Q34" s="7"/>
      <c r="R34" s="6"/>
      <c r="S34" s="6"/>
      <c r="T34" s="6"/>
      <c r="V34" s="7"/>
      <c r="W34" s="6"/>
      <c r="X34" s="6"/>
      <c r="Y34" s="6"/>
      <c r="Z34" s="6"/>
      <c r="AE34" s="8"/>
      <c r="AF34" s="8"/>
    </row>
    <row r="35" spans="1:32" x14ac:dyDescent="0.25">
      <c r="A35" s="1">
        <v>20000</v>
      </c>
      <c r="C35" s="90">
        <f>+S35</f>
        <v>1970</v>
      </c>
      <c r="D35" s="90">
        <f>+X35</f>
        <v>2096.4</v>
      </c>
      <c r="E35" s="29">
        <f>+D35-C35</f>
        <v>126.40000000000009</v>
      </c>
      <c r="F35" s="55">
        <f>ROUND(+E35/C35,4)</f>
        <v>6.4199999999999993E-2</v>
      </c>
      <c r="G35" s="90">
        <f>ROUND($R$10*$A35,2)</f>
        <v>-75.36</v>
      </c>
      <c r="H35" s="90">
        <f>ROUND($R$11*$A35,2)</f>
        <v>55.77</v>
      </c>
      <c r="I35" s="90">
        <f>ROUND($R$12*$A35,2)</f>
        <v>355.74</v>
      </c>
      <c r="J35" s="90">
        <f>+C35+G35+H35+I35</f>
        <v>2306.15</v>
      </c>
      <c r="K35" s="29">
        <f>+D35+G35+H35+I35</f>
        <v>2432.5500000000002</v>
      </c>
      <c r="L35" s="55">
        <f>ROUND((K35-J35)/J35,4)</f>
        <v>5.4800000000000001E-2</v>
      </c>
      <c r="Q35" s="7">
        <f>$Q$21</f>
        <v>40</v>
      </c>
      <c r="R35" s="6">
        <f>A35*$R$18</f>
        <v>1930</v>
      </c>
      <c r="S35" s="6">
        <f>Q35+R35</f>
        <v>1970</v>
      </c>
      <c r="T35" s="6"/>
      <c r="V35" s="7">
        <f>+$V$21</f>
        <v>50.4</v>
      </c>
      <c r="W35" s="6">
        <f>+$A35*W$18</f>
        <v>2046</v>
      </c>
      <c r="X35" s="6">
        <f>V35+W35</f>
        <v>2096.4</v>
      </c>
      <c r="Y35" s="6"/>
      <c r="Z35" s="6"/>
      <c r="AE35" s="8"/>
      <c r="AF35" s="8"/>
    </row>
    <row r="36" spans="1:32" x14ac:dyDescent="0.25">
      <c r="C36" s="17"/>
      <c r="D36" s="17"/>
      <c r="G36" s="17"/>
      <c r="H36" s="17"/>
      <c r="I36" s="17"/>
      <c r="J36" s="17"/>
      <c r="Q36" s="7"/>
      <c r="R36" s="6"/>
      <c r="S36" s="6"/>
      <c r="T36" s="6"/>
      <c r="V36" s="7"/>
      <c r="W36" s="6"/>
      <c r="X36" s="6"/>
      <c r="Y36" s="6"/>
      <c r="Z36" s="6"/>
      <c r="AE36" s="8"/>
      <c r="AF36" s="8"/>
    </row>
    <row r="37" spans="1:32" x14ac:dyDescent="0.25">
      <c r="Q37" s="7"/>
    </row>
    <row r="38" spans="1:32" x14ac:dyDescent="0.25">
      <c r="A38" s="17" t="s">
        <v>336</v>
      </c>
    </row>
    <row r="39" spans="1:32" x14ac:dyDescent="0.25">
      <c r="A39" s="208" t="str">
        <f>("Average usage = "&amp;TEXT(INPUT!F19*1,"0,000")&amp;" kWh per month")</f>
        <v>Average usage = 4,755 kWh per month</v>
      </c>
    </row>
    <row r="40" spans="1:32" x14ac:dyDescent="0.25">
      <c r="A40" s="210" t="s">
        <v>337</v>
      </c>
    </row>
    <row r="41" spans="1:32" x14ac:dyDescent="0.25">
      <c r="A41" s="210" t="str">
        <f>+'Rate Case Constants'!C26</f>
        <v>Calculations may vary from other schedules due to rounding</v>
      </c>
    </row>
    <row r="42" spans="1:32" ht="12" customHeight="1" x14ac:dyDescent="0.25"/>
  </sheetData>
  <mergeCells count="5">
    <mergeCell ref="A1:L1"/>
    <mergeCell ref="A2:L2"/>
    <mergeCell ref="A3:L3"/>
    <mergeCell ref="A4:L4"/>
    <mergeCell ref="G15:I15"/>
  </mergeCells>
  <printOptions horizontalCentered="1"/>
  <pageMargins left="0.75" right="0.75" top="1.5" bottom="0.5" header="1" footer="0.5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45"/>
  <sheetViews>
    <sheetView view="pageBreakPreview" zoomScaleNormal="100" zoomScaleSheetLayoutView="100" workbookViewId="0">
      <selection activeCell="A31" sqref="A31"/>
    </sheetView>
  </sheetViews>
  <sheetFormatPr defaultRowHeight="13.2" x14ac:dyDescent="0.25"/>
  <cols>
    <col min="1" max="1" width="6.109375" customWidth="1"/>
    <col min="2" max="2" width="2.109375" customWidth="1"/>
    <col min="3" max="3" width="7.33203125" bestFit="1" customWidth="1"/>
    <col min="4" max="4" width="2.5546875" customWidth="1"/>
    <col min="5" max="5" width="8.109375" customWidth="1"/>
    <col min="6" max="6" width="3" customWidth="1"/>
    <col min="7" max="8" width="12.33203125" bestFit="1" customWidth="1"/>
    <col min="9" max="9" width="10.33203125" bestFit="1" customWidth="1"/>
    <col min="10" max="10" width="9.33203125" bestFit="1" customWidth="1"/>
    <col min="11" max="11" width="10.6640625" bestFit="1" customWidth="1"/>
    <col min="12" max="12" width="10" bestFit="1" customWidth="1"/>
    <col min="13" max="13" width="11.5546875" customWidth="1"/>
    <col min="14" max="15" width="12.33203125" bestFit="1" customWidth="1"/>
    <col min="16" max="16" width="10.88671875" customWidth="1"/>
    <col min="17" max="17" width="5.5546875" customWidth="1"/>
    <col min="18" max="18" width="5" customWidth="1"/>
    <col min="19" max="19" width="10.88671875" customWidth="1"/>
    <col min="20" max="20" width="10.88671875" bestFit="1" customWidth="1"/>
    <col min="21" max="21" width="11.44140625" customWidth="1"/>
    <col min="22" max="22" width="2" customWidth="1"/>
    <col min="23" max="23" width="11.88671875" bestFit="1" customWidth="1"/>
    <col min="24" max="24" width="4.6640625" customWidth="1"/>
    <col min="25" max="25" width="13" customWidth="1"/>
    <col min="26" max="26" width="5" customWidth="1"/>
    <col min="27" max="27" width="3.109375" customWidth="1"/>
    <col min="28" max="28" width="16.33203125" bestFit="1" customWidth="1"/>
    <col min="29" max="30" width="12" bestFit="1" customWidth="1"/>
    <col min="31" max="31" width="4.5546875" customWidth="1"/>
    <col min="32" max="32" width="12" bestFit="1" customWidth="1"/>
    <col min="33" max="33" width="3.33203125" customWidth="1"/>
    <col min="34" max="34" width="12.109375" bestFit="1" customWidth="1"/>
    <col min="35" max="36" width="12.5546875" bestFit="1" customWidth="1"/>
  </cols>
  <sheetData>
    <row r="1" spans="1:42" x14ac:dyDescent="0.25">
      <c r="A1" s="441" t="str">
        <f>+'Rate Case Constants'!C9</f>
        <v>LOUISVILLE GAS AND ELECTRIC COMPANY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</row>
    <row r="2" spans="1:42" x14ac:dyDescent="0.25">
      <c r="A2" s="441" t="str">
        <f>+'Rate Case Constants'!C10</f>
        <v>CASE NO. 2016-00371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</row>
    <row r="3" spans="1:42" x14ac:dyDescent="0.25">
      <c r="A3" s="442" t="str">
        <f>+'Rate Case Constants'!C24</f>
        <v>Typical Electric Bill Comparison under Present &amp; Proposed Rates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</row>
    <row r="4" spans="1:42" x14ac:dyDescent="0.25">
      <c r="A4" s="441" t="str">
        <f>+'Rate Case Constants'!C21</f>
        <v>FORECAST PERIOD FOR THE 12 MONTHS ENDED JUNE 30, 2018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42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</row>
    <row r="6" spans="1:42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</row>
    <row r="7" spans="1:42" x14ac:dyDescent="0.25">
      <c r="A7" s="340" t="str">
        <f>+'Rate Case Constants'!C33</f>
        <v>DATA: ____BASE PERIOD__X___FORECASTED PERIOD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1" t="str">
        <f>+'Rate Case Constants'!C25</f>
        <v>SCHEDULE N (Electric)</v>
      </c>
    </row>
    <row r="8" spans="1:42" x14ac:dyDescent="0.25">
      <c r="A8" s="340" t="str">
        <f>+'Rate Case Constants'!C29</f>
        <v>TYPE OF FILING: __X__ ORIGINAL  _____ UPDATED  _____ REVISED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2"/>
      <c r="M8" s="340"/>
      <c r="N8" s="340"/>
      <c r="O8" s="340"/>
      <c r="P8" s="342" t="str">
        <f>+'Rate Case Constants'!L13</f>
        <v>PAGE 6 of 21</v>
      </c>
    </row>
    <row r="9" spans="1:42" x14ac:dyDescent="0.25">
      <c r="A9" s="340" t="str">
        <f>+'Rate Case Constants'!C34</f>
        <v>WORKPAPER REFERENCE NO(S):________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2" t="str">
        <f>+'Rate Case Constants'!C36</f>
        <v>WITNESS:   C. M. GARRETT</v>
      </c>
    </row>
    <row r="10" spans="1:42" x14ac:dyDescent="0.25">
      <c r="A10" s="340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S10" s="84" t="s">
        <v>71</v>
      </c>
      <c r="T10">
        <f>+INPUT!G52</f>
        <v>-3.7854047745119728E-3</v>
      </c>
    </row>
    <row r="11" spans="1:42" x14ac:dyDescent="0.25">
      <c r="A11" s="351" t="s">
        <v>298</v>
      </c>
      <c r="B11" s="2"/>
      <c r="C11" s="2"/>
      <c r="S11" s="84" t="s">
        <v>73</v>
      </c>
      <c r="T11">
        <f>+INPUT!H52</f>
        <v>4.8410655678386998E-4</v>
      </c>
    </row>
    <row r="12" spans="1:42" x14ac:dyDescent="0.25">
      <c r="B12" s="2"/>
      <c r="C12" s="2"/>
      <c r="S12" s="84" t="s">
        <v>72</v>
      </c>
      <c r="T12">
        <f>+INPUT!I52</f>
        <v>3.8201971291881662E-3</v>
      </c>
    </row>
    <row r="13" spans="1:42" x14ac:dyDescent="0.25">
      <c r="A13" s="45"/>
      <c r="G13" s="202" t="s">
        <v>326</v>
      </c>
      <c r="H13" s="203" t="s">
        <v>327</v>
      </c>
      <c r="I13" s="203" t="s">
        <v>328</v>
      </c>
      <c r="J13" s="202" t="s">
        <v>329</v>
      </c>
      <c r="K13" s="202" t="s">
        <v>330</v>
      </c>
      <c r="L13" s="202" t="s">
        <v>331</v>
      </c>
      <c r="M13" s="203" t="s">
        <v>332</v>
      </c>
      <c r="N13" s="202" t="s">
        <v>333</v>
      </c>
      <c r="O13" s="202" t="s">
        <v>334</v>
      </c>
      <c r="P13" s="202" t="s">
        <v>335</v>
      </c>
      <c r="Y13" s="3" t="s">
        <v>72</v>
      </c>
      <c r="Z13" s="3"/>
      <c r="AG13" s="30"/>
      <c r="AH13" s="3" t="s">
        <v>72</v>
      </c>
      <c r="AI13" s="30"/>
      <c r="AJ13" s="30"/>
      <c r="AK13" s="30"/>
      <c r="AL13" s="30"/>
      <c r="AM13" s="30"/>
      <c r="AN13" s="30"/>
      <c r="AO13" s="30"/>
      <c r="AP13" s="30"/>
    </row>
    <row r="14" spans="1:42" x14ac:dyDescent="0.25">
      <c r="G14" s="313" t="s">
        <v>366</v>
      </c>
      <c r="H14" s="313" t="s">
        <v>366</v>
      </c>
      <c r="I14" s="206"/>
      <c r="J14" s="206"/>
      <c r="K14" s="206"/>
      <c r="L14" s="206"/>
      <c r="M14" s="206"/>
      <c r="N14" s="202" t="s">
        <v>5</v>
      </c>
      <c r="O14" s="202" t="s">
        <v>5</v>
      </c>
      <c r="P14" s="206"/>
      <c r="S14" s="3" t="s">
        <v>1</v>
      </c>
      <c r="T14" s="3" t="s">
        <v>1</v>
      </c>
      <c r="U14" s="3" t="s">
        <v>1</v>
      </c>
      <c r="W14" s="3" t="s">
        <v>1</v>
      </c>
      <c r="Y14" s="3" t="s">
        <v>1</v>
      </c>
      <c r="Z14" s="3"/>
      <c r="AB14" s="3" t="s">
        <v>9</v>
      </c>
      <c r="AC14" s="3" t="s">
        <v>9</v>
      </c>
      <c r="AD14" s="21" t="s">
        <v>9</v>
      </c>
      <c r="AE14" s="20"/>
      <c r="AF14" s="21" t="s">
        <v>9</v>
      </c>
      <c r="AG14" s="20"/>
      <c r="AH14" s="3" t="s">
        <v>1</v>
      </c>
      <c r="AI14" s="20"/>
      <c r="AK14" s="30"/>
      <c r="AM14" s="30"/>
      <c r="AN14" s="30"/>
    </row>
    <row r="15" spans="1:42" x14ac:dyDescent="0.25">
      <c r="C15" s="3" t="s">
        <v>27</v>
      </c>
      <c r="E15" s="3"/>
      <c r="F15" s="3"/>
      <c r="G15" s="202" t="s">
        <v>1</v>
      </c>
      <c r="H15" s="202" t="s">
        <v>74</v>
      </c>
      <c r="I15" s="202"/>
      <c r="J15" s="202"/>
      <c r="K15" s="436" t="s">
        <v>130</v>
      </c>
      <c r="L15" s="436"/>
      <c r="M15" s="437"/>
      <c r="N15" s="202" t="s">
        <v>1</v>
      </c>
      <c r="O15" s="202" t="s">
        <v>74</v>
      </c>
      <c r="P15" s="202"/>
      <c r="Q15" s="3"/>
      <c r="R15" s="3"/>
      <c r="S15" s="3" t="s">
        <v>2</v>
      </c>
      <c r="T15" s="3" t="s">
        <v>58</v>
      </c>
      <c r="U15" s="3" t="s">
        <v>28</v>
      </c>
      <c r="V15" s="3"/>
      <c r="W15" s="3" t="s">
        <v>5</v>
      </c>
      <c r="Y15" s="3" t="s">
        <v>76</v>
      </c>
      <c r="Z15" s="3"/>
      <c r="AB15" s="26" t="s">
        <v>57</v>
      </c>
      <c r="AC15" s="3" t="s">
        <v>58</v>
      </c>
      <c r="AD15" s="22" t="s">
        <v>18</v>
      </c>
      <c r="AE15" s="21"/>
      <c r="AF15" s="21" t="s">
        <v>5</v>
      </c>
      <c r="AG15" s="23"/>
      <c r="AH15" s="3" t="s">
        <v>76</v>
      </c>
      <c r="AI15" s="21" t="s">
        <v>6</v>
      </c>
      <c r="AJ15" s="3" t="s">
        <v>8</v>
      </c>
      <c r="AK15" s="48"/>
      <c r="AL15" s="48"/>
      <c r="AM15" s="47"/>
      <c r="AN15" s="47"/>
      <c r="AO15" s="47"/>
      <c r="AP15" s="47"/>
    </row>
    <row r="16" spans="1:42" x14ac:dyDescent="0.25">
      <c r="A16" s="3" t="s">
        <v>52</v>
      </c>
      <c r="C16" s="3" t="s">
        <v>24</v>
      </c>
      <c r="E16" s="3" t="s">
        <v>51</v>
      </c>
      <c r="F16" s="3"/>
      <c r="G16" s="202" t="s">
        <v>4</v>
      </c>
      <c r="H16" s="202" t="s">
        <v>4</v>
      </c>
      <c r="I16" s="202" t="s">
        <v>75</v>
      </c>
      <c r="J16" s="202" t="s">
        <v>75</v>
      </c>
      <c r="K16" s="202" t="s">
        <v>421</v>
      </c>
      <c r="L16" s="202" t="s">
        <v>73</v>
      </c>
      <c r="M16" s="202" t="s">
        <v>72</v>
      </c>
      <c r="N16" s="202" t="s">
        <v>4</v>
      </c>
      <c r="O16" s="202" t="s">
        <v>4</v>
      </c>
      <c r="P16" s="202" t="s">
        <v>75</v>
      </c>
      <c r="Q16" s="3"/>
      <c r="R16" s="3"/>
      <c r="S16" s="26" t="s">
        <v>3</v>
      </c>
      <c r="T16" s="3" t="s">
        <v>3</v>
      </c>
      <c r="U16" s="3" t="s">
        <v>59</v>
      </c>
      <c r="V16" s="3"/>
      <c r="W16" s="3" t="s">
        <v>4</v>
      </c>
      <c r="Y16" s="3" t="s">
        <v>3</v>
      </c>
      <c r="Z16" s="3"/>
      <c r="AB16" s="26" t="s">
        <v>3</v>
      </c>
      <c r="AC16" s="3" t="s">
        <v>3</v>
      </c>
      <c r="AD16" s="22" t="s">
        <v>56</v>
      </c>
      <c r="AE16" s="21"/>
      <c r="AF16" s="21" t="s">
        <v>4</v>
      </c>
      <c r="AG16" s="23"/>
      <c r="AH16" s="3" t="s">
        <v>3</v>
      </c>
      <c r="AI16" s="21" t="s">
        <v>7</v>
      </c>
      <c r="AJ16" s="3" t="s">
        <v>7</v>
      </c>
      <c r="AL16" s="30"/>
      <c r="AM16" s="30"/>
      <c r="AN16" s="30"/>
      <c r="AO16" s="30"/>
      <c r="AP16" s="30"/>
    </row>
    <row r="17" spans="1:41" x14ac:dyDescent="0.25">
      <c r="A17" s="3"/>
      <c r="C17" s="3"/>
      <c r="E17" s="3"/>
      <c r="F17" s="3"/>
      <c r="G17" s="202"/>
      <c r="H17" s="202"/>
      <c r="I17" s="202" t="s">
        <v>69</v>
      </c>
      <c r="J17" s="203" t="s">
        <v>70</v>
      </c>
      <c r="K17" s="204"/>
      <c r="L17" s="204"/>
      <c r="M17" s="205"/>
      <c r="N17" s="202" t="s">
        <v>69</v>
      </c>
      <c r="O17" s="202" t="s">
        <v>69</v>
      </c>
      <c r="P17" s="203" t="s">
        <v>70</v>
      </c>
      <c r="Q17" s="3"/>
      <c r="R17" s="3"/>
      <c r="S17" s="26"/>
      <c r="T17" s="43">
        <f>+INPUT!$H$6</f>
        <v>4.0710000000000003E-2</v>
      </c>
      <c r="U17" s="46">
        <f>+INPUT!$H$12</f>
        <v>18.399999999999999</v>
      </c>
      <c r="V17" s="45" t="s">
        <v>67</v>
      </c>
      <c r="W17" s="3"/>
      <c r="Y17" s="43"/>
      <c r="Z17" s="43"/>
      <c r="AB17" s="26"/>
      <c r="AC17" s="43">
        <f>+INPUT!$H$27</f>
        <v>4.0710000000000003E-2</v>
      </c>
      <c r="AD17" s="46">
        <f>INPUT!$H$33</f>
        <v>20.93</v>
      </c>
      <c r="AE17" s="45" t="s">
        <v>67</v>
      </c>
      <c r="AF17" s="21"/>
      <c r="AG17" s="23"/>
      <c r="AH17" s="43"/>
      <c r="AI17" s="21"/>
      <c r="AJ17" s="3"/>
      <c r="AM17" s="30"/>
      <c r="AN17" s="47"/>
      <c r="AO17" s="30"/>
    </row>
    <row r="18" spans="1:41" x14ac:dyDescent="0.25">
      <c r="A18" s="81"/>
      <c r="B18" s="16"/>
      <c r="C18" s="81"/>
      <c r="D18" s="16"/>
      <c r="E18" s="81"/>
      <c r="F18" s="81"/>
      <c r="G18" s="325"/>
      <c r="H18" s="325"/>
      <c r="I18" s="325" t="str">
        <f>("[ "&amp;H13&amp;" - "&amp;G13&amp;" ]")</f>
        <v>[ B - A ]</v>
      </c>
      <c r="J18" s="325" t="str">
        <f>("[ "&amp;I13&amp;" / "&amp;G13&amp;" ]")</f>
        <v>[ C / A ]</v>
      </c>
      <c r="K18" s="353"/>
      <c r="L18" s="353"/>
      <c r="M18" s="353"/>
      <c r="N18" s="325" t="str">
        <f>("["&amp;G13&amp;"+"&amp;$K$13&amp;"+"&amp;$L$13&amp;"+"&amp;$M$13&amp;"]")</f>
        <v>[A+E+F+G]</v>
      </c>
      <c r="O18" s="325" t="str">
        <f>("["&amp;H13&amp;"+"&amp;$K$13&amp;"+"&amp;$L$13&amp;"+"&amp;$M$13&amp;"]")</f>
        <v>[B+E+F+G]</v>
      </c>
      <c r="P18" s="325" t="str">
        <f>("[("&amp;O13&amp;" - "&amp;N13&amp;")/"&amp;N13&amp;"]")</f>
        <v>[(I - H)/H]</v>
      </c>
      <c r="Q18" s="3"/>
      <c r="R18" s="3"/>
      <c r="S18" s="26"/>
      <c r="T18" s="3" t="s">
        <v>14</v>
      </c>
      <c r="U18" s="46">
        <f>+INPUT!$H$13</f>
        <v>15.99</v>
      </c>
      <c r="V18" s="45" t="s">
        <v>68</v>
      </c>
      <c r="W18" s="3"/>
      <c r="Y18" s="3" t="s">
        <v>14</v>
      </c>
      <c r="Z18" s="3"/>
      <c r="AB18" s="26"/>
      <c r="AC18" s="3" t="s">
        <v>14</v>
      </c>
      <c r="AD18" s="46">
        <f>INPUT!$H$34</f>
        <v>18.190000000000001</v>
      </c>
      <c r="AE18" s="45" t="s">
        <v>68</v>
      </c>
      <c r="AF18" s="21"/>
      <c r="AG18" s="23"/>
      <c r="AH18" s="3" t="s">
        <v>14</v>
      </c>
      <c r="AI18" s="21"/>
      <c r="AJ18" s="3"/>
    </row>
    <row r="19" spans="1:41" x14ac:dyDescent="0.25">
      <c r="A19" s="3"/>
      <c r="E19" s="3"/>
      <c r="F19" s="3"/>
      <c r="G19" s="3"/>
      <c r="H19" s="3"/>
      <c r="I19" s="202"/>
      <c r="J19" s="202"/>
      <c r="K19" s="3"/>
      <c r="L19" s="3"/>
      <c r="M19" s="3"/>
      <c r="N19" s="202"/>
      <c r="O19" s="3"/>
      <c r="P19" s="202"/>
      <c r="Q19" s="3"/>
      <c r="R19" s="3"/>
      <c r="T19" s="3"/>
      <c r="U19" s="3"/>
      <c r="V19" s="3"/>
      <c r="W19" s="3"/>
      <c r="Y19" s="3"/>
      <c r="Z19" s="3"/>
      <c r="AC19" s="21"/>
      <c r="AD19" s="21"/>
      <c r="AE19" s="21"/>
      <c r="AF19" s="21"/>
      <c r="AG19" s="20"/>
      <c r="AH19" s="21"/>
      <c r="AI19" s="20"/>
    </row>
    <row r="20" spans="1:41" x14ac:dyDescent="0.25">
      <c r="A20" s="1">
        <v>50</v>
      </c>
      <c r="C20" s="13">
        <v>0.3</v>
      </c>
      <c r="E20" s="1">
        <f>C20*($A$20*730)</f>
        <v>10950</v>
      </c>
      <c r="G20" s="29">
        <f>+W20</f>
        <v>1385.4845</v>
      </c>
      <c r="H20" s="29">
        <f>+AF20</f>
        <v>1502.3544999999999</v>
      </c>
      <c r="I20" s="29">
        <f>+H20-G20</f>
        <v>116.86999999999989</v>
      </c>
      <c r="J20" s="55">
        <f>ROUND(+I20/G20,4)</f>
        <v>8.4400000000000003E-2</v>
      </c>
      <c r="K20" s="29">
        <f>ROUND($T$10*$E20,2)</f>
        <v>-41.45</v>
      </c>
      <c r="L20" s="29">
        <f>ROUND($T$11*$E20,2)</f>
        <v>5.3</v>
      </c>
      <c r="M20" s="29">
        <f>ROUND($T$12*$E20,2)</f>
        <v>41.83</v>
      </c>
      <c r="N20" s="29">
        <f>+G20+K20+L20+M20</f>
        <v>1391.1644999999999</v>
      </c>
      <c r="O20" s="29">
        <f>+H20+K20+L20+M20</f>
        <v>1508.0344999999998</v>
      </c>
      <c r="P20" s="55">
        <f>(O20-N20)/N20</f>
        <v>8.4008756692684372E-2</v>
      </c>
      <c r="S20" s="7">
        <f>+INPUT!$H$4</f>
        <v>90</v>
      </c>
      <c r="T20" s="20">
        <f>$T$17*E20</f>
        <v>445.77450000000005</v>
      </c>
      <c r="U20" s="20">
        <f>ROUND((($A$20*$U$17*5)+($A$20*$U$18*7))/12,2)</f>
        <v>849.71</v>
      </c>
      <c r="V20" s="20"/>
      <c r="W20" s="20">
        <f>S20+T20+U20</f>
        <v>1385.4845</v>
      </c>
      <c r="X20" s="20"/>
      <c r="Y20" s="20"/>
      <c r="Z20" s="20"/>
      <c r="AA20" s="20"/>
      <c r="AB20" s="7">
        <f>INPUT!$H$25</f>
        <v>90</v>
      </c>
      <c r="AC20" s="20">
        <f>$AC$17*E20</f>
        <v>445.77450000000005</v>
      </c>
      <c r="AD20" s="20">
        <f>ROUND((($A$20*$AD$17*5)+($A$20*$AD$18*7))/12,2)</f>
        <v>966.58</v>
      </c>
      <c r="AE20" s="20"/>
      <c r="AF20" s="20">
        <f>AB20+AC20+AD20</f>
        <v>1502.3544999999999</v>
      </c>
      <c r="AG20" s="20"/>
      <c r="AH20" s="20"/>
      <c r="AI20" s="19">
        <f>AF20-W20</f>
        <v>116.86999999999989</v>
      </c>
      <c r="AJ20" s="18">
        <f>AF20/W20-1</f>
        <v>8.4353163099262218E-2</v>
      </c>
    </row>
    <row r="21" spans="1:41" x14ac:dyDescent="0.25">
      <c r="A21" s="1"/>
      <c r="C21" s="13">
        <v>0.5</v>
      </c>
      <c r="E21" s="1">
        <f>C21*($A$20*730)</f>
        <v>18250</v>
      </c>
      <c r="G21" s="29">
        <f>+W21</f>
        <v>1682.6675</v>
      </c>
      <c r="H21" s="29">
        <f>+AF21</f>
        <v>1799.5375000000001</v>
      </c>
      <c r="I21" s="29">
        <f>+H21-G21</f>
        <v>116.87000000000012</v>
      </c>
      <c r="J21" s="55">
        <f>ROUND(+I21/G21,4)</f>
        <v>6.9500000000000006E-2</v>
      </c>
      <c r="K21" s="29">
        <f>ROUND($T$10*$E21,2)</f>
        <v>-69.08</v>
      </c>
      <c r="L21" s="29">
        <f>ROUND($T$11*$E21,2)</f>
        <v>8.83</v>
      </c>
      <c r="M21" s="29">
        <f>ROUND($T$12*$E21,2)</f>
        <v>69.72</v>
      </c>
      <c r="N21" s="29">
        <f>+G21+K21+L21+M21</f>
        <v>1692.1375</v>
      </c>
      <c r="O21" s="29">
        <f>+H21+K21+L21+M21</f>
        <v>1809.0075000000002</v>
      </c>
      <c r="P21" s="55">
        <f>(O21-N21)/N21</f>
        <v>6.9066491346004746E-2</v>
      </c>
      <c r="S21" s="7">
        <f>$S$20</f>
        <v>90</v>
      </c>
      <c r="T21" s="20">
        <f>$T$17*E21</f>
        <v>742.9575000000001</v>
      </c>
      <c r="U21" s="20">
        <f>ROUND((($A$20*$U$17*5)+($A$20*$U$18*7))/12,2)</f>
        <v>849.71</v>
      </c>
      <c r="V21" s="20"/>
      <c r="W21" s="20">
        <f>S21+T21+U21</f>
        <v>1682.6675</v>
      </c>
      <c r="X21" s="20"/>
      <c r="Y21" s="20"/>
      <c r="Z21" s="20"/>
      <c r="AA21" s="20"/>
      <c r="AB21" s="7">
        <f>INPUT!$H$25</f>
        <v>90</v>
      </c>
      <c r="AC21" s="20">
        <f>$AC$17*E21</f>
        <v>742.9575000000001</v>
      </c>
      <c r="AD21" s="20">
        <f>ROUND((($A$20*$AD$17*5)+($A$20*$AD$18*7))/12,2)</f>
        <v>966.58</v>
      </c>
      <c r="AE21" s="20"/>
      <c r="AF21" s="20">
        <f>AB21+AC21+AD21</f>
        <v>1799.5375000000001</v>
      </c>
      <c r="AG21" s="20"/>
      <c r="AH21" s="20"/>
      <c r="AI21" s="19">
        <f>AF21-W21</f>
        <v>116.87000000000012</v>
      </c>
      <c r="AJ21" s="18">
        <f>AF21/W21-1</f>
        <v>6.9455195396594949E-2</v>
      </c>
    </row>
    <row r="22" spans="1:41" x14ac:dyDescent="0.25">
      <c r="A22" s="1"/>
      <c r="C22" s="13">
        <v>0.7</v>
      </c>
      <c r="E22" s="1">
        <f>C22*($A$20*730)</f>
        <v>25550</v>
      </c>
      <c r="G22" s="29">
        <f>+W22</f>
        <v>1979.8505</v>
      </c>
      <c r="H22" s="29">
        <f>+AF22</f>
        <v>2096.7204999999999</v>
      </c>
      <c r="I22" s="29">
        <f>+H22-G22</f>
        <v>116.86999999999989</v>
      </c>
      <c r="J22" s="55">
        <f>ROUND(+I22/G22,4)</f>
        <v>5.8999999999999997E-2</v>
      </c>
      <c r="K22" s="29">
        <f>ROUND($T$10*$E22,2)</f>
        <v>-96.72</v>
      </c>
      <c r="L22" s="29">
        <f>ROUND($T$11*$E22,2)</f>
        <v>12.37</v>
      </c>
      <c r="M22" s="29">
        <f>ROUND($T$12*$E22,2)</f>
        <v>97.61</v>
      </c>
      <c r="N22" s="29">
        <f>+G22+K22+L22+M22</f>
        <v>1993.1104999999998</v>
      </c>
      <c r="O22" s="29">
        <f>+H22+K22+L22+M22</f>
        <v>2109.9804999999997</v>
      </c>
      <c r="P22" s="55">
        <f>(O22-N22)/N22</f>
        <v>5.8636989770511926E-2</v>
      </c>
      <c r="S22" s="7">
        <f>$S$20</f>
        <v>90</v>
      </c>
      <c r="T22" s="20">
        <f>$T$17*E22</f>
        <v>1040.1405</v>
      </c>
      <c r="U22" s="20">
        <f>ROUND((($A$20*$U$17*5)+($A$20*$U$18*7))/12,2)</f>
        <v>849.71</v>
      </c>
      <c r="V22" s="20"/>
      <c r="W22" s="20">
        <f>S22+T22+U22</f>
        <v>1979.8505</v>
      </c>
      <c r="X22" s="20"/>
      <c r="Y22" s="20"/>
      <c r="Z22" s="20"/>
      <c r="AA22" s="20"/>
      <c r="AB22" s="7">
        <f>INPUT!$H$25</f>
        <v>90</v>
      </c>
      <c r="AC22" s="20">
        <f>$AC$17*E22</f>
        <v>1040.1405</v>
      </c>
      <c r="AD22" s="20">
        <f>ROUND((($A$20*$AD$17*5)+($A$20*$AD$18*7))/12,2)</f>
        <v>966.58</v>
      </c>
      <c r="AE22" s="20"/>
      <c r="AF22" s="20">
        <f>AB22+AC22+AD22</f>
        <v>2096.7204999999999</v>
      </c>
      <c r="AG22" s="20"/>
      <c r="AH22" s="20"/>
      <c r="AI22" s="19">
        <f>AF22-W22</f>
        <v>116.86999999999989</v>
      </c>
      <c r="AJ22" s="18">
        <f>AF22/W22-1</f>
        <v>5.902970956645448E-2</v>
      </c>
    </row>
    <row r="23" spans="1:41" x14ac:dyDescent="0.25">
      <c r="A23" s="1"/>
      <c r="C23" s="13"/>
      <c r="E23" s="1"/>
      <c r="J23" s="5"/>
      <c r="P23" s="55"/>
      <c r="S23" s="7"/>
      <c r="T23" s="20"/>
      <c r="U23" s="20"/>
      <c r="V23" s="20"/>
      <c r="W23" s="20"/>
      <c r="X23" s="20"/>
      <c r="Y23" s="20"/>
      <c r="Z23" s="20"/>
      <c r="AA23" s="20"/>
      <c r="AB23" s="7"/>
      <c r="AC23" s="20"/>
      <c r="AD23" s="20"/>
      <c r="AE23" s="20"/>
      <c r="AF23" s="20"/>
      <c r="AG23" s="20"/>
      <c r="AH23" s="20"/>
      <c r="AI23" s="19"/>
      <c r="AJ23" s="18"/>
    </row>
    <row r="24" spans="1:41" x14ac:dyDescent="0.25">
      <c r="A24" s="1">
        <v>75</v>
      </c>
      <c r="C24" s="13">
        <v>0.3</v>
      </c>
      <c r="E24" s="1">
        <f>C24*($A$24*730)</f>
        <v>16425</v>
      </c>
      <c r="G24" s="29">
        <f>+W24</f>
        <v>2033.2217500000002</v>
      </c>
      <c r="H24" s="29">
        <f>+AF24</f>
        <v>2208.5417500000003</v>
      </c>
      <c r="I24" s="29">
        <f>+H24-G24</f>
        <v>175.32000000000016</v>
      </c>
      <c r="J24" s="55">
        <f>ROUND(+I24/G24,4)</f>
        <v>8.6199999999999999E-2</v>
      </c>
      <c r="K24" s="29">
        <f>ROUND($T$10*$E24,2)</f>
        <v>-62.18</v>
      </c>
      <c r="L24" s="29">
        <f>ROUND($T$11*$E24,2)</f>
        <v>7.95</v>
      </c>
      <c r="M24" s="29">
        <f>ROUND($T$12*$E24,2)</f>
        <v>62.75</v>
      </c>
      <c r="N24" s="29">
        <f>+G24+K24+L24+M24</f>
        <v>2041.7417500000001</v>
      </c>
      <c r="O24" s="29">
        <f>+H24+K24+L24+M24</f>
        <v>2217.0617500000003</v>
      </c>
      <c r="P24" s="55">
        <f>(O24-N24)/N24</f>
        <v>8.5867862573707057E-2</v>
      </c>
      <c r="S24" s="7">
        <f>$S$20</f>
        <v>90</v>
      </c>
      <c r="T24" s="20">
        <f>$T$17*E24</f>
        <v>668.6617500000001</v>
      </c>
      <c r="U24" s="20">
        <f>ROUND((($A$24*$U$17*5)+($A$24*$U$18*7))/12,2)</f>
        <v>1274.56</v>
      </c>
      <c r="V24" s="20"/>
      <c r="W24" s="20">
        <f>S24+T24+U24</f>
        <v>2033.2217500000002</v>
      </c>
      <c r="X24" s="20"/>
      <c r="Y24" s="20"/>
      <c r="Z24" s="20"/>
      <c r="AA24" s="20"/>
      <c r="AB24" s="7">
        <f>INPUT!$H$25</f>
        <v>90</v>
      </c>
      <c r="AC24" s="20">
        <f>$AC$17*E24</f>
        <v>668.6617500000001</v>
      </c>
      <c r="AD24" s="20">
        <f>ROUND((($A$24*$AD$17*5)+($A$24*$AD$18*7))/12,2)</f>
        <v>1449.88</v>
      </c>
      <c r="AE24" s="20"/>
      <c r="AF24" s="20">
        <f>AB24+AC24+AD24</f>
        <v>2208.5417500000003</v>
      </c>
      <c r="AG24" s="24"/>
      <c r="AH24" s="20"/>
      <c r="AI24" s="19">
        <f>AF24-W24</f>
        <v>175.32000000000016</v>
      </c>
      <c r="AJ24" s="18">
        <f>AF24/W24-1</f>
        <v>8.6227682740458667E-2</v>
      </c>
    </row>
    <row r="25" spans="1:41" x14ac:dyDescent="0.25">
      <c r="A25" s="1"/>
      <c r="C25" s="13">
        <v>0.5</v>
      </c>
      <c r="E25" s="1">
        <f>C25*($A$24*730)</f>
        <v>27375</v>
      </c>
      <c r="G25" s="29">
        <f>+W25</f>
        <v>2478.9962500000001</v>
      </c>
      <c r="H25" s="29">
        <f>+AF25</f>
        <v>2654.3162499999999</v>
      </c>
      <c r="I25" s="29">
        <f>+H25-G25</f>
        <v>175.31999999999971</v>
      </c>
      <c r="J25" s="55">
        <f>ROUND(+I25/G25,4)</f>
        <v>7.0699999999999999E-2</v>
      </c>
      <c r="K25" s="29">
        <f>ROUND($T$10*$E25,2)</f>
        <v>-103.63</v>
      </c>
      <c r="L25" s="29">
        <f>ROUND($T$11*$E25,2)</f>
        <v>13.25</v>
      </c>
      <c r="M25" s="29">
        <f>ROUND($T$12*$E25,2)</f>
        <v>104.58</v>
      </c>
      <c r="N25" s="29">
        <f>+G25+K25+L25+M25</f>
        <v>2493.19625</v>
      </c>
      <c r="O25" s="29">
        <f>+H25+K25+L25+M25</f>
        <v>2668.5162499999997</v>
      </c>
      <c r="P25" s="55">
        <f>(O25-N25)/N25</f>
        <v>7.0319374176822103E-2</v>
      </c>
      <c r="S25" s="7">
        <f>$S$20</f>
        <v>90</v>
      </c>
      <c r="T25" s="20">
        <f>$T$17*E25</f>
        <v>1114.43625</v>
      </c>
      <c r="U25" s="20">
        <f>ROUND((($A$24*$U$17*5)+($A$24*$U$18*7))/12,2)</f>
        <v>1274.56</v>
      </c>
      <c r="V25" s="20"/>
      <c r="W25" s="20">
        <f>S25+T25+U25</f>
        <v>2478.9962500000001</v>
      </c>
      <c r="X25" s="20"/>
      <c r="Y25" s="20"/>
      <c r="Z25" s="20"/>
      <c r="AA25" s="20"/>
      <c r="AB25" s="7">
        <f>INPUT!$H$25</f>
        <v>90</v>
      </c>
      <c r="AC25" s="20">
        <f>$AC$17*E25</f>
        <v>1114.43625</v>
      </c>
      <c r="AD25" s="20">
        <f>ROUND((($A$24*$AD$17*5)+($A$24*$AD$18*7))/12,2)</f>
        <v>1449.88</v>
      </c>
      <c r="AE25" s="20"/>
      <c r="AF25" s="20">
        <f>AB25+AC25+AD25</f>
        <v>2654.3162499999999</v>
      </c>
      <c r="AG25" s="24"/>
      <c r="AH25" s="20"/>
      <c r="AI25" s="19">
        <f>AF25-W25</f>
        <v>175.31999999999971</v>
      </c>
      <c r="AJ25" s="18">
        <f>AF25/W25-1</f>
        <v>7.072217233083733E-2</v>
      </c>
    </row>
    <row r="26" spans="1:41" x14ac:dyDescent="0.25">
      <c r="A26" s="1"/>
      <c r="C26" s="13">
        <v>0.7</v>
      </c>
      <c r="E26" s="1">
        <f>C26*($A$24*730)</f>
        <v>38325</v>
      </c>
      <c r="G26" s="29">
        <f>+W26</f>
        <v>2924.7707500000001</v>
      </c>
      <c r="H26" s="29">
        <f>+AF26</f>
        <v>3100.0907500000003</v>
      </c>
      <c r="I26" s="29">
        <f>+H26-G26</f>
        <v>175.32000000000016</v>
      </c>
      <c r="J26" s="55">
        <f>ROUND(+I26/G26,4)</f>
        <v>5.9900000000000002E-2</v>
      </c>
      <c r="K26" s="29">
        <f>ROUND($T$10*$E26,2)</f>
        <v>-145.08000000000001</v>
      </c>
      <c r="L26" s="29">
        <f>ROUND($T$11*$E26,2)</f>
        <v>18.55</v>
      </c>
      <c r="M26" s="29">
        <f>ROUND($T$12*$E26,2)</f>
        <v>146.41</v>
      </c>
      <c r="N26" s="29">
        <f>+G26+K26+L26+M26</f>
        <v>2944.6507500000002</v>
      </c>
      <c r="O26" s="29">
        <f>+H26+K26+L26+M26</f>
        <v>3119.9707500000004</v>
      </c>
      <c r="P26" s="55">
        <f>(O26-N26)/N26</f>
        <v>5.9538469884756334E-2</v>
      </c>
      <c r="S26" s="7">
        <f>$S$20</f>
        <v>90</v>
      </c>
      <c r="T26" s="20">
        <f>$T$17*E26</f>
        <v>1560.2107500000002</v>
      </c>
      <c r="U26" s="20">
        <f>ROUND((($A$24*$U$17*5)+($A$24*$U$18*7))/12,2)</f>
        <v>1274.56</v>
      </c>
      <c r="V26" s="20"/>
      <c r="W26" s="20">
        <f>S26+T26+U26</f>
        <v>2924.7707500000001</v>
      </c>
      <c r="X26" s="20"/>
      <c r="Y26" s="20"/>
      <c r="Z26" s="20"/>
      <c r="AA26" s="20"/>
      <c r="AB26" s="7">
        <f>INPUT!$H$25</f>
        <v>90</v>
      </c>
      <c r="AC26" s="20">
        <f>$AC$17*E26</f>
        <v>1560.2107500000002</v>
      </c>
      <c r="AD26" s="20">
        <f>ROUND((($A$24*$AD$17*5)+($A$24*$AD$18*7))/12,2)</f>
        <v>1449.88</v>
      </c>
      <c r="AE26" s="20"/>
      <c r="AF26" s="20">
        <f>AB26+AC26+AD26</f>
        <v>3100.0907500000003</v>
      </c>
      <c r="AG26" s="20"/>
      <c r="AH26" s="20"/>
      <c r="AI26" s="19">
        <f>AF26-W26</f>
        <v>175.32000000000016</v>
      </c>
      <c r="AJ26" s="18">
        <f>AF26/W26-1</f>
        <v>5.9943159647640742E-2</v>
      </c>
    </row>
    <row r="27" spans="1:41" x14ac:dyDescent="0.25">
      <c r="A27" s="1"/>
      <c r="C27" s="13"/>
      <c r="E27" s="1"/>
      <c r="J27" s="5"/>
      <c r="P27" s="55"/>
      <c r="S27" s="7"/>
      <c r="T27" s="20"/>
      <c r="U27" s="20"/>
      <c r="V27" s="20"/>
      <c r="W27" s="20"/>
      <c r="X27" s="20"/>
      <c r="Y27" s="20"/>
      <c r="Z27" s="20"/>
      <c r="AA27" s="20"/>
      <c r="AB27" s="7"/>
      <c r="AC27" s="20"/>
      <c r="AD27" s="20"/>
      <c r="AE27" s="20"/>
      <c r="AF27" s="20"/>
      <c r="AG27" s="20"/>
      <c r="AH27" s="20"/>
      <c r="AI27" s="19"/>
      <c r="AJ27" s="18"/>
    </row>
    <row r="28" spans="1:41" x14ac:dyDescent="0.25">
      <c r="A28" s="1">
        <v>100</v>
      </c>
      <c r="C28" s="13">
        <v>0.3</v>
      </c>
      <c r="E28" s="1">
        <f>C28*($A$28*730)</f>
        <v>21900</v>
      </c>
      <c r="G28" s="29">
        <f>+W28</f>
        <v>2680.9690000000001</v>
      </c>
      <c r="H28" s="29">
        <f>+AF28</f>
        <v>2914.7190000000001</v>
      </c>
      <c r="I28" s="29">
        <f>+H28-G28</f>
        <v>233.75</v>
      </c>
      <c r="J28" s="55">
        <f>ROUND(+I28/G28,4)</f>
        <v>8.72E-2</v>
      </c>
      <c r="K28" s="29">
        <f>ROUND($T$10*$E28,2)</f>
        <v>-82.9</v>
      </c>
      <c r="L28" s="29">
        <f>ROUND($T$11*$E28,2)</f>
        <v>10.6</v>
      </c>
      <c r="M28" s="29">
        <f>ROUND($T$12*$E28,2)</f>
        <v>83.66</v>
      </c>
      <c r="N28" s="29">
        <f>+G28+K28+L28+M28</f>
        <v>2692.3289999999997</v>
      </c>
      <c r="O28" s="29">
        <f>+H28+K28+L28+M28</f>
        <v>2926.0789999999997</v>
      </c>
      <c r="P28" s="55">
        <f>(O28-N28)/N28</f>
        <v>8.6820741447274835E-2</v>
      </c>
      <c r="S28" s="7">
        <f>$S$20</f>
        <v>90</v>
      </c>
      <c r="T28" s="20">
        <f>$T$17*E28</f>
        <v>891.54900000000009</v>
      </c>
      <c r="U28" s="20">
        <f>ROUND((($A$28*$U$17*5)+($A$28*$U$18*7))/12,2)</f>
        <v>1699.42</v>
      </c>
      <c r="V28" s="20"/>
      <c r="W28" s="20">
        <f>S28+T28+U28</f>
        <v>2680.9690000000001</v>
      </c>
      <c r="X28" s="20"/>
      <c r="Y28" s="20"/>
      <c r="Z28" s="20"/>
      <c r="AA28" s="20"/>
      <c r="AB28" s="7">
        <f>INPUT!$H$25</f>
        <v>90</v>
      </c>
      <c r="AC28" s="20">
        <f>$AC$17*E28</f>
        <v>891.54900000000009</v>
      </c>
      <c r="AD28" s="20">
        <f>ROUND((($A$28*$AD$17*5)+($A$28*$AD$18*7))/12,2)</f>
        <v>1933.17</v>
      </c>
      <c r="AE28" s="20"/>
      <c r="AF28" s="20">
        <f>AB28+AC28+AD28</f>
        <v>2914.7190000000001</v>
      </c>
      <c r="AG28" s="20"/>
      <c r="AH28" s="20"/>
      <c r="AI28" s="19">
        <f>AF28-W28</f>
        <v>233.75</v>
      </c>
      <c r="AJ28" s="18">
        <f>AF28/W28-1</f>
        <v>8.7188624709946261E-2</v>
      </c>
    </row>
    <row r="29" spans="1:41" x14ac:dyDescent="0.25">
      <c r="A29" s="1"/>
      <c r="C29" s="13">
        <v>0.5</v>
      </c>
      <c r="E29" s="1">
        <f>C29*($A$28*730)</f>
        <v>36500</v>
      </c>
      <c r="G29" s="29">
        <f>+W29</f>
        <v>3275.335</v>
      </c>
      <c r="H29" s="29">
        <f>+AF29</f>
        <v>3509.085</v>
      </c>
      <c r="I29" s="29">
        <f>+H29-G29</f>
        <v>233.75</v>
      </c>
      <c r="J29" s="55">
        <f>ROUND(+I29/G29,4)</f>
        <v>7.1400000000000005E-2</v>
      </c>
      <c r="K29" s="29">
        <f>ROUND($T$10*$E29,2)</f>
        <v>-138.16999999999999</v>
      </c>
      <c r="L29" s="29">
        <f>ROUND($T$11*$E29,2)</f>
        <v>17.670000000000002</v>
      </c>
      <c r="M29" s="29">
        <f>ROUND($T$12*$E29,2)</f>
        <v>139.44</v>
      </c>
      <c r="N29" s="29">
        <f>+G29+K29+L29+M29</f>
        <v>3294.2750000000001</v>
      </c>
      <c r="O29" s="29">
        <f>+H29+K29+L29+M29</f>
        <v>3528.0250000000001</v>
      </c>
      <c r="P29" s="55">
        <f>(O29-N29)/N29</f>
        <v>7.0956431991864674E-2</v>
      </c>
      <c r="S29" s="7">
        <f>$S$20</f>
        <v>90</v>
      </c>
      <c r="T29" s="20">
        <f>$T$17*E29</f>
        <v>1485.9150000000002</v>
      </c>
      <c r="U29" s="20">
        <f>ROUND((($A$28*$U$17*5)+($A$28*$U$18*7))/12,2)</f>
        <v>1699.42</v>
      </c>
      <c r="V29" s="20"/>
      <c r="W29" s="20">
        <f>S29+T29+U29</f>
        <v>3275.335</v>
      </c>
      <c r="X29" s="20"/>
      <c r="Y29" s="20"/>
      <c r="Z29" s="20"/>
      <c r="AA29" s="20"/>
      <c r="AB29" s="7">
        <f>INPUT!$H$25</f>
        <v>90</v>
      </c>
      <c r="AC29" s="20">
        <f>$AC$17*E29</f>
        <v>1485.9150000000002</v>
      </c>
      <c r="AD29" s="20">
        <f>ROUND((($A$28*$AD$17*5)+($A$28*$AD$18*7))/12,2)</f>
        <v>1933.17</v>
      </c>
      <c r="AE29" s="20"/>
      <c r="AF29" s="20">
        <f>AB29+AC29+AD29</f>
        <v>3509.085</v>
      </c>
      <c r="AG29" s="20"/>
      <c r="AH29" s="20"/>
      <c r="AI29" s="19">
        <f>AF29-W29</f>
        <v>233.75</v>
      </c>
      <c r="AJ29" s="18">
        <f>AF29/W29-1</f>
        <v>7.1366745691662015E-2</v>
      </c>
    </row>
    <row r="30" spans="1:41" x14ac:dyDescent="0.25">
      <c r="A30" s="1"/>
      <c r="C30" s="13">
        <v>0.7</v>
      </c>
      <c r="E30" s="1">
        <f>C30*($A$28*730)</f>
        <v>51100</v>
      </c>
      <c r="G30" s="29">
        <f>+W30</f>
        <v>3869.701</v>
      </c>
      <c r="H30" s="29">
        <f>+AF30</f>
        <v>4103.451</v>
      </c>
      <c r="I30" s="29">
        <f>+H30-G30</f>
        <v>233.75</v>
      </c>
      <c r="J30" s="55">
        <f>ROUND(+I30/G30,4)</f>
        <v>6.0400000000000002E-2</v>
      </c>
      <c r="K30" s="29">
        <f>ROUND($T$10*$E30,2)</f>
        <v>-193.43</v>
      </c>
      <c r="L30" s="29">
        <f>ROUND($T$11*$E30,2)</f>
        <v>24.74</v>
      </c>
      <c r="M30" s="29">
        <f>ROUND($T$12*$E30,2)</f>
        <v>195.21</v>
      </c>
      <c r="N30" s="29">
        <f>+G30+K30+L30+M30</f>
        <v>3896.221</v>
      </c>
      <c r="O30" s="29">
        <f>+H30+K30+L30+M30</f>
        <v>4129.9709999999995</v>
      </c>
      <c r="P30" s="55">
        <f>(O30-N30)/N30</f>
        <v>5.9994030112768125E-2</v>
      </c>
      <c r="S30" s="7">
        <f>$S$20</f>
        <v>90</v>
      </c>
      <c r="T30" s="20">
        <f>$T$17*E30</f>
        <v>2080.2809999999999</v>
      </c>
      <c r="U30" s="20">
        <f>ROUND((($A$28*$U$17*5)+($A$28*$U$18*7))/12,2)</f>
        <v>1699.42</v>
      </c>
      <c r="V30" s="20"/>
      <c r="W30" s="20">
        <f>S30+T30+U30</f>
        <v>3869.701</v>
      </c>
      <c r="X30" s="20"/>
      <c r="Y30" s="20"/>
      <c r="Z30" s="20"/>
      <c r="AA30" s="20"/>
      <c r="AB30" s="7">
        <f>INPUT!$H$25</f>
        <v>90</v>
      </c>
      <c r="AC30" s="20">
        <f>$AC$17*E30</f>
        <v>2080.2809999999999</v>
      </c>
      <c r="AD30" s="20">
        <f>ROUND((($A$28*$AD$17*5)+($A$28*$AD$18*7))/12,2)</f>
        <v>1933.17</v>
      </c>
      <c r="AE30" s="20"/>
      <c r="AF30" s="20">
        <f>AB30+AC30+AD30</f>
        <v>4103.451</v>
      </c>
      <c r="AG30" s="20"/>
      <c r="AH30" s="20"/>
      <c r="AI30" s="19">
        <f>AF30-W30</f>
        <v>233.75</v>
      </c>
      <c r="AJ30" s="18">
        <f>AF30/W30-1</f>
        <v>6.0405183759675518E-2</v>
      </c>
    </row>
    <row r="31" spans="1:41" x14ac:dyDescent="0.25">
      <c r="A31" s="1"/>
      <c r="C31" s="13"/>
      <c r="E31" s="1"/>
      <c r="J31" s="5"/>
      <c r="P31" s="55"/>
      <c r="S31" s="7"/>
      <c r="T31" s="20"/>
      <c r="U31" s="20"/>
      <c r="V31" s="20"/>
      <c r="W31" s="20"/>
      <c r="X31" s="20"/>
      <c r="Y31" s="20"/>
      <c r="Z31" s="20"/>
      <c r="AA31" s="20"/>
      <c r="AB31" s="7"/>
      <c r="AC31" s="20"/>
      <c r="AD31" s="20"/>
      <c r="AE31" s="20"/>
      <c r="AF31" s="20"/>
      <c r="AG31" s="20"/>
      <c r="AH31" s="20"/>
      <c r="AI31" s="19"/>
      <c r="AJ31" s="18"/>
    </row>
    <row r="32" spans="1:41" x14ac:dyDescent="0.25">
      <c r="A32" s="1">
        <v>150</v>
      </c>
      <c r="C32" s="13">
        <v>0.3</v>
      </c>
      <c r="E32" s="1">
        <f>C32*($A$32*730)</f>
        <v>32850</v>
      </c>
      <c r="G32" s="29">
        <f>+W32</f>
        <v>3976.4535000000005</v>
      </c>
      <c r="H32" s="29">
        <f>+AF32</f>
        <v>4327.0735000000004</v>
      </c>
      <c r="I32" s="29">
        <f>+H32-G32</f>
        <v>350.61999999999989</v>
      </c>
      <c r="J32" s="55">
        <f>ROUND(+I32/G32,4)</f>
        <v>8.8200000000000001E-2</v>
      </c>
      <c r="K32" s="29">
        <f>ROUND($T$10*$E32,2)</f>
        <v>-124.35</v>
      </c>
      <c r="L32" s="29">
        <f>ROUND($T$11*$E32,2)</f>
        <v>15.9</v>
      </c>
      <c r="M32" s="29">
        <f>ROUND($T$12*$E32,2)</f>
        <v>125.49</v>
      </c>
      <c r="N32" s="29">
        <f>+G32+K32+L32+M32</f>
        <v>3993.4935000000005</v>
      </c>
      <c r="O32" s="29">
        <f>+H32+K32+L32+M32</f>
        <v>4344.1134999999995</v>
      </c>
      <c r="P32" s="55">
        <f>(O32-N32)/N32</f>
        <v>8.7797814119391693E-2</v>
      </c>
      <c r="S32" s="7">
        <f>$S$20</f>
        <v>90</v>
      </c>
      <c r="T32" s="20">
        <f>$T$17*E32</f>
        <v>1337.3235000000002</v>
      </c>
      <c r="U32" s="20">
        <f>ROUND((($A$32*$U$17*5)+($A$32*$U$18*7))/12,2)</f>
        <v>2549.13</v>
      </c>
      <c r="V32" s="20"/>
      <c r="W32" s="20">
        <f>S32+T32+U32</f>
        <v>3976.4535000000005</v>
      </c>
      <c r="X32" s="20"/>
      <c r="Y32" s="20"/>
      <c r="Z32" s="20"/>
      <c r="AA32" s="20"/>
      <c r="AB32" s="7">
        <f>INPUT!$H$25</f>
        <v>90</v>
      </c>
      <c r="AC32" s="20">
        <f>$AC$17*E32</f>
        <v>1337.3235000000002</v>
      </c>
      <c r="AD32" s="20">
        <f>ROUND((($A$32*$AD$17*5)+($A$32*$AD$18*7))/12,2)</f>
        <v>2899.75</v>
      </c>
      <c r="AE32" s="20"/>
      <c r="AF32" s="20">
        <f>AB32+AC32+AD32</f>
        <v>4327.0735000000004</v>
      </c>
      <c r="AG32" s="20"/>
      <c r="AH32" s="20"/>
      <c r="AI32" s="19">
        <f>AF32-W32</f>
        <v>350.61999999999989</v>
      </c>
      <c r="AJ32" s="18">
        <f>AF32/W32-1</f>
        <v>8.8174047552674661E-2</v>
      </c>
    </row>
    <row r="33" spans="1:36" x14ac:dyDescent="0.25">
      <c r="A33" s="1"/>
      <c r="C33" s="13">
        <v>0.5</v>
      </c>
      <c r="E33" s="1">
        <f>C33*($A$32*730)</f>
        <v>54750</v>
      </c>
      <c r="G33" s="29">
        <f>+W33</f>
        <v>4868.0025000000005</v>
      </c>
      <c r="H33" s="29">
        <f>+AF33</f>
        <v>5218.6224999999995</v>
      </c>
      <c r="I33" s="29">
        <f>+H33-G33</f>
        <v>350.61999999999898</v>
      </c>
      <c r="J33" s="55">
        <f>ROUND(+I33/G33,4)</f>
        <v>7.1999999999999995E-2</v>
      </c>
      <c r="K33" s="29">
        <f>ROUND($T$10*$E33,2)</f>
        <v>-207.25</v>
      </c>
      <c r="L33" s="29">
        <f>ROUND($T$11*$E33,2)</f>
        <v>26.5</v>
      </c>
      <c r="M33" s="29">
        <f>ROUND($T$12*$E33,2)</f>
        <v>209.16</v>
      </c>
      <c r="N33" s="29">
        <f>+G33+K33+L33+M33</f>
        <v>4896.4125000000004</v>
      </c>
      <c r="O33" s="29">
        <f>+H33+K33+L33+M33</f>
        <v>5247.0324999999993</v>
      </c>
      <c r="P33" s="55">
        <f>(O33-N33)/N33</f>
        <v>7.1607528981677701E-2</v>
      </c>
      <c r="S33" s="7">
        <f>$S$20</f>
        <v>90</v>
      </c>
      <c r="T33" s="20">
        <f>$T$17*E33</f>
        <v>2228.8724999999999</v>
      </c>
      <c r="U33" s="20">
        <f>ROUND((($A$32*$U$17*5)+($A$32*$U$18*7))/12,2)</f>
        <v>2549.13</v>
      </c>
      <c r="V33" s="20"/>
      <c r="W33" s="20">
        <f>S33+T33+U33</f>
        <v>4868.0025000000005</v>
      </c>
      <c r="X33" s="20"/>
      <c r="Y33" s="20"/>
      <c r="Z33" s="20"/>
      <c r="AA33" s="20"/>
      <c r="AB33" s="7">
        <f>INPUT!$H$25</f>
        <v>90</v>
      </c>
      <c r="AC33" s="20">
        <f>$AC$17*E33</f>
        <v>2228.8724999999999</v>
      </c>
      <c r="AD33" s="20">
        <f>ROUND((($A$32*$AD$17*5)+($A$32*$AD$18*7))/12,2)</f>
        <v>2899.75</v>
      </c>
      <c r="AE33" s="20"/>
      <c r="AF33" s="20">
        <f>AB33+AC33+AD33</f>
        <v>5218.6224999999995</v>
      </c>
      <c r="AG33" s="20"/>
      <c r="AH33" s="20"/>
      <c r="AI33" s="19">
        <f>AF33-W33</f>
        <v>350.61999999999898</v>
      </c>
      <c r="AJ33" s="18">
        <f>AF33/W33-1</f>
        <v>7.2025435484061262E-2</v>
      </c>
    </row>
    <row r="34" spans="1:36" x14ac:dyDescent="0.25">
      <c r="A34" s="1"/>
      <c r="C34" s="13">
        <v>0.7</v>
      </c>
      <c r="E34" s="1">
        <f>C34*($A$32*730)</f>
        <v>76650</v>
      </c>
      <c r="G34" s="29">
        <f>+W34</f>
        <v>5759.5515000000005</v>
      </c>
      <c r="H34" s="29">
        <f>+AF34</f>
        <v>6110.1715000000004</v>
      </c>
      <c r="I34" s="29">
        <f>+H34-G34</f>
        <v>350.61999999999989</v>
      </c>
      <c r="J34" s="55">
        <f>ROUND(+I34/G34,4)</f>
        <v>6.0900000000000003E-2</v>
      </c>
      <c r="K34" s="29">
        <f>ROUND($T$10*$E34,2)</f>
        <v>-290.14999999999998</v>
      </c>
      <c r="L34" s="29">
        <f>ROUND($T$11*$E34,2)</f>
        <v>37.11</v>
      </c>
      <c r="M34" s="29">
        <f>ROUND($T$12*$E34,2)</f>
        <v>292.82</v>
      </c>
      <c r="N34" s="29">
        <f>+G34+K34+L34+M34</f>
        <v>5799.3315000000002</v>
      </c>
      <c r="O34" s="29">
        <f>+H34+K34+L34+M34</f>
        <v>6149.9515000000001</v>
      </c>
      <c r="P34" s="55">
        <f>(O34-N34)/N34</f>
        <v>6.0458692523439966E-2</v>
      </c>
      <c r="S34" s="7">
        <f>$S$20</f>
        <v>90</v>
      </c>
      <c r="T34" s="20">
        <f>$T$17*E34</f>
        <v>3120.4215000000004</v>
      </c>
      <c r="U34" s="20">
        <f>ROUND((($A$32*$U$17*5)+($A$32*$U$18*7))/12,2)</f>
        <v>2549.13</v>
      </c>
      <c r="V34" s="20"/>
      <c r="W34" s="20">
        <f>S34+T34+U34</f>
        <v>5759.5515000000005</v>
      </c>
      <c r="X34" s="20"/>
      <c r="Y34" s="20"/>
      <c r="Z34" s="20"/>
      <c r="AA34" s="20"/>
      <c r="AB34" s="7">
        <f>INPUT!$H$25</f>
        <v>90</v>
      </c>
      <c r="AC34" s="20">
        <f>$AC$17*E34</f>
        <v>3120.4215000000004</v>
      </c>
      <c r="AD34" s="20">
        <f>ROUND((($A$32*$AD$17*5)+($A$32*$AD$18*7))/12,2)</f>
        <v>2899.75</v>
      </c>
      <c r="AE34" s="20"/>
      <c r="AF34" s="20">
        <f>AB34+AC34+AD34</f>
        <v>6110.1715000000004</v>
      </c>
      <c r="AG34" s="20"/>
      <c r="AH34" s="20"/>
      <c r="AI34" s="19">
        <f>AF34-W34</f>
        <v>350.61999999999989</v>
      </c>
      <c r="AJ34" s="18">
        <f>AF34/W34-1</f>
        <v>6.0876267883011259E-2</v>
      </c>
    </row>
    <row r="35" spans="1:36" x14ac:dyDescent="0.25">
      <c r="A35" s="1"/>
      <c r="C35" s="13"/>
      <c r="E35" s="1"/>
      <c r="J35" s="5"/>
      <c r="P35" s="55"/>
      <c r="S35" s="7"/>
      <c r="T35" s="20"/>
      <c r="U35" s="20"/>
      <c r="V35" s="20"/>
      <c r="W35" s="20"/>
      <c r="X35" s="20"/>
      <c r="Y35" s="20"/>
      <c r="Z35" s="20"/>
      <c r="AA35" s="20"/>
      <c r="AB35" s="7"/>
      <c r="AC35" s="20"/>
      <c r="AD35" s="20"/>
      <c r="AE35" s="20"/>
      <c r="AF35" s="20"/>
      <c r="AG35" s="20"/>
      <c r="AH35" s="20"/>
      <c r="AI35" s="19"/>
      <c r="AJ35" s="18"/>
    </row>
    <row r="36" spans="1:36" x14ac:dyDescent="0.25">
      <c r="A36" s="1">
        <v>250</v>
      </c>
      <c r="C36" s="13">
        <v>0.3</v>
      </c>
      <c r="E36" s="1">
        <f>C36*($A$36*730)</f>
        <v>54750</v>
      </c>
      <c r="G36" s="29">
        <f>+W36</f>
        <v>6567.4125000000004</v>
      </c>
      <c r="H36" s="29">
        <f>+AF36</f>
        <v>7151.7924999999996</v>
      </c>
      <c r="I36" s="29">
        <f>+H36-G36</f>
        <v>584.3799999999992</v>
      </c>
      <c r="J36" s="55">
        <f>ROUND(+I36/G36,4)</f>
        <v>8.8999999999999996E-2</v>
      </c>
      <c r="K36" s="29">
        <f>ROUND($T$10*$E36,2)</f>
        <v>-207.25</v>
      </c>
      <c r="L36" s="29">
        <f>ROUND($T$11*$E36,2)</f>
        <v>26.5</v>
      </c>
      <c r="M36" s="29">
        <f>ROUND($T$12*$E36,2)</f>
        <v>209.16</v>
      </c>
      <c r="N36" s="29">
        <f>+G36+K36+L36+M36</f>
        <v>6595.8225000000002</v>
      </c>
      <c r="O36" s="29">
        <f>+H36+K36+L36+M36</f>
        <v>7180.2024999999994</v>
      </c>
      <c r="P36" s="55">
        <f>(O36-N36)/N36</f>
        <v>8.8598503067661261E-2</v>
      </c>
      <c r="S36" s="7">
        <f>$S$20</f>
        <v>90</v>
      </c>
      <c r="T36" s="20">
        <f>$T$17*E36</f>
        <v>2228.8724999999999</v>
      </c>
      <c r="U36" s="20">
        <f>ROUND((($A$36*$U$17*5)+($A$36*$U$18*7))/12,2)</f>
        <v>4248.54</v>
      </c>
      <c r="V36" s="20"/>
      <c r="W36" s="20">
        <f>S36+T36+U36</f>
        <v>6567.4125000000004</v>
      </c>
      <c r="X36" s="20"/>
      <c r="Y36" s="20"/>
      <c r="Z36" s="20"/>
      <c r="AA36" s="20"/>
      <c r="AB36" s="7">
        <f>INPUT!$H$25</f>
        <v>90</v>
      </c>
      <c r="AC36" s="20">
        <f>$AC$17*E36</f>
        <v>2228.8724999999999</v>
      </c>
      <c r="AD36" s="20">
        <f>ROUND((($A$36*$AD$17*5)+($A$36*$AD$18*7))/12,2)</f>
        <v>4832.92</v>
      </c>
      <c r="AE36" s="20"/>
      <c r="AF36" s="20">
        <f>AB36+AC36+AD36</f>
        <v>7151.7924999999996</v>
      </c>
      <c r="AG36" s="20"/>
      <c r="AH36" s="20"/>
      <c r="AI36" s="19">
        <f>AF36-W36</f>
        <v>584.3799999999992</v>
      </c>
      <c r="AJ36" s="18">
        <f>AF36/W36-1</f>
        <v>8.8981771740392235E-2</v>
      </c>
    </row>
    <row r="37" spans="1:36" x14ac:dyDescent="0.25">
      <c r="A37" s="1"/>
      <c r="C37" s="13">
        <v>0.5</v>
      </c>
      <c r="E37" s="1">
        <f>C37*($A$36*730)</f>
        <v>91250</v>
      </c>
      <c r="G37" s="29">
        <f>+W37</f>
        <v>8053.3275000000003</v>
      </c>
      <c r="H37" s="29">
        <f>+AF37</f>
        <v>8637.7075000000004</v>
      </c>
      <c r="I37" s="29">
        <f>+H37-G37</f>
        <v>584.38000000000011</v>
      </c>
      <c r="J37" s="55">
        <f>ROUND(+I37/G37,4)</f>
        <v>7.2599999999999998E-2</v>
      </c>
      <c r="K37" s="29">
        <f>ROUND($T$10*$E37,2)</f>
        <v>-345.42</v>
      </c>
      <c r="L37" s="29">
        <f>ROUND($T$11*$E37,2)</f>
        <v>44.17</v>
      </c>
      <c r="M37" s="29">
        <f>ROUND($T$12*$E37,2)</f>
        <v>348.59</v>
      </c>
      <c r="N37" s="29">
        <f>+G37+K37+L37+M37</f>
        <v>8100.6675000000005</v>
      </c>
      <c r="O37" s="29">
        <f>+H37+K37+L37+M37</f>
        <v>8685.0475000000006</v>
      </c>
      <c r="P37" s="55">
        <f>(O37-N37)/N37</f>
        <v>7.2139734163882183E-2</v>
      </c>
      <c r="S37" s="7">
        <f>$S$20</f>
        <v>90</v>
      </c>
      <c r="T37" s="20">
        <f>$T$17*E37</f>
        <v>3714.7875000000004</v>
      </c>
      <c r="U37" s="20">
        <f>ROUND((($A$36*$U$17*5)+($A$36*$U$18*7))/12,2)</f>
        <v>4248.54</v>
      </c>
      <c r="V37" s="20"/>
      <c r="W37" s="20">
        <f>S37+T37+U37</f>
        <v>8053.3275000000003</v>
      </c>
      <c r="X37" s="20"/>
      <c r="Y37" s="20"/>
      <c r="Z37" s="20"/>
      <c r="AA37" s="20"/>
      <c r="AB37" s="7">
        <f>INPUT!$H$25</f>
        <v>90</v>
      </c>
      <c r="AC37" s="20">
        <f>$AC$17*E37</f>
        <v>3714.7875000000004</v>
      </c>
      <c r="AD37" s="20">
        <f>ROUND((($A$36*$AD$17*5)+($A$36*$AD$18*7))/12,2)</f>
        <v>4832.92</v>
      </c>
      <c r="AE37" s="20"/>
      <c r="AF37" s="20">
        <f>AB37+AC37+AD37</f>
        <v>8637.7075000000004</v>
      </c>
      <c r="AG37" s="20"/>
      <c r="AH37" s="20"/>
      <c r="AI37" s="19">
        <f>AF37-W37</f>
        <v>584.38000000000011</v>
      </c>
      <c r="AJ37" s="18">
        <f>AF37/W37-1</f>
        <v>7.2563794282549665E-2</v>
      </c>
    </row>
    <row r="38" spans="1:36" x14ac:dyDescent="0.25">
      <c r="A38" s="1"/>
      <c r="C38" s="13">
        <v>0.7</v>
      </c>
      <c r="E38" s="1">
        <f>C38*($A$36*730)</f>
        <v>127749.99999999999</v>
      </c>
      <c r="G38" s="29">
        <f>+W38</f>
        <v>9539.2425000000003</v>
      </c>
      <c r="H38" s="29">
        <f>+AF38</f>
        <v>10123.622499999999</v>
      </c>
      <c r="I38" s="29">
        <f>+H38-G38</f>
        <v>584.3799999999992</v>
      </c>
      <c r="J38" s="55">
        <f>ROUND(+I38/G38,4)</f>
        <v>6.13E-2</v>
      </c>
      <c r="K38" s="29">
        <f>ROUND($T$10*$E38,2)</f>
        <v>-483.59</v>
      </c>
      <c r="L38" s="29">
        <f>ROUND($T$11*$E38,2)</f>
        <v>61.84</v>
      </c>
      <c r="M38" s="29">
        <f>ROUND($T$12*$E38,2)</f>
        <v>488.03</v>
      </c>
      <c r="N38" s="29">
        <f>+G38+K38+L38+M38</f>
        <v>9605.5225000000009</v>
      </c>
      <c r="O38" s="29">
        <f>+H38+K38+L38+M38</f>
        <v>10189.9025</v>
      </c>
      <c r="P38" s="55">
        <f>(O38-N38)/N38</f>
        <v>6.0837919020021988E-2</v>
      </c>
      <c r="S38" s="7">
        <f>$S$20</f>
        <v>90</v>
      </c>
      <c r="T38" s="20">
        <f>$T$17*E38</f>
        <v>5200.7024999999994</v>
      </c>
      <c r="U38" s="20">
        <f>ROUND((($A$36*$U$17*5)+($A$36*$U$18*7))/12,2)</f>
        <v>4248.54</v>
      </c>
      <c r="V38" s="20"/>
      <c r="W38" s="20">
        <f>S38+T38+U38</f>
        <v>9539.2425000000003</v>
      </c>
      <c r="X38" s="20"/>
      <c r="Y38" s="20"/>
      <c r="Z38" s="20"/>
      <c r="AA38" s="20"/>
      <c r="AB38" s="7">
        <f>INPUT!$H$25</f>
        <v>90</v>
      </c>
      <c r="AC38" s="20">
        <f>$AC$17*E38</f>
        <v>5200.7024999999994</v>
      </c>
      <c r="AD38" s="20">
        <f>ROUND((($A$36*$AD$17*5)+($A$36*$AD$18*7))/12,2)</f>
        <v>4832.92</v>
      </c>
      <c r="AE38" s="20"/>
      <c r="AF38" s="20">
        <f>AB38+AC38+AD38</f>
        <v>10123.622499999999</v>
      </c>
      <c r="AG38" s="20"/>
      <c r="AH38" s="20"/>
      <c r="AI38" s="19">
        <f>AF38-W38</f>
        <v>584.3799999999992</v>
      </c>
      <c r="AJ38" s="18">
        <f>AF38/W38-1</f>
        <v>6.1260629447254189E-2</v>
      </c>
    </row>
    <row r="39" spans="1:36" x14ac:dyDescent="0.25">
      <c r="E39" s="1"/>
      <c r="L39" s="29"/>
      <c r="T39" s="20"/>
      <c r="U39" s="20"/>
      <c r="V39" s="20"/>
      <c r="W39" s="20"/>
      <c r="X39" s="20"/>
      <c r="Y39" s="20"/>
      <c r="Z39" s="20"/>
      <c r="AA39" s="20"/>
    </row>
    <row r="40" spans="1:36" x14ac:dyDescent="0.25">
      <c r="A40" s="17" t="s">
        <v>336</v>
      </c>
      <c r="E40" s="1"/>
      <c r="L40" s="29"/>
      <c r="T40" s="20"/>
      <c r="U40" s="20"/>
      <c r="V40" s="20"/>
      <c r="W40" s="20"/>
      <c r="X40" s="20"/>
      <c r="Y40" s="20"/>
      <c r="Z40" s="20"/>
      <c r="AA40" s="20"/>
    </row>
    <row r="41" spans="1:36" x14ac:dyDescent="0.25">
      <c r="A41" s="208" t="str">
        <f>("Average usage = "&amp;TEXT(INPUT!H19*1,"0,000")&amp;" kWh per month")</f>
        <v>Average usage = 55,311 kWh per month</v>
      </c>
      <c r="T41" s="20"/>
      <c r="U41" s="20"/>
      <c r="V41" s="20"/>
      <c r="W41" s="20"/>
      <c r="X41" s="20"/>
      <c r="Y41" s="20"/>
      <c r="Z41" s="20"/>
      <c r="AA41" s="20"/>
    </row>
    <row r="42" spans="1:36" x14ac:dyDescent="0.25">
      <c r="A42" s="210" t="s">
        <v>337</v>
      </c>
      <c r="E42" s="1"/>
      <c r="S42" s="7"/>
      <c r="T42" s="20"/>
      <c r="U42" s="12"/>
      <c r="W42" s="12"/>
      <c r="AA42" s="6"/>
      <c r="AC42" s="9"/>
    </row>
    <row r="43" spans="1:36" x14ac:dyDescent="0.25">
      <c r="A43" s="209" t="s">
        <v>338</v>
      </c>
      <c r="E43" s="1"/>
      <c r="S43" s="7"/>
      <c r="T43" s="20"/>
      <c r="U43" s="12"/>
      <c r="W43" s="12"/>
      <c r="AA43" s="6"/>
      <c r="AC43" s="9"/>
    </row>
    <row r="44" spans="1:36" x14ac:dyDescent="0.25">
      <c r="A44" s="210" t="str">
        <f>+'Rate Case Constants'!C26</f>
        <v>Calculations may vary from other schedules due to rounding</v>
      </c>
    </row>
    <row r="45" spans="1:36" x14ac:dyDescent="0.25">
      <c r="A45" s="47"/>
    </row>
  </sheetData>
  <mergeCells count="5">
    <mergeCell ref="K15:M15"/>
    <mergeCell ref="A1:P1"/>
    <mergeCell ref="A2:P2"/>
    <mergeCell ref="A3:P3"/>
    <mergeCell ref="A4:P4"/>
  </mergeCells>
  <phoneticPr fontId="5" type="noConversion"/>
  <printOptions horizontalCentered="1"/>
  <pageMargins left="0.75" right="0.75" top="1.5" bottom="0.5" header="1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INPUT</vt:lpstr>
      <vt:lpstr>Rate Case Constants</vt:lpstr>
      <vt:lpstr>SCHEDULES===&gt;</vt:lpstr>
      <vt:lpstr>Rate RS-VFD</vt:lpstr>
      <vt:lpstr>Rate RTOD Energy</vt:lpstr>
      <vt:lpstr>Rate RTOD Demand</vt:lpstr>
      <vt:lpstr>Rate GS Single Phase</vt:lpstr>
      <vt:lpstr>Rate GS Three Phase</vt:lpstr>
      <vt:lpstr>Rate PS Secondary</vt:lpstr>
      <vt:lpstr>Rate PS Primary</vt:lpstr>
      <vt:lpstr>Rate TOD Secondary</vt:lpstr>
      <vt:lpstr>Rate TOD Primary</vt:lpstr>
      <vt:lpstr>Rate RTS</vt:lpstr>
      <vt:lpstr>Rate FLS Transmission</vt:lpstr>
      <vt:lpstr>Rate FLS Primary</vt:lpstr>
      <vt:lpstr>Rate LS-RLS</vt:lpstr>
      <vt:lpstr>Rate LE</vt:lpstr>
      <vt:lpstr>Rate TE</vt:lpstr>
      <vt:lpstr>Rate CTAC</vt:lpstr>
      <vt:lpstr>INPUT!Print_Area</vt:lpstr>
      <vt:lpstr>'Rate CTAC'!Print_Area</vt:lpstr>
      <vt:lpstr>'Rate FLS Primary'!Print_Area</vt:lpstr>
      <vt:lpstr>'Rate FLS Transmission'!Print_Area</vt:lpstr>
      <vt:lpstr>'Rate GS Single Phase'!Print_Area</vt:lpstr>
      <vt:lpstr>'Rate GS Three Phase'!Print_Area</vt:lpstr>
      <vt:lpstr>'Rate LE'!Print_Area</vt:lpstr>
      <vt:lpstr>'Rate LS-RLS'!Print_Area</vt:lpstr>
      <vt:lpstr>'Rate PS Primary'!Print_Area</vt:lpstr>
      <vt:lpstr>'Rate PS Secondary'!Print_Area</vt:lpstr>
      <vt:lpstr>'Rate RS-VFD'!Print_Area</vt:lpstr>
      <vt:lpstr>'Rate RTOD Demand'!Print_Area</vt:lpstr>
      <vt:lpstr>'Rate RTOD Energy'!Print_Area</vt:lpstr>
      <vt:lpstr>'Rate RTS'!Print_Area</vt:lpstr>
      <vt:lpstr>'Rate TE'!Print_Area</vt:lpstr>
      <vt:lpstr>'Rate TOD Primary'!Print_Area</vt:lpstr>
      <vt:lpstr>'Rate TOD Secondary'!Print_Area</vt:lpstr>
    </vt:vector>
  </TitlesOfParts>
  <Company>LG&amp;E Energy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E004744</dc:creator>
  <cp:lastModifiedBy>Barnes, Joe</cp:lastModifiedBy>
  <cp:lastPrinted>2016-11-08T13:10:02Z</cp:lastPrinted>
  <dcterms:created xsi:type="dcterms:W3CDTF">2009-05-05T20:16:53Z</dcterms:created>
  <dcterms:modified xsi:type="dcterms:W3CDTF">2016-12-06T20:53:14Z</dcterms:modified>
</cp:coreProperties>
</file>