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_xlnm.Print_Area" localSheetId="2">'SCH A'!$A$1:$F$35</definedName>
    <definedName name="_xlnm.Print_Area" localSheetId="5">'SCH H-1'!$A$1:$F$36</definedName>
    <definedName name="_xlnm.Print_Area" localSheetId="6">'SCH J-1 G'!$A$1:$L$44</definedName>
  </definedNames>
  <calcPr calcId="152511"/>
  <webPublishing codePage="0"/>
</workbook>
</file>

<file path=xl/calcChain.xml><?xml version="1.0" encoding="utf-8"?>
<calcChain xmlns="http://schemas.openxmlformats.org/spreadsheetml/2006/main">
  <c r="D43" i="24" l="1"/>
  <c r="O37" i="24" s="1"/>
  <c r="E41" i="24"/>
  <c r="F41" i="24" s="1"/>
  <c r="E39" i="24"/>
  <c r="F39" i="24" s="1"/>
  <c r="F37" i="24"/>
  <c r="K31" i="24"/>
  <c r="L21" i="24"/>
  <c r="D21" i="24"/>
  <c r="O19" i="24" s="1"/>
  <c r="E19" i="24"/>
  <c r="F19" i="24" s="1"/>
  <c r="O17" i="24"/>
  <c r="R17" i="24" s="1"/>
  <c r="E17" i="24"/>
  <c r="F17" i="24" s="1"/>
  <c r="F15" i="24"/>
  <c r="G36" i="23"/>
  <c r="D36" i="23"/>
  <c r="D32" i="23"/>
  <c r="G26" i="23"/>
  <c r="D26" i="23"/>
  <c r="G25" i="23"/>
  <c r="D25" i="23"/>
  <c r="D24" i="23"/>
  <c r="D23" i="23"/>
  <c r="G22" i="23"/>
  <c r="D22" i="23"/>
  <c r="C28" i="23"/>
  <c r="E18" i="23"/>
  <c r="G16" i="23"/>
  <c r="C18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O39" i="24" l="1"/>
  <c r="Q39" i="24" s="1"/>
  <c r="O41" i="24"/>
  <c r="R41" i="24" s="1"/>
  <c r="C30" i="23"/>
  <c r="C34" i="23" s="1"/>
  <c r="R39" i="24"/>
  <c r="S19" i="24"/>
  <c r="R19" i="24"/>
  <c r="Q19" i="24"/>
  <c r="P19" i="24"/>
  <c r="P37" i="24"/>
  <c r="S37" i="24"/>
  <c r="R37" i="24"/>
  <c r="Q37" i="24"/>
  <c r="S17" i="24"/>
  <c r="S41" i="24"/>
  <c r="O15" i="24"/>
  <c r="P17" i="24"/>
  <c r="F21" i="24"/>
  <c r="S39" i="24"/>
  <c r="P41" i="24"/>
  <c r="Q17" i="24"/>
  <c r="P39" i="24"/>
  <c r="Q41" i="24"/>
  <c r="F43" i="24"/>
  <c r="E28" i="23"/>
  <c r="E30" i="23" s="1"/>
  <c r="G32" i="23"/>
  <c r="G30" i="23" s="1"/>
  <c r="D16" i="23"/>
  <c r="D18" i="23" s="1"/>
  <c r="D21" i="23"/>
  <c r="D28" i="23" s="1"/>
  <c r="R44" i="24" l="1"/>
  <c r="G39" i="24"/>
  <c r="H39" i="24" s="1"/>
  <c r="C38" i="23"/>
  <c r="O43" i="24"/>
  <c r="D30" i="23"/>
  <c r="Q44" i="24"/>
  <c r="G41" i="24"/>
  <c r="H41" i="24" s="1"/>
  <c r="G37" i="24"/>
  <c r="P44" i="24"/>
  <c r="G17" i="24"/>
  <c r="H17" i="24" s="1"/>
  <c r="G19" i="24"/>
  <c r="H19" i="24" s="1"/>
  <c r="O21" i="24"/>
  <c r="Q15" i="24"/>
  <c r="Q22" i="24" s="1"/>
  <c r="P15" i="24"/>
  <c r="S15" i="24"/>
  <c r="S22" i="24" s="1"/>
  <c r="R15" i="24"/>
  <c r="R22" i="24" s="1"/>
  <c r="S44" i="24"/>
  <c r="E38" i="23"/>
  <c r="E34" i="23"/>
  <c r="F30" i="23"/>
  <c r="G38" i="23"/>
  <c r="G43" i="24" l="1"/>
  <c r="H37" i="24"/>
  <c r="G15" i="24"/>
  <c r="P22" i="24"/>
  <c r="G23" i="23"/>
  <c r="G24" i="23"/>
  <c r="F18" i="23"/>
  <c r="G15" i="23"/>
  <c r="G18" i="23" s="1"/>
  <c r="G21" i="24" l="1"/>
  <c r="H15" i="24"/>
  <c r="H43" i="24"/>
  <c r="I37" i="24" s="1"/>
  <c r="F28" i="23"/>
  <c r="G21" i="23"/>
  <c r="G28" i="23" s="1"/>
  <c r="G40" i="23" s="1"/>
  <c r="F40" i="23"/>
  <c r="K37" i="24" l="1"/>
  <c r="I41" i="24"/>
  <c r="K41" i="24" s="1"/>
  <c r="I39" i="24"/>
  <c r="K39" i="24" s="1"/>
  <c r="H21" i="24"/>
  <c r="I15" i="24" s="1"/>
  <c r="D22" i="18"/>
  <c r="D24" i="18" s="1"/>
  <c r="E24" i="18" s="1"/>
  <c r="E18" i="18"/>
  <c r="E16" i="18"/>
  <c r="E22" i="18" l="1"/>
  <c r="K15" i="24"/>
  <c r="I17" i="24"/>
  <c r="K17" i="24" s="1"/>
  <c r="I19" i="24"/>
  <c r="K19" i="24" s="1"/>
  <c r="I43" i="24"/>
  <c r="K43" i="24"/>
  <c r="E28" i="18"/>
  <c r="E30" i="18" s="1"/>
  <c r="E32" i="18" s="1"/>
  <c r="E34" i="18" s="1"/>
  <c r="I21" i="24" l="1"/>
  <c r="K21" i="24"/>
  <c r="E14" i="22"/>
  <c r="D14" i="22"/>
  <c r="D16" i="22" l="1"/>
  <c r="E16" i="22"/>
  <c r="E32" i="22"/>
  <c r="E30" i="22" l="1"/>
  <c r="E20" i="22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D26" i="22" l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<sst xmlns="http://schemas.openxmlformats.org/spreadsheetml/2006/main" count="240" uniqueCount="148">
  <si>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</si>
  <si>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</si>
  <si>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</si>
  <si>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</si>
  <si>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</si>
  <si>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</si>
  <si>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</si>
  <si>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</si>
  <si>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</si>
  <si>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</si>
  <si>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</si>
  <si>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</si>
  <si>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</si>
  <si>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</si>
  <si>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</si>
  <si>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</si>
  <si>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</si>
  <si>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</si>
  <si>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</si>
  <si>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</si>
  <si>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</si>
  <si>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</si>
  <si>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</si>
  <si>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</si>
  <si>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</si>
  <si>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</si>
  <si>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</si>
  <si>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</si>
  <si>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</si>
  <si>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</si>
  <si>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</si>
  <si>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</si>
  <si>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</si>
  <si>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</si>
  <si>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</si>
  <si>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</si>
  <si>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</si>
  <si>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</si>
  <si>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</si>
  <si>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</si>
  <si>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</si>
  <si>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</si>
  <si>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</si>
  <si>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</si>
  <si>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</si>
  <si>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</si>
  <si>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</si>
  <si>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</si>
  <si>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</si>
  <si>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</si>
  <si>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</si>
  <si>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</si>
  <si>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</si>
  <si>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</si>
  <si>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</si>
  <si>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</si>
  <si>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</si>
  <si>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</si>
  <si>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</si>
  <si>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</si>
  <si>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</si>
  <si>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</si>
  <si>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</si>
  <si>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</si>
  <si>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</si>
  <si>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</si>
  <si>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</si>
  <si>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</si>
  <si>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</si>
  <si>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</si>
  <si>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</si>
  <si>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</si>
  <si>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</si>
  <si>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</si>
  <si>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</si>
  <si>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</si>
  <si>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</si>
  <si>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</si>
  <si>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</si>
  <si>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</si>
  <si>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</si>
  <si>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</si>
  <si>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</si>
  <si>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</si>
  <si>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</si>
  <si>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</si>
  <si>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</si>
  <si>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</si>
  <si>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</si>
  <si>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</si>
  <si>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</si>
  <si>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</si>
  <si>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</si>
  <si>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</si>
  <si>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</si>
  <si>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</si>
  <si>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</si>
  <si>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</si>
  <si>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</si>
  <si>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</si>
  <si>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</si>
  <si>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</si>
  <si>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</si>
  <si>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</si>
  <si>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</si>
  <si>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</si>
  <si>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</si>
  <si>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</si>
  <si>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</si>
  <si>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</si>
  <si>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</si>
  <si>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</si>
  <si>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</si>
  <si>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</si>
  <si>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</si>
  <si>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</si>
  <si>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</si>
  <si>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</si>
  <si>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</si>
  <si>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</si>
  <si>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</si>
  <si>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</si>
  <si>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</si>
  <si>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</si>
  <si>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</si>
  <si>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</si>
  <si>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</si>
  <si>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</si>
  <si>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</si>
  <si>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</si>
  <si>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</si>
  <si>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</si>
  <si>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</si>
  <si>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</si>
  <si>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</si>
  <si>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</si>
  <si>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</si>
  <si>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</si>
  <si>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</si>
  <si>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</si>
  <si>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</si>
  <si>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</si>
  <si>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</si>
  <si>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>C. M. GARRETT</t>
  </si>
  <si>
    <t>WITNESS:   C. M. GARRETT</t>
  </si>
  <si>
    <t>WITNESS:   D. K. ARBOUGH</t>
  </si>
  <si>
    <t>CASE NO. 2016-00371 - GAS OPERATIONS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</si>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</sst>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3" t="s">
        <v>108</v>
      </c>
      <c r="B1" s="63"/>
      <c r="C1" s="63"/>
    </row>
    <row r="2" spans="1:3" ht="15.75" x14ac:dyDescent="0.25">
      <c r="A2" s="63" t="s">
        <v>3</v>
      </c>
      <c r="B2" s="63"/>
      <c r="C2" s="63"/>
    </row>
    <row r="3" spans="1:3" ht="15.75" x14ac:dyDescent="0.25">
      <c r="A3" s="63" t="s">
        <v>142</v>
      </c>
      <c r="B3" s="63"/>
      <c r="C3" s="63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108</v>
      </c>
    </row>
    <row r="10" spans="1:3" x14ac:dyDescent="0.2">
      <c r="A10" s="2" t="s">
        <v>6</v>
      </c>
      <c r="C10" s="4" t="s">
        <v>146</v>
      </c>
    </row>
    <row r="11" spans="1:3" x14ac:dyDescent="0.2">
      <c r="A11" s="2" t="s">
        <v>7</v>
      </c>
      <c r="C11" s="4" t="s">
        <v>130</v>
      </c>
    </row>
    <row r="12" spans="1:3" x14ac:dyDescent="0.2">
      <c r="C12" s="4" t="s">
        <v>131</v>
      </c>
    </row>
    <row r="13" spans="1:3" x14ac:dyDescent="0.2">
      <c r="C13" s="4" t="s">
        <v>132</v>
      </c>
    </row>
    <row r="14" spans="1:3" x14ac:dyDescent="0.2">
      <c r="C14" s="4" t="s">
        <v>133</v>
      </c>
    </row>
    <row r="15" spans="1:3" x14ac:dyDescent="0.2">
      <c r="C15" s="4" t="s">
        <v>134</v>
      </c>
    </row>
    <row r="16" spans="1:3" x14ac:dyDescent="0.2">
      <c r="C16" s="4" t="s">
        <v>135</v>
      </c>
    </row>
    <row r="17" spans="1:3" x14ac:dyDescent="0.2">
      <c r="A17" s="2" t="s">
        <v>8</v>
      </c>
      <c r="C17" s="4" t="s">
        <v>136</v>
      </c>
    </row>
    <row r="18" spans="1:3" x14ac:dyDescent="0.2">
      <c r="C18" s="4" t="s">
        <v>137</v>
      </c>
    </row>
    <row r="19" spans="1:3" x14ac:dyDescent="0.2">
      <c r="C19" s="4" t="s">
        <v>138</v>
      </c>
    </row>
    <row r="20" spans="1:3" x14ac:dyDescent="0.2">
      <c r="C20" s="4" t="s">
        <v>139</v>
      </c>
    </row>
    <row r="21" spans="1:3" x14ac:dyDescent="0.2">
      <c r="C21" s="4" t="s">
        <v>140</v>
      </c>
    </row>
    <row r="22" spans="1:3" x14ac:dyDescent="0.2">
      <c r="C22" s="4" t="s">
        <v>141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143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C25"/>
  <sheetViews>
    <sheetView tabSelected="1" zoomScaleNormal="100" workbookViewId="0">
      <selection activeCell="F16" sqref="F16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4" t="s">
        <v>75</v>
      </c>
      <c r="B6" s="64"/>
      <c r="C6" s="64"/>
    </row>
    <row r="7" spans="1:3" ht="12.75" x14ac:dyDescent="0.2">
      <c r="A7" s="38"/>
      <c r="B7" s="38"/>
      <c r="C7" s="38"/>
    </row>
    <row r="8" spans="1:3" ht="12.75" x14ac:dyDescent="0.2">
      <c r="A8" s="64" t="s">
        <v>76</v>
      </c>
      <c r="B8" s="64"/>
      <c r="C8" s="64"/>
    </row>
    <row r="9" spans="1:3" ht="12.75" x14ac:dyDescent="0.2">
      <c r="A9" s="38"/>
      <c r="B9" s="38"/>
      <c r="C9" s="38"/>
    </row>
    <row r="10" spans="1:3" ht="12.75" x14ac:dyDescent="0.2">
      <c r="A10" s="65" t="str">
        <f>'Rate Case Constants'!C9</f>
        <v>LOUISVILLE GAS AND ELECTRIC COMPANY</v>
      </c>
      <c r="B10" s="64"/>
      <c r="C10" s="64"/>
    </row>
    <row r="11" spans="1:3" ht="12.75" x14ac:dyDescent="0.2">
      <c r="A11" s="38"/>
      <c r="B11" s="38"/>
      <c r="C11" s="38"/>
    </row>
    <row r="12" spans="1:3" ht="12.75" x14ac:dyDescent="0.2">
      <c r="A12" s="65" t="str">
        <f>'Rate Case Constants'!C10</f>
        <v>CASE NO. 2016-00371 - GAS OPERATIONS</v>
      </c>
      <c r="B12" s="64"/>
      <c r="C12" s="64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77</v>
      </c>
      <c r="B16" s="38"/>
      <c r="C16" s="56" t="str">
        <f>'Rate Case Constants'!C16</f>
        <v>FOR THE 12 MONTHS ENDED FEBRUARY 28, 2017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78</v>
      </c>
      <c r="B18" s="38"/>
      <c r="C18" s="56" t="str">
        <f>'Rate Case Constants'!C22</f>
        <v>FOR THE 12 MONTHS ENDED JUNE 30, 2018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17</v>
      </c>
      <c r="B21" s="41"/>
      <c r="C21" s="40" t="s">
        <v>18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42</v>
      </c>
      <c r="B24" s="43"/>
      <c r="C24" s="42" t="s">
        <v>41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00"/>
  <sheetViews>
    <sheetView zoomScaleNormal="100" workbookViewId="0">
      <selection activeCell="D17" sqref="D17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tr">
        <f>'Rate Case Constants'!C9</f>
        <v>LOUISVILLE GAS AND ELECTRIC COMPANY</v>
      </c>
      <c r="B1" s="67"/>
      <c r="C1" s="67"/>
      <c r="D1" s="67"/>
      <c r="E1" s="67"/>
    </row>
    <row r="2" spans="1:5" s="7" customFormat="1" ht="20.100000000000001" customHeight="1" x14ac:dyDescent="0.2">
      <c r="A2" s="66" t="str">
        <f>'Rate Case Constants'!C10</f>
        <v>CASE NO. 2016-00371 - GAS OPERATIONS</v>
      </c>
      <c r="B2" s="67"/>
      <c r="C2" s="67"/>
      <c r="D2" s="67"/>
      <c r="E2" s="67"/>
    </row>
    <row r="3" spans="1:5" s="7" customFormat="1" ht="20.100000000000001" customHeight="1" x14ac:dyDescent="0.2">
      <c r="A3" s="67" t="s">
        <v>41</v>
      </c>
      <c r="B3" s="67"/>
      <c r="C3" s="67"/>
      <c r="D3" s="67"/>
      <c r="E3" s="67"/>
    </row>
    <row r="4" spans="1:5" s="7" customFormat="1" ht="20.100000000000001" customHeight="1" x14ac:dyDescent="0.2">
      <c r="A4" s="67" t="str">
        <f>'Rate Case Constants'!C15</f>
        <v>BASE YEAR FOR THE 12 MONTHS ENDED FEBRUARY 28, 2017</v>
      </c>
      <c r="B4" s="67"/>
      <c r="C4" s="67"/>
      <c r="D4" s="67"/>
      <c r="E4" s="67"/>
    </row>
    <row r="5" spans="1:5" s="7" customFormat="1" ht="20.100000000000001" customHeight="1" x14ac:dyDescent="0.2">
      <c r="A5" s="67" t="str">
        <f>'Rate Case Constants'!C21</f>
        <v>FORECAST PERIOD FOR THE 12 MONTHS ENDED JUNE 30, 2018</v>
      </c>
      <c r="B5" s="67"/>
      <c r="C5" s="67"/>
      <c r="D5" s="67"/>
      <c r="E5" s="67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125</v>
      </c>
      <c r="C14" s="16" t="s">
        <v>50</v>
      </c>
      <c r="D14" s="14">
        <f>'SCH C-1'!C32</f>
        <v>490323188.92772764</v>
      </c>
      <c r="E14" s="14">
        <f>'SCH C-1'!E32</f>
        <v>706897908.12292981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34050625.724084973</v>
      </c>
      <c r="E16" s="14">
        <f>'SCH C-1'!E30</f>
        <v>42774086.281509489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6.9445268943019431E-2</v>
      </c>
      <c r="E18" s="27">
        <f>E16/E14</f>
        <v>6.0509566926135336E-2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G'!K43</f>
        <v>7.3549607782785187E-2</v>
      </c>
      <c r="E20" s="27">
        <f>'SCH J-1 G'!L21</f>
        <v>7.243100045852631E-2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 t="s">
        <v>19</v>
      </c>
      <c r="D22" s="14">
        <f>D14*D20</f>
        <v>36063078.232438847</v>
      </c>
      <c r="E22" s="14">
        <f>E14*E20</f>
        <v>51201322.707383215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 t="s">
        <v>19</v>
      </c>
      <c r="D24" s="14">
        <f>D22-D16</f>
        <v>2012452.5083538741</v>
      </c>
      <c r="E24" s="14">
        <f>E22-E16</f>
        <v>8427236.4258737266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H-1'!E34</f>
        <v>1.6409347988751752</v>
      </c>
      <c r="E26" s="28">
        <f>D26</f>
        <v>1.6409347988751752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3302303.3520415062</v>
      </c>
      <c r="E28" s="14">
        <f>E24*E26</f>
        <v>13828545.509564655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C-1'!F15</f>
        <v>13828545.509564679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184116916.55141816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197945462.06098282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activeCell="A3" sqref="A3:G3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66" t="s">
        <v>108</v>
      </c>
      <c r="B1" s="67"/>
      <c r="C1" s="67"/>
      <c r="D1" s="67"/>
      <c r="E1" s="67"/>
      <c r="F1" s="67"/>
      <c r="G1" s="67"/>
    </row>
    <row r="2" spans="1:10" s="7" customFormat="1" ht="20.100000000000001" customHeight="1" x14ac:dyDescent="0.2">
      <c r="A2" s="66" t="s">
        <v>146</v>
      </c>
      <c r="B2" s="67"/>
      <c r="C2" s="67"/>
      <c r="D2" s="67"/>
      <c r="E2" s="67"/>
      <c r="F2" s="67"/>
      <c r="G2" s="67"/>
    </row>
    <row r="3" spans="1:10" s="7" customFormat="1" ht="20.100000000000001" customHeight="1" x14ac:dyDescent="0.2">
      <c r="A3" s="67" t="s">
        <v>40</v>
      </c>
      <c r="B3" s="67"/>
      <c r="C3" s="67"/>
      <c r="D3" s="67"/>
      <c r="E3" s="67"/>
      <c r="F3" s="67"/>
      <c r="G3" s="67"/>
    </row>
    <row r="4" spans="1:10" s="7" customFormat="1" ht="20.100000000000001" customHeight="1" x14ac:dyDescent="0.2">
      <c r="A4" s="66" t="s">
        <v>135</v>
      </c>
      <c r="B4" s="67"/>
      <c r="C4" s="67"/>
      <c r="D4" s="67"/>
      <c r="E4" s="67"/>
      <c r="F4" s="67"/>
      <c r="G4" s="67"/>
    </row>
    <row r="5" spans="1:10" s="7" customFormat="1" ht="20.100000000000001" customHeight="1" x14ac:dyDescent="0.2">
      <c r="A5" s="66" t="s">
        <v>141</v>
      </c>
      <c r="B5" s="67"/>
      <c r="C5" s="67"/>
      <c r="D5" s="67"/>
      <c r="E5" s="67"/>
      <c r="F5" s="67"/>
      <c r="G5" s="67"/>
    </row>
    <row r="6" spans="1:10" s="7" customFormat="1" ht="20.100000000000001" customHeight="1" x14ac:dyDescent="0.2">
      <c r="A6" s="62"/>
      <c r="B6" s="62"/>
      <c r="C6" s="62"/>
      <c r="D6" s="62"/>
      <c r="E6" s="62"/>
      <c r="F6" s="62"/>
      <c r="G6" s="62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144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79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109</v>
      </c>
      <c r="C15" s="14">
        <v>145275244.81367174</v>
      </c>
      <c r="D15" s="14">
        <f t="shared" ref="D15:D16" si="0">E15-C15</f>
        <v>30066121.488179058</v>
      </c>
      <c r="E15" s="14">
        <v>175341366.3018508</v>
      </c>
      <c r="F15" s="14">
        <v>13828545.509564679</v>
      </c>
      <c r="G15" s="14">
        <f>SUM(E15:F15)</f>
        <v>189169911.81141546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9354899.8060608655</v>
      </c>
      <c r="D16" s="14">
        <f t="shared" si="0"/>
        <v>-579349.55649351329</v>
      </c>
      <c r="E16" s="14">
        <v>8775550.2495673522</v>
      </c>
      <c r="F16" s="14"/>
      <c r="G16" s="14">
        <f t="shared" ref="G16" si="1">SUM(E16:F16)</f>
        <v>8775550.2495673522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154630144.61973262</v>
      </c>
      <c r="D18" s="20">
        <f>SUM(D15:D16)</f>
        <v>29486771.931685545</v>
      </c>
      <c r="E18" s="20">
        <f>SUM(E15:E16)</f>
        <v>184116916.55141816</v>
      </c>
      <c r="F18" s="20">
        <f>SUM(F15:F16)</f>
        <v>13828545.509564679</v>
      </c>
      <c r="G18" s="20">
        <f>SUM(G15:G16)</f>
        <v>197945462.06098282</v>
      </c>
      <c r="J18" s="14"/>
      <c r="K18" s="7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67538567.623981863</v>
      </c>
      <c r="D21" s="14">
        <f t="shared" ref="D21:D26" si="2">E21-C21</f>
        <v>4952908.1695886403</v>
      </c>
      <c r="E21" s="14">
        <v>72491475.793570504</v>
      </c>
      <c r="F21" s="14">
        <v>31252.512851616171</v>
      </c>
      <c r="G21" s="14">
        <f t="shared" ref="G21:G26" si="3">SUM(E21:F21)</f>
        <v>72522728.306422114</v>
      </c>
    </row>
    <row r="22" spans="1:11" ht="18.95" customHeight="1" x14ac:dyDescent="0.2">
      <c r="A22" s="15">
        <f>A21+1</f>
        <v>7</v>
      </c>
      <c r="B22" s="1" t="s">
        <v>28</v>
      </c>
      <c r="C22" s="14">
        <v>28725051.78577216</v>
      </c>
      <c r="D22" s="14">
        <f t="shared" si="2"/>
        <v>9985409.4088070989</v>
      </c>
      <c r="E22" s="14">
        <v>38710461.194579259</v>
      </c>
      <c r="F22" s="14"/>
      <c r="G22" s="14">
        <f t="shared" si="3"/>
        <v>38710461.194579259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8294708.2381154783</v>
      </c>
      <c r="D23" s="14">
        <f t="shared" si="2"/>
        <v>2818857.5918512605</v>
      </c>
      <c r="E23" s="14">
        <v>11113565.829966739</v>
      </c>
      <c r="F23" s="14">
        <v>26841.206834065044</v>
      </c>
      <c r="G23" s="14">
        <f t="shared" si="3"/>
        <v>11140407.036800804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16079294.247778151</v>
      </c>
      <c r="D24" s="14">
        <f t="shared" si="2"/>
        <v>2983903.2040140219</v>
      </c>
      <c r="E24" s="14">
        <v>19063197.451792173</v>
      </c>
      <c r="F24" s="14">
        <v>5343215.3640052555</v>
      </c>
      <c r="G24" s="14">
        <f t="shared" si="3"/>
        <v>24406412.81579743</v>
      </c>
    </row>
    <row r="25" spans="1:11" ht="18.95" customHeight="1" x14ac:dyDescent="0.2">
      <c r="A25" s="15">
        <f>A24+1</f>
        <v>10</v>
      </c>
      <c r="B25" s="1" t="s">
        <v>29</v>
      </c>
      <c r="C25" s="14">
        <v>-58103</v>
      </c>
      <c r="D25" s="14">
        <f t="shared" si="2"/>
        <v>22233</v>
      </c>
      <c r="E25" s="14">
        <v>-35870</v>
      </c>
      <c r="F25" s="14"/>
      <c r="G25" s="14">
        <f t="shared" si="3"/>
        <v>-35870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120579518.89564764</v>
      </c>
      <c r="D28" s="21">
        <f t="shared" ref="D28:G28" si="5">SUM(D21:D26)</f>
        <v>20763311.374261022</v>
      </c>
      <c r="E28" s="21">
        <f t="shared" si="5"/>
        <v>141342830.26990867</v>
      </c>
      <c r="F28" s="21">
        <f t="shared" si="5"/>
        <v>5401309.0836909367</v>
      </c>
      <c r="G28" s="21">
        <f t="shared" si="5"/>
        <v>146744139.35359961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34050625.724084973</v>
      </c>
      <c r="D30" s="21">
        <f>D18-D28</f>
        <v>8723460.5574245229</v>
      </c>
      <c r="E30" s="21">
        <f>E18-E28</f>
        <v>42774086.281509489</v>
      </c>
      <c r="F30" s="21">
        <f>G30-E30</f>
        <v>8427236.4258737415</v>
      </c>
      <c r="G30" s="21">
        <f>G32*G34</f>
        <v>51201322.70738323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125</v>
      </c>
      <c r="C32" s="21">
        <v>490323188.92772764</v>
      </c>
      <c r="D32" s="21">
        <f t="shared" ref="D32" si="6">E32-C32</f>
        <v>216574719.19520217</v>
      </c>
      <c r="E32" s="21">
        <v>706897908.12292981</v>
      </c>
      <c r="F32" s="14"/>
      <c r="G32" s="21">
        <f>E32</f>
        <v>706897908.12292981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126</v>
      </c>
      <c r="C34" s="25">
        <f>C30/C32</f>
        <v>6.9445268943019431E-2</v>
      </c>
      <c r="D34" s="14"/>
      <c r="E34" s="25">
        <f>E30/E32</f>
        <v>6.0509566926135336E-2</v>
      </c>
      <c r="F34" s="14"/>
      <c r="G34" s="25">
        <v>7.2431000458526323E-2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123</v>
      </c>
      <c r="C36" s="21">
        <v>501907897.17391837</v>
      </c>
      <c r="D36" s="21">
        <f t="shared" ref="D36" si="7">E36-C36</f>
        <v>210476829.92108691</v>
      </c>
      <c r="E36" s="21">
        <v>712384727.09500527</v>
      </c>
      <c r="F36" s="14"/>
      <c r="G36" s="21">
        <f>E36</f>
        <v>712384727.09500527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127</v>
      </c>
      <c r="C38" s="25">
        <f>C30/C36</f>
        <v>6.7842378882287113E-2</v>
      </c>
      <c r="D38" s="14"/>
      <c r="E38" s="25">
        <f>E30/E36</f>
        <v>6.0043519540256843E-2</v>
      </c>
      <c r="F38" s="14"/>
      <c r="G38" s="25">
        <f>G30/G36</f>
        <v>7.1873133659356089E-2</v>
      </c>
    </row>
    <row r="39" spans="1:7" ht="18.95" customHeight="1" thickTop="1" x14ac:dyDescent="0.2"/>
    <row r="40" spans="1:7" ht="18.95" customHeight="1" x14ac:dyDescent="0.2">
      <c r="E40" s="9" t="s">
        <v>124</v>
      </c>
      <c r="F40" s="14">
        <f>F18-F28</f>
        <v>8427236.4258737415</v>
      </c>
      <c r="G40" s="14">
        <f>G18-G28</f>
        <v>51201322.707383215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01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">
        <v>108</v>
      </c>
      <c r="B1" s="67"/>
      <c r="C1" s="67"/>
      <c r="D1" s="67"/>
      <c r="E1" s="67"/>
    </row>
    <row r="2" spans="1:5" s="7" customFormat="1" ht="20.100000000000001" customHeight="1" x14ac:dyDescent="0.2">
      <c r="A2" s="66" t="s">
        <v>147</v>
      </c>
      <c r="B2" s="67"/>
      <c r="C2" s="67"/>
      <c r="D2" s="67"/>
      <c r="E2" s="67"/>
    </row>
    <row r="3" spans="1:5" s="7" customFormat="1" ht="20.100000000000001" customHeight="1" x14ac:dyDescent="0.2">
      <c r="A3" s="67" t="s">
        <v>60</v>
      </c>
      <c r="B3" s="67"/>
      <c r="C3" s="67"/>
      <c r="D3" s="67"/>
      <c r="E3" s="67"/>
    </row>
    <row r="4" spans="1:5" s="7" customFormat="1" ht="20.100000000000001" customHeight="1" x14ac:dyDescent="0.2">
      <c r="A4" s="66" t="s">
        <v>135</v>
      </c>
      <c r="B4" s="67"/>
      <c r="C4" s="67"/>
      <c r="D4" s="67"/>
      <c r="E4" s="67"/>
    </row>
    <row r="5" spans="1:5" s="7" customFormat="1" ht="20.100000000000001" customHeight="1" x14ac:dyDescent="0.2">
      <c r="A5" s="66" t="s">
        <v>141</v>
      </c>
      <c r="B5" s="67"/>
      <c r="C5" s="67"/>
      <c r="D5" s="67"/>
      <c r="E5" s="67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80</v>
      </c>
      <c r="D9" s="8"/>
      <c r="E9" s="10" t="s">
        <v>144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8" t="s">
        <v>62</v>
      </c>
      <c r="E11" s="68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2.2599999999999999E-3</v>
      </c>
      <c r="E16" s="32">
        <f>D16</f>
        <v>2.2599999999999999E-3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2">
        <v>1.941E-3</v>
      </c>
      <c r="E18" s="32">
        <f>D18</f>
        <v>1.941E-3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67</v>
      </c>
      <c r="D20" s="33">
        <v>2.5014000000000002E-2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68</v>
      </c>
      <c r="C22" s="14"/>
      <c r="D22" s="32">
        <f>D14-D16-D18-D20</f>
        <v>0.97078500000000001</v>
      </c>
      <c r="E22" s="32">
        <f>E14-E16-E18-E20</f>
        <v>0.99579899999999999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69</v>
      </c>
      <c r="C24" s="27">
        <v>0.06</v>
      </c>
      <c r="D24" s="32">
        <f>D22*C24</f>
        <v>5.8247099999999996E-2</v>
      </c>
      <c r="E24" s="32">
        <f>D24</f>
        <v>5.8247099999999996E-2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70</v>
      </c>
      <c r="C26" s="14"/>
      <c r="D26" s="32"/>
      <c r="E26" s="33">
        <v>0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71</v>
      </c>
      <c r="D28" s="32"/>
      <c r="E28" s="32">
        <f>E22-E24-E26</f>
        <v>0.93755189999999999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72</v>
      </c>
      <c r="C30" s="27">
        <v>0.35</v>
      </c>
      <c r="D30" s="34"/>
      <c r="E30" s="33">
        <f>E28*C30</f>
        <v>0.32814316499999996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73</v>
      </c>
      <c r="E32" s="35">
        <f>E22-E24-E30</f>
        <v>0.60940873500000003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74</v>
      </c>
      <c r="E34" s="36">
        <f>E14/E32</f>
        <v>1.6409347988751752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18"/>
  <sheetViews>
    <sheetView zoomScaleNormal="100" workbookViewId="0">
      <selection activeCell="A4" sqref="A4:L4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6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9" s="7" customFormat="1" ht="20.100000000000001" customHeight="1" x14ac:dyDescent="0.2">
      <c r="A2" s="66" t="s">
        <v>147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s="7" customFormat="1" ht="20.100000000000001" customHeight="1" x14ac:dyDescent="0.2">
      <c r="A3" s="67" t="s">
        <v>81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9" s="7" customFormat="1" ht="20.100000000000001" customHeight="1" x14ac:dyDescent="0.2">
      <c r="A4" s="66" t="s">
        <v>137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9" s="7" customFormat="1" ht="20.100000000000001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9" s="7" customFormat="1" ht="20.100000000000001" customHeight="1" x14ac:dyDescent="0.2">
      <c r="A6" s="8" t="s">
        <v>82</v>
      </c>
      <c r="L6" s="9"/>
    </row>
    <row r="7" spans="1:19" s="7" customFormat="1" ht="20.100000000000001" customHeight="1" x14ac:dyDescent="0.2">
      <c r="A7" s="8" t="s">
        <v>101</v>
      </c>
      <c r="L7" s="9" t="s">
        <v>102</v>
      </c>
    </row>
    <row r="8" spans="1:19" s="7" customFormat="1" ht="20.100000000000001" customHeight="1" x14ac:dyDescent="0.2">
      <c r="A8" s="7" t="s">
        <v>59</v>
      </c>
      <c r="L8" s="9" t="s">
        <v>110</v>
      </c>
    </row>
    <row r="9" spans="1:19" s="7" customFormat="1" ht="20.100000000000001" customHeight="1" x14ac:dyDescent="0.2">
      <c r="A9" s="8" t="s">
        <v>25</v>
      </c>
      <c r="L9" s="10" t="s">
        <v>145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83</v>
      </c>
      <c r="C11" s="19" t="s">
        <v>84</v>
      </c>
      <c r="D11" s="19" t="s">
        <v>103</v>
      </c>
      <c r="E11" s="19" t="s">
        <v>111</v>
      </c>
      <c r="F11" s="19" t="s">
        <v>112</v>
      </c>
      <c r="G11" s="19" t="s">
        <v>85</v>
      </c>
      <c r="H11" s="19" t="s">
        <v>113</v>
      </c>
      <c r="I11" s="19" t="s">
        <v>86</v>
      </c>
      <c r="J11" s="19" t="s">
        <v>87</v>
      </c>
      <c r="K11" s="19" t="s">
        <v>104</v>
      </c>
      <c r="L11" s="19" t="s">
        <v>88</v>
      </c>
    </row>
    <row r="12" spans="1:19" ht="18.95" customHeight="1" x14ac:dyDescent="0.2">
      <c r="A12" s="12"/>
      <c r="B12" s="46" t="s">
        <v>89</v>
      </c>
      <c r="C12" s="46" t="s">
        <v>90</v>
      </c>
      <c r="D12" s="46" t="s">
        <v>91</v>
      </c>
      <c r="E12" s="46" t="s">
        <v>92</v>
      </c>
      <c r="F12" s="46" t="s">
        <v>114</v>
      </c>
      <c r="G12" s="46" t="s">
        <v>93</v>
      </c>
      <c r="H12" s="46" t="s">
        <v>115</v>
      </c>
      <c r="I12" s="46" t="s">
        <v>116</v>
      </c>
      <c r="J12" s="46" t="s">
        <v>117</v>
      </c>
      <c r="K12" s="46" t="s">
        <v>118</v>
      </c>
      <c r="L12" s="46" t="s">
        <v>105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94</v>
      </c>
      <c r="F13" s="18" t="s">
        <v>27</v>
      </c>
      <c r="G13" s="18" t="s">
        <v>27</v>
      </c>
      <c r="H13" s="18" t="s">
        <v>27</v>
      </c>
      <c r="I13" s="18"/>
      <c r="J13" s="18" t="s">
        <v>94</v>
      </c>
      <c r="K13" s="18" t="s">
        <v>94</v>
      </c>
      <c r="L13" s="18" t="s">
        <v>94</v>
      </c>
    </row>
    <row r="14" spans="1:19" ht="18.95" customHeight="1" x14ac:dyDescent="0.2">
      <c r="A14" s="15"/>
      <c r="B14" s="13" t="s">
        <v>119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120</v>
      </c>
      <c r="Q14" s="58" t="s">
        <v>121</v>
      </c>
      <c r="R14" s="58" t="s">
        <v>128</v>
      </c>
      <c r="S14" s="58" t="s">
        <v>129</v>
      </c>
    </row>
    <row r="15" spans="1:19" ht="18.95" customHeight="1" x14ac:dyDescent="0.2">
      <c r="A15" s="15">
        <v>1</v>
      </c>
      <c r="B15" s="13" t="s">
        <v>95</v>
      </c>
      <c r="C15" s="16" t="s">
        <v>96</v>
      </c>
      <c r="D15" s="14">
        <v>170236444.26927</v>
      </c>
      <c r="E15" s="47">
        <v>0.17419999999999999</v>
      </c>
      <c r="F15" s="14">
        <f>D15*E15</f>
        <v>29655188.591706835</v>
      </c>
      <c r="G15" s="14">
        <f>SUM(P15:S15)</f>
        <v>-784552.30564034067</v>
      </c>
      <c r="H15" s="14">
        <f>SUM(F15:G15)</f>
        <v>28870636.286066495</v>
      </c>
      <c r="I15" s="47">
        <f>H15/H$21</f>
        <v>3.9313136605484779E-2</v>
      </c>
      <c r="J15" s="47">
        <v>8.1541833333333251E-3</v>
      </c>
      <c r="K15" s="47">
        <f>I15*J15</f>
        <v>3.2056652328950021E-4</v>
      </c>
      <c r="L15" s="47">
        <v>2.7398372145062423E-4</v>
      </c>
      <c r="O15" s="47">
        <f>D15/D$21</f>
        <v>3.9313136605484779E-2</v>
      </c>
      <c r="P15" s="14">
        <f>O15*P$21</f>
        <v>0</v>
      </c>
      <c r="Q15" s="14">
        <f>$O15*Q$21</f>
        <v>895.39599932652573</v>
      </c>
      <c r="R15" s="14">
        <f>$O15*R$21</f>
        <v>-785447.70163966715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97</v>
      </c>
      <c r="C17" s="16" t="s">
        <v>98</v>
      </c>
      <c r="D17" s="14">
        <v>1848263413.2969377</v>
      </c>
      <c r="E17" s="48">
        <f>E$15</f>
        <v>0.17419999999999999</v>
      </c>
      <c r="F17" s="14">
        <f>D17*E17</f>
        <v>321967486.59632653</v>
      </c>
      <c r="G17" s="14">
        <f>SUM(P17:S17)</f>
        <v>-8517913.5910473987</v>
      </c>
      <c r="H17" s="14">
        <f>SUM(F17:G17)</f>
        <v>313449573.00527912</v>
      </c>
      <c r="I17" s="47">
        <f>H17/H$21</f>
        <v>0.42682418774519942</v>
      </c>
      <c r="J17" s="48">
        <v>4.068876681474283E-2</v>
      </c>
      <c r="K17" s="47">
        <f>I17*J17</f>
        <v>1.7366949846056433E-2</v>
      </c>
      <c r="L17" s="47">
        <v>1.7666037074455902E-2</v>
      </c>
      <c r="O17" s="47">
        <f>D17/D$21</f>
        <v>0.42682418774519948</v>
      </c>
      <c r="P17" s="14">
        <f>O17*P$21</f>
        <v>0</v>
      </c>
      <c r="Q17" s="14">
        <f>$O17*Q$21</f>
        <v>9721.3477000847106</v>
      </c>
      <c r="R17" s="14">
        <f>$O17*R$21</f>
        <v>-8527634.9387474842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99</v>
      </c>
      <c r="C19" s="16"/>
      <c r="D19" s="20">
        <v>2311768825.3330202</v>
      </c>
      <c r="E19" s="48">
        <f>E$15</f>
        <v>0.17419999999999999</v>
      </c>
      <c r="F19" s="20">
        <f>D19*E19</f>
        <v>402710129.37301213</v>
      </c>
      <c r="G19" s="20">
        <f>SUM(P19:S19)</f>
        <v>-10654026.3444041</v>
      </c>
      <c r="H19" s="20">
        <f>SUM(F19:G19)</f>
        <v>392056103.02860802</v>
      </c>
      <c r="I19" s="51">
        <f>H19/H$21</f>
        <v>0.53386267564931578</v>
      </c>
      <c r="J19" s="47">
        <v>0.1023</v>
      </c>
      <c r="K19" s="51">
        <f>I19*J19</f>
        <v>5.4614151718925003E-2</v>
      </c>
      <c r="L19" s="51">
        <v>5.449097966261978E-2</v>
      </c>
      <c r="O19" s="51">
        <f>D19/D$21</f>
        <v>0.53386267564931578</v>
      </c>
      <c r="P19" s="20">
        <f>O19*P$21</f>
        <v>0</v>
      </c>
      <c r="Q19" s="20">
        <f>$O19*Q$21</f>
        <v>12159.256300588877</v>
      </c>
      <c r="R19" s="20">
        <f>$O19*R$21</f>
        <v>-10666185.600704689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100</v>
      </c>
      <c r="C21" s="16"/>
      <c r="D21" s="21">
        <f>SUM(D15:D19)</f>
        <v>4330268682.8992281</v>
      </c>
      <c r="E21" s="47"/>
      <c r="F21" s="21">
        <f>SUM(F15:F19)</f>
        <v>754332804.56104541</v>
      </c>
      <c r="G21" s="21">
        <f>SUM(G15:G19)</f>
        <v>-19956492.24109184</v>
      </c>
      <c r="H21" s="21">
        <f>SUM(H15:H19)</f>
        <v>734376312.31995368</v>
      </c>
      <c r="I21" s="52">
        <f>SUM(I15:I19)</f>
        <v>1</v>
      </c>
      <c r="J21" s="47"/>
      <c r="K21" s="52">
        <f>SUM(K15:K19)</f>
        <v>7.2301668088270932E-2</v>
      </c>
      <c r="L21" s="52">
        <f>SUM(L15:L19)</f>
        <v>7.243100045852631E-2</v>
      </c>
      <c r="O21" s="52">
        <f>SUM(O15:O19)</f>
        <v>1</v>
      </c>
      <c r="P21" s="21">
        <v>0</v>
      </c>
      <c r="Q21" s="21">
        <v>22776.000000000113</v>
      </c>
      <c r="R21" s="21">
        <v>-19979268.24109184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22776.000000000113</v>
      </c>
      <c r="R22" s="21">
        <f>SUM(R15:R19)</f>
        <v>-19979268.24109184</v>
      </c>
      <c r="S22" s="21">
        <f>SUM(S15:S19)</f>
        <v>0</v>
      </c>
    </row>
    <row r="23" spans="1:19" s="7" customFormat="1" ht="20.100000000000001" customHeight="1" thickTop="1" x14ac:dyDescent="0.2">
      <c r="A23" s="67" t="s">
        <v>108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45"/>
    </row>
    <row r="24" spans="1:19" s="7" customFormat="1" ht="20.100000000000001" customHeight="1" x14ac:dyDescent="0.2">
      <c r="A24" s="67" t="s">
        <v>147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45"/>
    </row>
    <row r="25" spans="1:19" s="7" customFormat="1" ht="20.100000000000001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45"/>
    </row>
    <row r="26" spans="1:19" s="7" customFormat="1" ht="20.100000000000001" customHeight="1" x14ac:dyDescent="0.2">
      <c r="A26" s="67" t="s">
        <v>131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45"/>
    </row>
    <row r="27" spans="1:19" s="7" customFormat="1" ht="20.100000000000001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9" s="7" customFormat="1" ht="20.100000000000001" customHeight="1" x14ac:dyDescent="0.2">
      <c r="A28" s="8" t="s">
        <v>106</v>
      </c>
      <c r="K28" s="9"/>
    </row>
    <row r="29" spans="1:19" s="7" customFormat="1" ht="20.100000000000001" customHeight="1" x14ac:dyDescent="0.2">
      <c r="A29" s="8" t="s">
        <v>107</v>
      </c>
      <c r="K29" s="9" t="s">
        <v>102</v>
      </c>
    </row>
    <row r="30" spans="1:19" s="7" customFormat="1" ht="20.100000000000001" customHeight="1" x14ac:dyDescent="0.2">
      <c r="A30" s="7" t="s">
        <v>59</v>
      </c>
      <c r="K30" s="9" t="s">
        <v>122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83</v>
      </c>
      <c r="C33" s="19" t="s">
        <v>84</v>
      </c>
      <c r="D33" s="19" t="s">
        <v>103</v>
      </c>
      <c r="E33" s="19" t="s">
        <v>111</v>
      </c>
      <c r="F33" s="19" t="s">
        <v>112</v>
      </c>
      <c r="G33" s="19" t="s">
        <v>85</v>
      </c>
      <c r="H33" s="19" t="s">
        <v>113</v>
      </c>
      <c r="I33" s="19" t="s">
        <v>86</v>
      </c>
      <c r="J33" s="19" t="s">
        <v>87</v>
      </c>
      <c r="K33" s="19" t="s">
        <v>104</v>
      </c>
      <c r="L33" s="16"/>
    </row>
    <row r="34" spans="1:19" ht="18.95" customHeight="1" x14ac:dyDescent="0.2">
      <c r="A34" s="12"/>
      <c r="B34" s="46" t="s">
        <v>89</v>
      </c>
      <c r="C34" s="46" t="s">
        <v>90</v>
      </c>
      <c r="D34" s="46" t="s">
        <v>91</v>
      </c>
      <c r="E34" s="46" t="s">
        <v>92</v>
      </c>
      <c r="F34" s="46" t="s">
        <v>114</v>
      </c>
      <c r="G34" s="46" t="s">
        <v>93</v>
      </c>
      <c r="H34" s="46" t="s">
        <v>115</v>
      </c>
      <c r="I34" s="46" t="s">
        <v>116</v>
      </c>
      <c r="J34" s="46" t="s">
        <v>117</v>
      </c>
      <c r="K34" s="46" t="s">
        <v>118</v>
      </c>
      <c r="L34" s="46"/>
    </row>
    <row r="35" spans="1:19" ht="18.95" customHeight="1" x14ac:dyDescent="0.2">
      <c r="A35" s="12"/>
      <c r="B35" s="17"/>
      <c r="C35" s="17"/>
      <c r="D35" s="18" t="s">
        <v>27</v>
      </c>
      <c r="E35" s="18" t="s">
        <v>94</v>
      </c>
      <c r="F35" s="18" t="s">
        <v>27</v>
      </c>
      <c r="G35" s="18" t="s">
        <v>27</v>
      </c>
      <c r="H35" s="18" t="s">
        <v>27</v>
      </c>
      <c r="I35" s="18"/>
      <c r="J35" s="18" t="s">
        <v>94</v>
      </c>
      <c r="K35" s="18" t="s">
        <v>94</v>
      </c>
      <c r="L35" s="18"/>
    </row>
    <row r="36" spans="1:19" ht="18.95" customHeight="1" x14ac:dyDescent="0.2">
      <c r="A36" s="15"/>
      <c r="B36" s="13" t="s">
        <v>119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120</v>
      </c>
      <c r="Q36" s="58" t="s">
        <v>121</v>
      </c>
      <c r="R36" s="58" t="s">
        <v>128</v>
      </c>
      <c r="S36" s="58" t="s">
        <v>129</v>
      </c>
    </row>
    <row r="37" spans="1:19" ht="18.95" customHeight="1" x14ac:dyDescent="0.2">
      <c r="A37" s="15">
        <v>1</v>
      </c>
      <c r="B37" s="13" t="s">
        <v>95</v>
      </c>
      <c r="C37" s="16" t="s">
        <v>96</v>
      </c>
      <c r="D37" s="14">
        <v>176515920.67434499</v>
      </c>
      <c r="E37" s="47">
        <v>0.1709</v>
      </c>
      <c r="F37" s="14">
        <f>D37*E37</f>
        <v>30166570.843245558</v>
      </c>
      <c r="G37" s="14">
        <f>SUM(P37:S37)</f>
        <v>-8173547.3404730624</v>
      </c>
      <c r="H37" s="14">
        <f>SUM(F37:G37)</f>
        <v>21993023.502772495</v>
      </c>
      <c r="I37" s="47">
        <f>H37/H$43</f>
        <v>4.4854137025149364E-2</v>
      </c>
      <c r="J37" s="47">
        <v>6.5082999999999964E-3</v>
      </c>
      <c r="K37" s="47">
        <f>I37*J37</f>
        <v>2.9192418000077946E-4</v>
      </c>
      <c r="L37" s="14"/>
      <c r="O37" s="47">
        <f>D37/D$43</f>
        <v>4.4854137025149364E-2</v>
      </c>
      <c r="P37" s="14">
        <f>O37*P$43</f>
        <v>0</v>
      </c>
      <c r="Q37" s="14">
        <f>$O37*Q$43</f>
        <v>3326.0538714468971</v>
      </c>
      <c r="R37" s="14">
        <f>$O37*R$43</f>
        <v>-8176873.3943445096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97</v>
      </c>
      <c r="C39" s="16" t="s">
        <v>98</v>
      </c>
      <c r="D39" s="14">
        <v>1598999428.3093331</v>
      </c>
      <c r="E39" s="48">
        <f>E$37</f>
        <v>0.1709</v>
      </c>
      <c r="F39" s="14">
        <f>D39*E39</f>
        <v>273269002.29806501</v>
      </c>
      <c r="G39" s="14">
        <f>SUM(P39:S39)</f>
        <v>-74041465.918463364</v>
      </c>
      <c r="H39" s="14">
        <f>SUM(F39:G39)</f>
        <v>199227536.37960166</v>
      </c>
      <c r="I39" s="47">
        <f>H39/H$43</f>
        <v>0.40631881354680793</v>
      </c>
      <c r="J39" s="48">
        <v>4.2116377277529794E-2</v>
      </c>
      <c r="K39" s="47">
        <f>I39*J39</f>
        <v>1.7112676446295647E-2</v>
      </c>
      <c r="O39" s="47">
        <f>D39/D$43</f>
        <v>0.40631881354680793</v>
      </c>
      <c r="P39" s="14">
        <f>O39*P$43</f>
        <v>0</v>
      </c>
      <c r="Q39" s="14">
        <f>$O39*Q$43</f>
        <v>30129.623541331977</v>
      </c>
      <c r="R39" s="14">
        <f>$O39*R$43</f>
        <v>-74071595.54200469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99</v>
      </c>
      <c r="C41" s="16"/>
      <c r="D41" s="20">
        <v>2159816648.9404798</v>
      </c>
      <c r="E41" s="48">
        <f>E$37</f>
        <v>0.1709</v>
      </c>
      <c r="F41" s="20">
        <f>D41*E41</f>
        <v>369112665.30392796</v>
      </c>
      <c r="G41" s="20">
        <f>SUM(P41:S41)</f>
        <v>-100010036.25857447</v>
      </c>
      <c r="H41" s="20">
        <f>SUM(F41:G41)</f>
        <v>269102629.04535347</v>
      </c>
      <c r="I41" s="51">
        <f>H41/H$43</f>
        <v>0.54882704942804261</v>
      </c>
      <c r="J41" s="47">
        <v>0.1023</v>
      </c>
      <c r="K41" s="51">
        <f>I41*J41</f>
        <v>5.6145007156488763E-2</v>
      </c>
      <c r="L41" s="14"/>
      <c r="O41" s="51">
        <f>D41/D$43</f>
        <v>0.54882704942804261</v>
      </c>
      <c r="P41" s="20">
        <f>O41*P$43</f>
        <v>0</v>
      </c>
      <c r="Q41" s="20">
        <f>$O41*Q$43</f>
        <v>40696.989253887892</v>
      </c>
      <c r="R41" s="20">
        <f>$O41*R$43</f>
        <v>-100050733.24782836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100</v>
      </c>
      <c r="C43" s="16"/>
      <c r="D43" s="21">
        <f>SUM(D37:D41)</f>
        <v>3935331997.9241581</v>
      </c>
      <c r="E43" s="47"/>
      <c r="F43" s="21">
        <f>SUM(F37:F41)</f>
        <v>672548238.44523859</v>
      </c>
      <c r="G43" s="21">
        <f>SUM(G37:G41)</f>
        <v>-182225049.51751089</v>
      </c>
      <c r="H43" s="21">
        <f>SUM(H37:H41)</f>
        <v>490323188.92772764</v>
      </c>
      <c r="I43" s="52">
        <f>SUM(I37:I41)</f>
        <v>0.99999999999999989</v>
      </c>
      <c r="J43" s="47"/>
      <c r="K43" s="52">
        <f>SUM(K37:K41)</f>
        <v>7.3549607782785187E-2</v>
      </c>
      <c r="L43" s="14"/>
      <c r="O43" s="52">
        <f>SUM(O37:O41)</f>
        <v>0.99999999999999989</v>
      </c>
      <c r="P43" s="21">
        <v>0</v>
      </c>
      <c r="Q43" s="21">
        <v>74152.666666666773</v>
      </c>
      <c r="R43" s="21">
        <v>-182299202.18417758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74152.666666666773</v>
      </c>
      <c r="R44" s="21">
        <f>SUM(R37:R41)</f>
        <v>-182299202.18417758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7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'SCH A'!Print_Area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2014-12-08T12:54:48Z</dcterms:created>
  <dcterms:modified xsi:type="dcterms:W3CDTF">2016-11-15T17:22:21Z</dcterms:modified>
</cp:coreProperties>
</file>