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CN2016\CNs-00370-00371 - K L 2016 Rate Case\DR1 - PSC1\LGE\SRR Assigned\LGE PSC 1-54\1-SSeelyeExhibits\"/>
    </mc:Choice>
  </mc:AlternateContent>
  <bookViews>
    <workbookView xWindow="0" yWindow="0" windowWidth="14160" windowHeight="4170"/>
  </bookViews>
  <sheets>
    <sheet name="Overhead" sheetId="10" r:id="rId1"/>
    <sheet name="Underground" sheetId="9" r:id="rId2"/>
    <sheet name="CWC and Common" sheetId="5" r:id="rId3"/>
    <sheet name="WACOC" sheetId="2" r:id="rId4"/>
  </sheets>
  <definedNames>
    <definedName name="_xlnm.Print_Area" localSheetId="0">Overhead!$A$1:$J$47</definedName>
    <definedName name="_xlnm.Print_Area" localSheetId="1">Underground!$B$1:$H$46</definedName>
    <definedName name="_xlnm.Print_Area" localSheetId="3">WACOC!$A$1:$D$39</definedName>
  </definedNames>
  <calcPr calcId="171027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10" l="1"/>
  <c r="R18" i="10"/>
  <c r="R19" i="10"/>
  <c r="R20" i="10"/>
  <c r="R21" i="10"/>
  <c r="R26" i="10"/>
  <c r="R27" i="10"/>
  <c r="R35" i="10"/>
  <c r="I41" i="10" l="1"/>
  <c r="G41" i="10"/>
  <c r="L42" i="10"/>
  <c r="H41" i="10"/>
  <c r="U11" i="10"/>
  <c r="I36" i="10" s="1"/>
  <c r="S11" i="10"/>
  <c r="I30" i="2"/>
  <c r="H31" i="2"/>
  <c r="C31" i="2" s="1"/>
  <c r="G21" i="2"/>
  <c r="G22" i="2"/>
  <c r="G11" i="2"/>
  <c r="G12" i="2"/>
  <c r="H32" i="2" s="1"/>
  <c r="G20" i="2"/>
  <c r="H30" i="2" s="1"/>
  <c r="C30" i="2" s="1"/>
  <c r="G10" i="2"/>
  <c r="F31" i="2"/>
  <c r="F32" i="2"/>
  <c r="F30" i="2"/>
  <c r="H13" i="2"/>
  <c r="H23" i="2"/>
  <c r="F23" i="2"/>
  <c r="C32" i="2" l="1"/>
  <c r="I32" i="2"/>
  <c r="B31" i="2"/>
  <c r="D31" i="2" s="1"/>
  <c r="I31" i="2"/>
  <c r="I35" i="10"/>
  <c r="F33" i="2"/>
  <c r="G30" i="2" s="1"/>
  <c r="T11" i="10"/>
  <c r="Q28" i="10"/>
  <c r="Q16" i="10"/>
  <c r="G35" i="10"/>
  <c r="J41" i="10"/>
  <c r="G36" i="10"/>
  <c r="B38" i="2"/>
  <c r="J30" i="2" l="1"/>
  <c r="H35" i="10"/>
  <c r="J35" i="10" s="1"/>
  <c r="B30" i="2"/>
  <c r="G31" i="2"/>
  <c r="J31" i="2" s="1"/>
  <c r="H36" i="10"/>
  <c r="B32" i="2"/>
  <c r="D32" i="2" s="1"/>
  <c r="G32" i="2"/>
  <c r="J32" i="2" s="1"/>
  <c r="E29" i="10"/>
  <c r="F29" i="9"/>
  <c r="J36" i="10"/>
  <c r="G33" i="2" l="1"/>
  <c r="J33" i="2"/>
  <c r="B33" i="2"/>
  <c r="D30" i="2"/>
  <c r="D33" i="2" s="1"/>
  <c r="G25" i="10" l="1"/>
  <c r="H25" i="9"/>
  <c r="H25" i="10" l="1"/>
  <c r="I25" i="10"/>
  <c r="F13" i="2" l="1"/>
  <c r="G13" i="2" s="1"/>
  <c r="O16" i="9" l="1"/>
  <c r="H40" i="9"/>
  <c r="H36" i="9" l="1"/>
  <c r="H35" i="9"/>
  <c r="P21" i="9"/>
  <c r="P27" i="9"/>
  <c r="J113" i="5" l="1"/>
  <c r="J87" i="5"/>
  <c r="J83" i="5"/>
  <c r="J57" i="5"/>
  <c r="J117" i="5" s="1"/>
  <c r="J27" i="5"/>
  <c r="J99" i="5" l="1"/>
  <c r="J102" i="5" s="1"/>
  <c r="M105" i="5"/>
  <c r="M104" i="5"/>
  <c r="M103" i="5"/>
  <c r="M102" i="5"/>
  <c r="M101" i="5"/>
  <c r="M100" i="5"/>
  <c r="M99" i="5"/>
  <c r="K100" i="5"/>
  <c r="J118" i="5"/>
  <c r="J116" i="5"/>
  <c r="J115" i="5"/>
  <c r="M114" i="5"/>
  <c r="J114" i="5"/>
  <c r="J103" i="5"/>
  <c r="J104" i="5" s="1"/>
  <c r="J105" i="5" s="1"/>
  <c r="J101" i="5"/>
  <c r="K99" i="5" l="1"/>
  <c r="N99" i="5" s="1"/>
  <c r="K104" i="5"/>
  <c r="K101" i="5"/>
  <c r="N101" i="5" s="1"/>
  <c r="K103" i="5"/>
  <c r="N103" i="5" s="1"/>
  <c r="K102" i="5"/>
  <c r="N102" i="5" s="1"/>
  <c r="N100" i="5"/>
  <c r="N104" i="5"/>
  <c r="K105" i="5"/>
  <c r="N105" i="5" s="1"/>
  <c r="N106" i="5" l="1"/>
  <c r="O23" i="9" l="1"/>
  <c r="P22" i="9"/>
  <c r="H12" i="9" l="1"/>
  <c r="H13" i="9"/>
  <c r="H15" i="9" s="1"/>
  <c r="J15" i="9" s="1"/>
  <c r="J88" i="5"/>
  <c r="J86" i="5"/>
  <c r="J85" i="5"/>
  <c r="J84" i="5"/>
  <c r="M83" i="5"/>
  <c r="J75" i="5"/>
  <c r="J74" i="5"/>
  <c r="J73" i="5"/>
  <c r="J72" i="5"/>
  <c r="J71" i="5"/>
  <c r="K118" i="5" l="1"/>
  <c r="N118" i="5" s="1"/>
  <c r="K117" i="5"/>
  <c r="N117" i="5" s="1"/>
  <c r="K116" i="5"/>
  <c r="N116" i="5" s="1"/>
  <c r="K115" i="5"/>
  <c r="N115" i="5" s="1"/>
  <c r="K114" i="5"/>
  <c r="N114" i="5" s="1"/>
  <c r="K113" i="5"/>
  <c r="N113" i="5" s="1"/>
  <c r="K72" i="5"/>
  <c r="N72" i="5" s="1"/>
  <c r="K74" i="5"/>
  <c r="N74" i="5" s="1"/>
  <c r="H19" i="9"/>
  <c r="J19" i="9" s="1"/>
  <c r="H33" i="9"/>
  <c r="H17" i="9"/>
  <c r="K70" i="5"/>
  <c r="N70" i="5" s="1"/>
  <c r="K71" i="5"/>
  <c r="N71" i="5" s="1"/>
  <c r="K73" i="5"/>
  <c r="N73" i="5" s="1"/>
  <c r="K75" i="5"/>
  <c r="N75" i="5" s="1"/>
  <c r="K69" i="5"/>
  <c r="N69" i="5" s="1"/>
  <c r="N119" i="5" l="1"/>
  <c r="N76" i="5"/>
  <c r="H20" i="9" l="1"/>
  <c r="H31" i="9" l="1"/>
  <c r="K83" i="5" l="1"/>
  <c r="N83" i="5" s="1"/>
  <c r="K85" i="5"/>
  <c r="N85" i="5" s="1"/>
  <c r="K88" i="5"/>
  <c r="N88" i="5" s="1"/>
  <c r="K86" i="5"/>
  <c r="N86" i="5" s="1"/>
  <c r="K84" i="5"/>
  <c r="N84" i="5" s="1"/>
  <c r="K87" i="5"/>
  <c r="N87" i="5" s="1"/>
  <c r="N89" i="5" l="1"/>
  <c r="H21" i="9" l="1"/>
  <c r="H23" i="9" s="1"/>
  <c r="H29" i="9" s="1"/>
  <c r="M54" i="5" l="1"/>
  <c r="J58" i="5" l="1"/>
  <c r="J56" i="5"/>
  <c r="J55" i="5"/>
  <c r="J54" i="5"/>
  <c r="J43" i="5" l="1"/>
  <c r="J44" i="5" s="1"/>
  <c r="J45" i="5" s="1"/>
  <c r="J42" i="5"/>
  <c r="J41" i="5"/>
  <c r="K40" i="5"/>
  <c r="N40" i="5" s="1"/>
  <c r="K42" i="5" l="1"/>
  <c r="N42" i="5" s="1"/>
  <c r="K39" i="5"/>
  <c r="N39" i="5" s="1"/>
  <c r="G12" i="10"/>
  <c r="G13" i="10"/>
  <c r="G15" i="10" l="1"/>
  <c r="G33" i="10"/>
  <c r="G19" i="10"/>
  <c r="H12" i="10"/>
  <c r="H13" i="10"/>
  <c r="H15" i="10" s="1"/>
  <c r="H17" i="10" s="1"/>
  <c r="M23" i="5"/>
  <c r="I12" i="10" l="1"/>
  <c r="I13" i="10"/>
  <c r="I15" i="10" s="1"/>
  <c r="I17" i="10" s="1"/>
  <c r="J15" i="10"/>
  <c r="H33" i="10"/>
  <c r="H19" i="10"/>
  <c r="G17" i="10"/>
  <c r="J10" i="10"/>
  <c r="K53" i="5" l="1"/>
  <c r="N53" i="5" s="1"/>
  <c r="J17" i="10"/>
  <c r="H37" i="10" s="1"/>
  <c r="I19" i="10"/>
  <c r="J19" i="10" s="1"/>
  <c r="L19" i="10" s="1"/>
  <c r="I33" i="10"/>
  <c r="J33" i="10" s="1"/>
  <c r="J12" i="10"/>
  <c r="L15" i="10" s="1"/>
  <c r="J13" i="10"/>
  <c r="J12" i="5"/>
  <c r="G37" i="10" l="1"/>
  <c r="I37" i="10"/>
  <c r="J28" i="5"/>
  <c r="J26" i="5"/>
  <c r="J25" i="5"/>
  <c r="J24" i="5"/>
  <c r="J15" i="5"/>
  <c r="J14" i="5"/>
  <c r="J13" i="5"/>
  <c r="J11" i="5"/>
  <c r="K12" i="5"/>
  <c r="N12" i="5" s="1"/>
  <c r="G31" i="10" l="1"/>
  <c r="H31" i="10"/>
  <c r="I31" i="10"/>
  <c r="J37" i="10"/>
  <c r="K11" i="5"/>
  <c r="N11" i="5" s="1"/>
  <c r="K45" i="5"/>
  <c r="N45" i="5" s="1"/>
  <c r="K41" i="5"/>
  <c r="N41" i="5" s="1"/>
  <c r="K44" i="5"/>
  <c r="N44" i="5" s="1"/>
  <c r="K43" i="5"/>
  <c r="N43" i="5" s="1"/>
  <c r="K13" i="5"/>
  <c r="N13" i="5" s="1"/>
  <c r="K15" i="5"/>
  <c r="N15" i="5" s="1"/>
  <c r="K9" i="5"/>
  <c r="N9" i="5" s="1"/>
  <c r="K14" i="5"/>
  <c r="N14" i="5" s="1"/>
  <c r="K10" i="5"/>
  <c r="N10" i="5" s="1"/>
  <c r="J31" i="10" l="1"/>
  <c r="N46" i="5"/>
  <c r="N16" i="5"/>
  <c r="J20" i="10" l="1"/>
  <c r="K58" i="5" l="1"/>
  <c r="N58" i="5" s="1"/>
  <c r="K54" i="5"/>
  <c r="N54" i="5" s="1"/>
  <c r="K57" i="5"/>
  <c r="N57" i="5" s="1"/>
  <c r="K55" i="5"/>
  <c r="N55" i="5" s="1"/>
  <c r="K56" i="5"/>
  <c r="N56" i="5" s="1"/>
  <c r="N59" i="5" l="1"/>
  <c r="D20" i="2" l="1"/>
  <c r="D21" i="2"/>
  <c r="D22" i="2"/>
  <c r="D23" i="2" l="1"/>
  <c r="G23" i="2" l="1"/>
  <c r="G24" i="2" s="1"/>
  <c r="H27" i="9" l="1"/>
  <c r="H38" i="9" s="1"/>
  <c r="H42" i="9" s="1"/>
  <c r="H46" i="9" s="1"/>
  <c r="K27" i="5" l="1"/>
  <c r="N27" i="5" s="1"/>
  <c r="K24" i="5"/>
  <c r="N24" i="5" s="1"/>
  <c r="K28" i="5"/>
  <c r="N28" i="5" s="1"/>
  <c r="K25" i="5"/>
  <c r="N25" i="5" s="1"/>
  <c r="K26" i="5"/>
  <c r="N26" i="5" s="1"/>
  <c r="K23" i="5"/>
  <c r="N23" i="5" s="1"/>
  <c r="N29" i="5" l="1"/>
  <c r="I23" i="10" l="1"/>
  <c r="H23" i="10"/>
  <c r="I27" i="10" l="1"/>
  <c r="I29" i="10"/>
  <c r="H27" i="10"/>
  <c r="H29" i="10"/>
  <c r="J21" i="10"/>
  <c r="G23" i="10"/>
  <c r="G27" i="10" l="1"/>
  <c r="J23" i="10"/>
  <c r="G29" i="10"/>
  <c r="J29" i="10" s="1"/>
  <c r="H39" i="10"/>
  <c r="H43" i="10" s="1"/>
  <c r="H47" i="10" s="1"/>
  <c r="I39" i="10"/>
  <c r="I43" i="10" s="1"/>
  <c r="I47" i="10" s="1"/>
  <c r="G39" i="10" l="1"/>
  <c r="J27" i="10"/>
  <c r="J39" i="10" l="1"/>
  <c r="J43" i="10" s="1"/>
  <c r="J47" i="10" s="1"/>
  <c r="G43" i="10"/>
  <c r="G47" i="10" s="1"/>
</calcChain>
</file>

<file path=xl/sharedStrings.xml><?xml version="1.0" encoding="utf-8"?>
<sst xmlns="http://schemas.openxmlformats.org/spreadsheetml/2006/main" count="338" uniqueCount="110">
  <si>
    <t>Accumulated Depreciation</t>
  </si>
  <si>
    <t>Net Plant</t>
  </si>
  <si>
    <t>Accumulated Deferred Income Taxes</t>
  </si>
  <si>
    <t>Net Cost Rate Base</t>
  </si>
  <si>
    <t>Depreciation Expenses</t>
  </si>
  <si>
    <t>Income Taxes</t>
  </si>
  <si>
    <t>Revenue Requirement</t>
  </si>
  <si>
    <t>Return</t>
  </si>
  <si>
    <t>Common Equity</t>
  </si>
  <si>
    <t>Capital</t>
  </si>
  <si>
    <t>Rate</t>
  </si>
  <si>
    <t>Percent</t>
  </si>
  <si>
    <t>Component of Capital</t>
  </si>
  <si>
    <t>Cost of</t>
  </si>
  <si>
    <t>Weighted</t>
  </si>
  <si>
    <t>Louisville Gas &amp; Electric Company</t>
  </si>
  <si>
    <t>Kentucky Utilities Company</t>
  </si>
  <si>
    <t>Weighted Cost of Capital</t>
  </si>
  <si>
    <t>Kentucky Utilities Company and Louisvillle Gas &amp; Electric Company</t>
  </si>
  <si>
    <t>Rate of Return</t>
  </si>
  <si>
    <t>Property Taxes</t>
  </si>
  <si>
    <t>Total</t>
  </si>
  <si>
    <t>Plant</t>
  </si>
  <si>
    <r>
      <rPr>
        <sz val="11"/>
        <rFont val="Calibri"/>
        <family val="2"/>
        <scheme val="minor"/>
      </rPr>
      <t>Based on 12 Months Ended June 30, 2018</t>
    </r>
    <r>
      <rPr>
        <sz val="11"/>
        <color rgb="FFFF0000"/>
        <rFont val="Calibri"/>
        <family val="2"/>
        <scheme val="minor"/>
      </rPr>
      <t xml:space="preserve"> </t>
    </r>
  </si>
  <si>
    <t>Short-Tern Debt</t>
  </si>
  <si>
    <t>Long-Term Debt</t>
  </si>
  <si>
    <t xml:space="preserve">35' </t>
  </si>
  <si>
    <t xml:space="preserve">40' </t>
  </si>
  <si>
    <t xml:space="preserve">45' </t>
  </si>
  <si>
    <t>Pole Description</t>
  </si>
  <si>
    <t>Gross Plant as of June 30, 2016</t>
  </si>
  <si>
    <t>Remove Appurtenances</t>
  </si>
  <si>
    <t>Average Installed Cost</t>
  </si>
  <si>
    <t>Gross Plant</t>
  </si>
  <si>
    <t>Quantity</t>
  </si>
  <si>
    <t>Depreciation Expense</t>
  </si>
  <si>
    <t>Maintenance of Poles</t>
  </si>
  <si>
    <t>Tree Trimming of Poles</t>
  </si>
  <si>
    <t>Forecasted Accumulated Depreciation</t>
  </si>
  <si>
    <t>Forecasted Accumulated Deferred Income Taxes</t>
  </si>
  <si>
    <t>Forecasted Net Cost Rate Base</t>
  </si>
  <si>
    <t>Forecasted Maintenance (593001)</t>
  </si>
  <si>
    <t>Forecasted Tree Trimming (593004)</t>
  </si>
  <si>
    <t>Forecasted Maintenance (593)</t>
  </si>
  <si>
    <t>Forecasted Depreciation Expense (364)</t>
  </si>
  <si>
    <t>Forecasted Property Taxes (364)</t>
  </si>
  <si>
    <t>Cash Working Capital</t>
  </si>
  <si>
    <t>Common Plant</t>
  </si>
  <si>
    <t>LOUISVILLE GAS AND ELECTRIC COMPANY</t>
  </si>
  <si>
    <t>Allocation of Other Common Expenses and Plant</t>
  </si>
  <si>
    <t>Allocator</t>
  </si>
  <si>
    <t>Applicable</t>
  </si>
  <si>
    <t>Allocated</t>
  </si>
  <si>
    <t>Expense Adjustments</t>
  </si>
  <si>
    <t>Pole Cost</t>
  </si>
  <si>
    <t>Allocation</t>
  </si>
  <si>
    <t>Expense</t>
  </si>
  <si>
    <t>to Poles</t>
  </si>
  <si>
    <t>Distribution Operations Supervision &amp; Engineering</t>
  </si>
  <si>
    <t>Labor</t>
  </si>
  <si>
    <t>Miscellaneous Distribution Expenses</t>
  </si>
  <si>
    <t>Distribution Rents</t>
  </si>
  <si>
    <t>Distribution Maintenance Supervision &amp; Engineering</t>
  </si>
  <si>
    <t>Miscellaneous Distribution Maintenance Expenses</t>
  </si>
  <si>
    <t>Customer Records</t>
  </si>
  <si>
    <t>Miscellaneous Customer Expenses</t>
  </si>
  <si>
    <t>Allocated to</t>
  </si>
  <si>
    <t>Balance</t>
  </si>
  <si>
    <t>Poles</t>
  </si>
  <si>
    <t>Plant Adjustments</t>
  </si>
  <si>
    <t>General Plant</t>
  </si>
  <si>
    <t>Plant Held for Future Use</t>
  </si>
  <si>
    <t>Materials and Supplies</t>
  </si>
  <si>
    <t>Prepayments</t>
  </si>
  <si>
    <t>Distribution Construction Work in Progress</t>
  </si>
  <si>
    <t>Dist Plant</t>
  </si>
  <si>
    <t>General Plant Distribution Work in Progress</t>
  </si>
  <si>
    <t>593001 (Labor)</t>
  </si>
  <si>
    <t>593001 (Non-Labor)</t>
  </si>
  <si>
    <t>593004 (Labor)</t>
  </si>
  <si>
    <t>593004 (Non-Labor)</t>
  </si>
  <si>
    <t>Gross Plant less Appurtenances</t>
  </si>
  <si>
    <t>Accumulated Depreciation less Appurtenances</t>
  </si>
  <si>
    <t>Forecasted Labor (593001)</t>
  </si>
  <si>
    <t>Forecasted Tree Trimming Labor (593004)</t>
  </si>
  <si>
    <t>Space Usage Factor</t>
  </si>
  <si>
    <t>Pole Attachment Rate</t>
  </si>
  <si>
    <t>A&amp;G Expense Allocation to Poles</t>
  </si>
  <si>
    <t>Forecasted Total Labor</t>
  </si>
  <si>
    <t>Forecasted Total A&amp;G Expense</t>
  </si>
  <si>
    <t>Forecasted Acct 364 as of June 30, 2018 (Incl CWIP &amp; RWIP)</t>
  </si>
  <si>
    <t>KENTUCKY UTILITIES COMPANY</t>
  </si>
  <si>
    <t>Calculation Of Attachment Charges for Underground Conduit</t>
  </si>
  <si>
    <t>Underground Conduit Attachment Rate</t>
  </si>
  <si>
    <t>Forecasted Acct 366 as of June 30, 2018 (Incl CWIP &amp; RWIP)</t>
  </si>
  <si>
    <t>Forecasted Property Taxes (366)</t>
  </si>
  <si>
    <t>Forecasted Maintenance (594)</t>
  </si>
  <si>
    <t>Forecasted Depreciation Expense (366)</t>
  </si>
  <si>
    <t>Pole Attachment Charge</t>
  </si>
  <si>
    <t>Underground Conduit Attachment Charge</t>
  </si>
  <si>
    <t>Forecasted Maintenance Labor (594)</t>
  </si>
  <si>
    <t>Conduit Cost</t>
  </si>
  <si>
    <t>A&amp;G Expense Allocation to UG Lines</t>
  </si>
  <si>
    <t>Maintenance of UG Lines</t>
  </si>
  <si>
    <t>Total Company Average</t>
  </si>
  <si>
    <t>Income Tax Rates</t>
  </si>
  <si>
    <t>LG&amp;E</t>
  </si>
  <si>
    <t>KU</t>
  </si>
  <si>
    <t>Weighted Total</t>
  </si>
  <si>
    <t>Cost Support for Attachment Charges for Wireline Pole Attachments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</si>
</sst>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"/>
    <numFmt numFmtId="167" formatCode="_(&quot;$&quot;* #,##0.0_);_(&quot;$&quot;* \(#,##0.0\);_(&quot;$&quot;* &quot;-&quot;??_);_(@_)"/>
    <numFmt numFmtId="168" formatCode="0.00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rgb="FF000000"/>
      <name val="Times New Roman"/>
      <family val="1"/>
    </font>
    <font>
      <i/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4" fillId="0" borderId="0"/>
    <xf numFmtId="43" fontId="4" fillId="0" borderId="0" applyFont="0" applyFill="0" applyBorder="0" applyAlignment="0" applyProtection="0"/>
  </cellStyleXfs>
  <cellXfs count="101">
    <xf numFmtId="0" fontId="0" fillId="0" borderId="0" xfId="0"/>
    <xf numFmtId="164" fontId="0" fillId="0" borderId="0" xfId="2" applyNumberFormat="1" applyFont="1"/>
    <xf numFmtId="164" fontId="0" fillId="0" borderId="0" xfId="0" applyNumberFormat="1"/>
    <xf numFmtId="165" fontId="0" fillId="0" borderId="0" xfId="1" applyNumberFormat="1" applyFont="1"/>
    <xf numFmtId="0" fontId="3" fillId="0" borderId="0" xfId="0" applyFont="1" applyAlignment="1">
      <alignment horizontal="right"/>
    </xf>
    <xf numFmtId="10" fontId="0" fillId="0" borderId="0" xfId="0" applyNumberFormat="1"/>
    <xf numFmtId="10" fontId="0" fillId="0" borderId="1" xfId="3" applyNumberFormat="1" applyFont="1" applyBorder="1"/>
    <xf numFmtId="10" fontId="0" fillId="0" borderId="0" xfId="3" applyNumberFormat="1" applyFont="1"/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center"/>
    </xf>
    <xf numFmtId="165" fontId="0" fillId="0" borderId="0" xfId="0" applyNumberFormat="1"/>
    <xf numFmtId="0" fontId="3" fillId="0" borderId="1" xfId="0" applyFont="1" applyBorder="1"/>
    <xf numFmtId="0" fontId="0" fillId="0" borderId="1" xfId="0" applyBorder="1"/>
    <xf numFmtId="0" fontId="3" fillId="0" borderId="1" xfId="0" applyFont="1" applyBorder="1" applyAlignment="1">
      <alignment horizontal="right"/>
    </xf>
    <xf numFmtId="0" fontId="2" fillId="0" borderId="0" xfId="0" applyFont="1"/>
    <xf numFmtId="167" fontId="0" fillId="0" borderId="0" xfId="0" applyNumberFormat="1"/>
    <xf numFmtId="44" fontId="0" fillId="0" borderId="0" xfId="0" applyNumberFormat="1"/>
    <xf numFmtId="9" fontId="0" fillId="0" borderId="0" xfId="7" applyFont="1"/>
    <xf numFmtId="0" fontId="0" fillId="0" borderId="0" xfId="0" applyBorder="1"/>
    <xf numFmtId="0" fontId="3" fillId="0" borderId="0" xfId="0" applyFont="1" applyBorder="1" applyAlignment="1">
      <alignment horizontal="right"/>
    </xf>
    <xf numFmtId="10" fontId="0" fillId="0" borderId="0" xfId="7" applyNumberFormat="1" applyFont="1"/>
    <xf numFmtId="164" fontId="0" fillId="0" borderId="0" xfId="0" applyNumberFormat="1" applyFont="1" applyBorder="1" applyAlignment="1">
      <alignment horizontal="right"/>
    </xf>
    <xf numFmtId="164" fontId="1" fillId="0" borderId="0" xfId="2" applyNumberFormat="1" applyFont="1" applyBorder="1" applyAlignment="1">
      <alignment horizontal="right"/>
    </xf>
    <xf numFmtId="9" fontId="0" fillId="0" borderId="0" xfId="7" applyNumberFormat="1" applyFont="1"/>
    <xf numFmtId="165" fontId="1" fillId="0" borderId="0" xfId="1" applyNumberFormat="1" applyFont="1" applyBorder="1" applyAlignment="1">
      <alignment horizontal="right"/>
    </xf>
    <xf numFmtId="0" fontId="0" fillId="0" borderId="0" xfId="0" applyNumberFormat="1"/>
    <xf numFmtId="164" fontId="0" fillId="0" borderId="0" xfId="2" applyNumberFormat="1" applyFont="1" applyFill="1"/>
    <xf numFmtId="165" fontId="0" fillId="0" borderId="0" xfId="1" applyNumberFormat="1" applyFont="1" applyFill="1"/>
    <xf numFmtId="0" fontId="0" fillId="0" borderId="0" xfId="0" applyFill="1"/>
    <xf numFmtId="165" fontId="0" fillId="0" borderId="0" xfId="1" applyNumberFormat="1" applyFont="1" applyBorder="1"/>
    <xf numFmtId="44" fontId="0" fillId="0" borderId="0" xfId="2" applyFont="1" applyBorder="1"/>
    <xf numFmtId="0" fontId="2" fillId="0" borderId="0" xfId="0" applyFont="1" applyBorder="1"/>
    <xf numFmtId="166" fontId="0" fillId="0" borderId="0" xfId="0" applyNumberFormat="1" applyBorder="1"/>
    <xf numFmtId="44" fontId="3" fillId="0" borderId="0" xfId="2" applyFont="1" applyBorder="1"/>
    <xf numFmtId="0" fontId="4" fillId="0" borderId="0" xfId="9"/>
    <xf numFmtId="0" fontId="5" fillId="0" borderId="0" xfId="9" applyFont="1"/>
    <xf numFmtId="0" fontId="3" fillId="0" borderId="0" xfId="9" applyFont="1" applyAlignment="1">
      <alignment horizontal="right"/>
    </xf>
    <xf numFmtId="0" fontId="4" fillId="0" borderId="0" xfId="9" applyAlignment="1">
      <alignment horizontal="left"/>
    </xf>
    <xf numFmtId="6" fontId="0" fillId="0" borderId="0" xfId="10" applyNumberFormat="1" applyFont="1"/>
    <xf numFmtId="6" fontId="4" fillId="0" borderId="0" xfId="9" applyNumberFormat="1"/>
    <xf numFmtId="165" fontId="0" fillId="0" borderId="0" xfId="10" applyNumberFormat="1" applyFont="1"/>
    <xf numFmtId="165" fontId="4" fillId="0" borderId="0" xfId="9" applyNumberFormat="1"/>
    <xf numFmtId="6" fontId="4" fillId="0" borderId="5" xfId="9" applyNumberFormat="1" applyBorder="1"/>
    <xf numFmtId="0" fontId="0" fillId="0" borderId="0" xfId="0" applyAlignment="1">
      <alignment horizontal="left"/>
    </xf>
    <xf numFmtId="165" fontId="0" fillId="0" borderId="0" xfId="10" applyNumberFormat="1" applyFont="1" applyFill="1"/>
    <xf numFmtId="164" fontId="0" fillId="0" borderId="0" xfId="7" applyNumberFormat="1" applyFont="1"/>
    <xf numFmtId="164" fontId="1" fillId="0" borderId="0" xfId="2" applyNumberFormat="1" applyFont="1" applyAlignment="1">
      <alignment horizontal="right"/>
    </xf>
    <xf numFmtId="0" fontId="4" fillId="0" borderId="0" xfId="9" applyFill="1"/>
    <xf numFmtId="6" fontId="4" fillId="0" borderId="0" xfId="10" applyNumberFormat="1" applyFont="1" applyFill="1"/>
    <xf numFmtId="38" fontId="4" fillId="0" borderId="0" xfId="9" applyNumberFormat="1" applyFill="1"/>
    <xf numFmtId="165" fontId="4" fillId="0" borderId="0" xfId="9" applyNumberFormat="1" applyFill="1"/>
    <xf numFmtId="165" fontId="4" fillId="0" borderId="0" xfId="10" applyNumberFormat="1" applyFont="1" applyFill="1"/>
    <xf numFmtId="165" fontId="8" fillId="0" borderId="0" xfId="10" applyNumberFormat="1" applyFont="1" applyFill="1"/>
    <xf numFmtId="6" fontId="0" fillId="0" borderId="0" xfId="0" applyNumberFormat="1"/>
    <xf numFmtId="6" fontId="0" fillId="0" borderId="5" xfId="0" applyNumberFormat="1" applyBorder="1"/>
    <xf numFmtId="6" fontId="0" fillId="0" borderId="0" xfId="10" applyNumberFormat="1" applyFont="1" applyFill="1"/>
    <xf numFmtId="164" fontId="0" fillId="0" borderId="0" xfId="2" applyNumberFormat="1" applyFont="1" applyBorder="1"/>
    <xf numFmtId="10" fontId="0" fillId="0" borderId="0" xfId="3" applyNumberFormat="1" applyFont="1" applyFill="1"/>
    <xf numFmtId="10" fontId="0" fillId="0" borderId="1" xfId="3" applyNumberFormat="1" applyFont="1" applyFill="1" applyBorder="1"/>
    <xf numFmtId="10" fontId="0" fillId="0" borderId="0" xfId="0" applyNumberFormat="1" applyFill="1"/>
    <xf numFmtId="10" fontId="0" fillId="0" borderId="0" xfId="7" applyNumberFormat="1" applyFont="1" applyFill="1"/>
    <xf numFmtId="6" fontId="8" fillId="0" borderId="0" xfId="10" applyNumberFormat="1" applyFont="1" applyFill="1"/>
    <xf numFmtId="168" fontId="4" fillId="0" borderId="0" xfId="9" applyNumberFormat="1"/>
    <xf numFmtId="165" fontId="0" fillId="0" borderId="0" xfId="0" applyNumberFormat="1" applyFill="1"/>
    <xf numFmtId="44" fontId="0" fillId="0" borderId="0" xfId="0" applyNumberFormat="1" applyBorder="1"/>
    <xf numFmtId="44" fontId="3" fillId="0" borderId="6" xfId="2" applyFont="1" applyBorder="1"/>
    <xf numFmtId="9" fontId="8" fillId="0" borderId="0" xfId="7" applyFont="1"/>
    <xf numFmtId="165" fontId="8" fillId="0" borderId="0" xfId="1" applyNumberFormat="1" applyFont="1" applyFill="1"/>
    <xf numFmtId="9" fontId="0" fillId="0" borderId="0" xfId="7" applyFont="1" applyFill="1"/>
    <xf numFmtId="43" fontId="0" fillId="0" borderId="0" xfId="0" applyNumberFormat="1"/>
    <xf numFmtId="10" fontId="0" fillId="0" borderId="1" xfId="7" applyNumberFormat="1" applyFont="1" applyBorder="1"/>
    <xf numFmtId="2" fontId="0" fillId="0" borderId="0" xfId="1" applyNumberFormat="1" applyFont="1" applyAlignment="1">
      <alignment horizontal="right"/>
    </xf>
    <xf numFmtId="0" fontId="7" fillId="0" borderId="0" xfId="0" applyFont="1" applyAlignment="1"/>
    <xf numFmtId="0" fontId="11" fillId="0" borderId="0" xfId="9" applyFont="1"/>
    <xf numFmtId="0" fontId="12" fillId="0" borderId="0" xfId="9" applyFont="1" applyAlignment="1">
      <alignment horizontal="right"/>
    </xf>
    <xf numFmtId="0" fontId="11" fillId="0" borderId="0" xfId="9" applyFont="1" applyAlignment="1">
      <alignment horizontal="left"/>
    </xf>
    <xf numFmtId="165" fontId="13" fillId="0" borderId="0" xfId="10" applyNumberFormat="1" applyFont="1" applyFill="1"/>
    <xf numFmtId="6" fontId="13" fillId="0" borderId="0" xfId="10" applyNumberFormat="1" applyFont="1"/>
    <xf numFmtId="168" fontId="11" fillId="0" borderId="0" xfId="9" applyNumberFormat="1" applyFont="1"/>
    <xf numFmtId="6" fontId="11" fillId="0" borderId="0" xfId="10" applyNumberFormat="1" applyFont="1" applyFill="1"/>
    <xf numFmtId="6" fontId="11" fillId="0" borderId="0" xfId="9" applyNumberFormat="1" applyFont="1"/>
    <xf numFmtId="165" fontId="13" fillId="0" borderId="0" xfId="10" applyNumberFormat="1" applyFont="1"/>
    <xf numFmtId="165" fontId="11" fillId="0" borderId="0" xfId="10" applyNumberFormat="1" applyFont="1" applyFill="1"/>
    <xf numFmtId="165" fontId="11" fillId="0" borderId="0" xfId="9" applyNumberFormat="1" applyFont="1"/>
    <xf numFmtId="165" fontId="14" fillId="0" borderId="0" xfId="10" applyNumberFormat="1" applyFont="1" applyFill="1"/>
    <xf numFmtId="0" fontId="5" fillId="0" borderId="0" xfId="0" applyFont="1" applyAlignment="1">
      <alignment horizontal="center"/>
    </xf>
    <xf numFmtId="0" fontId="5" fillId="0" borderId="0" xfId="9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9" applyFont="1" applyBorder="1" applyAlignment="1">
      <alignment horizontal="center"/>
    </xf>
    <xf numFmtId="0" fontId="3" fillId="0" borderId="3" xfId="9" applyFont="1" applyBorder="1" applyAlignment="1">
      <alignment horizontal="center"/>
    </xf>
    <xf numFmtId="0" fontId="3" fillId="0" borderId="2" xfId="9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11">
    <cellStyle name="Comma" xfId="1" builtinId="3"/>
    <cellStyle name="Comma 2" xfId="6"/>
    <cellStyle name="Comma 3" xfId="10"/>
    <cellStyle name="Currency" xfId="2" builtinId="4"/>
    <cellStyle name="Currency 2" xfId="5"/>
    <cellStyle name="Normal" xfId="0" builtinId="0"/>
    <cellStyle name="Normal 2" xfId="4"/>
    <cellStyle name="Normal 3" xfId="9"/>
    <cellStyle name="Normal 48" xfId="8"/>
    <cellStyle name="Percent" xfId="7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3"/>
  <sheetViews>
    <sheetView tabSelected="1" zoomScaleNormal="100" workbookViewId="0"/>
  </sheetViews>
  <sheetFormatPr defaultRowHeight="15" x14ac:dyDescent="0.25"/>
  <cols>
    <col min="5" max="5" width="8" bestFit="1" customWidth="1"/>
    <col min="6" max="6" width="3.42578125" customWidth="1"/>
    <col min="7" max="9" width="15.28515625" customWidth="1"/>
    <col min="10" max="10" width="15.140625" bestFit="1" customWidth="1"/>
    <col min="11" max="11" width="1.7109375" customWidth="1"/>
    <col min="12" max="12" width="6.140625" customWidth="1"/>
    <col min="13" max="13" width="18.28515625" customWidth="1"/>
    <col min="14" max="16" width="10.85546875" customWidth="1"/>
    <col min="17" max="17" width="15.28515625" bestFit="1" customWidth="1"/>
    <col min="18" max="18" width="7.7109375" bestFit="1" customWidth="1"/>
    <col min="19" max="19" width="12.5703125" bestFit="1" customWidth="1"/>
    <col min="20" max="21" width="13.7109375" bestFit="1" customWidth="1"/>
  </cols>
  <sheetData>
    <row r="1" spans="1:21" ht="15.75" x14ac:dyDescent="0.25">
      <c r="A1" s="75" t="s">
        <v>18</v>
      </c>
    </row>
    <row r="2" spans="1:21" x14ac:dyDescent="0.25">
      <c r="A2" t="s">
        <v>109</v>
      </c>
    </row>
    <row r="3" spans="1:21" x14ac:dyDescent="0.25">
      <c r="A3" s="17" t="s">
        <v>23</v>
      </c>
    </row>
    <row r="7" spans="1:21" x14ac:dyDescent="0.25">
      <c r="E7" s="4"/>
      <c r="G7" s="4"/>
      <c r="H7" s="4"/>
      <c r="I7" s="4"/>
      <c r="Q7" s="4"/>
      <c r="S7" s="4"/>
      <c r="T7" s="4"/>
      <c r="U7" s="4"/>
    </row>
    <row r="8" spans="1:21" ht="15.75" thickBot="1" x14ac:dyDescent="0.3">
      <c r="A8" s="14" t="s">
        <v>29</v>
      </c>
      <c r="B8" s="15"/>
      <c r="C8" s="15"/>
      <c r="D8" s="15"/>
      <c r="E8" s="16"/>
      <c r="F8" s="15"/>
      <c r="G8" s="16" t="s">
        <v>26</v>
      </c>
      <c r="H8" s="16" t="s">
        <v>27</v>
      </c>
      <c r="I8" s="16" t="s">
        <v>28</v>
      </c>
      <c r="J8" s="16" t="s">
        <v>21</v>
      </c>
      <c r="K8" s="22"/>
      <c r="M8" s="14" t="s">
        <v>29</v>
      </c>
      <c r="N8" s="15"/>
      <c r="O8" s="15"/>
      <c r="P8" s="15"/>
      <c r="Q8" s="16" t="s">
        <v>21</v>
      </c>
      <c r="R8" s="15"/>
      <c r="S8" s="16" t="s">
        <v>26</v>
      </c>
      <c r="T8" s="16" t="s">
        <v>27</v>
      </c>
      <c r="U8" s="16" t="s">
        <v>28</v>
      </c>
    </row>
    <row r="9" spans="1:21" x14ac:dyDescent="0.25">
      <c r="B9" s="21"/>
      <c r="C9" s="21"/>
      <c r="D9" s="21"/>
      <c r="E9" s="22"/>
      <c r="F9" s="21"/>
      <c r="G9" s="22"/>
      <c r="H9" s="22"/>
      <c r="I9" s="22"/>
      <c r="M9" t="s">
        <v>34</v>
      </c>
      <c r="S9" s="30">
        <v>103454</v>
      </c>
      <c r="T9" s="30">
        <v>192111</v>
      </c>
      <c r="U9" s="30">
        <v>89471</v>
      </c>
    </row>
    <row r="10" spans="1:21" x14ac:dyDescent="0.25">
      <c r="A10" t="s">
        <v>33</v>
      </c>
      <c r="B10" s="21"/>
      <c r="C10" s="21"/>
      <c r="D10" s="21"/>
      <c r="E10" s="22"/>
      <c r="F10" s="21"/>
      <c r="G10" s="24">
        <v>36350277.550000027</v>
      </c>
      <c r="H10" s="24">
        <v>128380718.63999994</v>
      </c>
      <c r="I10" s="24">
        <v>112705294.68999997</v>
      </c>
      <c r="J10" s="2">
        <f>SUM(G10:I10)</f>
        <v>277436290.87999994</v>
      </c>
      <c r="K10" s="2"/>
      <c r="M10" t="s">
        <v>30</v>
      </c>
      <c r="Q10" s="29">
        <v>495366676.25</v>
      </c>
      <c r="R10" s="31"/>
      <c r="S10" s="29">
        <v>36350277.550000027</v>
      </c>
      <c r="T10" s="29">
        <v>128380718.63999994</v>
      </c>
      <c r="U10" s="29">
        <v>112705294.68999997</v>
      </c>
    </row>
    <row r="11" spans="1:21" x14ac:dyDescent="0.25">
      <c r="A11" t="s">
        <v>31</v>
      </c>
      <c r="G11" s="20">
        <v>0.15</v>
      </c>
      <c r="H11" s="20">
        <v>0.15</v>
      </c>
      <c r="I11" s="20">
        <v>0.15</v>
      </c>
      <c r="S11" s="23">
        <f>S10/$Q$10</f>
        <v>7.3380546760183948E-2</v>
      </c>
      <c r="T11" s="23">
        <f>T10/$Q$10</f>
        <v>0.25916300953439425</v>
      </c>
      <c r="U11" s="23">
        <f>U10/$Q$10</f>
        <v>0.22751892707679883</v>
      </c>
    </row>
    <row r="12" spans="1:21" x14ac:dyDescent="0.25">
      <c r="A12" t="s">
        <v>81</v>
      </c>
      <c r="G12" s="2">
        <f>G10*(1-G11)</f>
        <v>30897735.917500023</v>
      </c>
      <c r="H12" s="2">
        <f>H10*(1-H11)</f>
        <v>109123610.84399995</v>
      </c>
      <c r="I12" s="2">
        <f>I10*(1-I11)</f>
        <v>95799500.486499965</v>
      </c>
      <c r="J12" s="2">
        <f>SUM(G12:I12)</f>
        <v>235820847.24799994</v>
      </c>
      <c r="K12" s="18"/>
      <c r="M12" t="s">
        <v>0</v>
      </c>
      <c r="Q12" s="29">
        <v>222397257.81999999</v>
      </c>
      <c r="R12" s="23">
        <f>Q12/Q10</f>
        <v>0.44895482171626999</v>
      </c>
    </row>
    <row r="13" spans="1:21" x14ac:dyDescent="0.25">
      <c r="A13" t="s">
        <v>0</v>
      </c>
      <c r="B13" s="21"/>
      <c r="C13" s="21"/>
      <c r="D13" s="21"/>
      <c r="E13" s="22"/>
      <c r="F13" s="21"/>
      <c r="G13" s="27">
        <f>G10*$R$26</f>
        <v>-14287553.30529128</v>
      </c>
      <c r="H13" s="27">
        <f>H10*$R$26</f>
        <v>-50460312.398373961</v>
      </c>
      <c r="I13" s="27">
        <f>I10*$R$26</f>
        <v>-44299053.933136627</v>
      </c>
      <c r="J13" s="13">
        <f>SUM(G13:I13)</f>
        <v>-109046919.63680187</v>
      </c>
      <c r="K13" s="13"/>
    </row>
    <row r="14" spans="1:21" x14ac:dyDescent="0.25">
      <c r="A14" t="s">
        <v>31</v>
      </c>
      <c r="B14" s="21"/>
      <c r="C14" s="21"/>
      <c r="D14" s="21"/>
      <c r="E14" s="22"/>
      <c r="F14" s="21"/>
      <c r="G14" s="20">
        <v>0.15</v>
      </c>
      <c r="H14" s="20">
        <v>0.15</v>
      </c>
      <c r="I14" s="20">
        <v>0.15</v>
      </c>
      <c r="M14" t="s">
        <v>2</v>
      </c>
      <c r="Q14" s="1">
        <v>73604843.3772396</v>
      </c>
    </row>
    <row r="15" spans="1:21" x14ac:dyDescent="0.25">
      <c r="A15" t="s">
        <v>82</v>
      </c>
      <c r="G15" s="1">
        <f>G13*(1-G14)</f>
        <v>-12144420.309497587</v>
      </c>
      <c r="H15" s="1">
        <f t="shared" ref="H15:I15" si="0">H13*(1-H14)</f>
        <v>-42891265.538617864</v>
      </c>
      <c r="I15" s="1">
        <f t="shared" si="0"/>
        <v>-37654195.843166135</v>
      </c>
      <c r="J15" s="2">
        <f>SUM(G15:I15)</f>
        <v>-92689881.691281587</v>
      </c>
      <c r="K15" s="2"/>
      <c r="L15" s="20">
        <f>-J15/J12</f>
        <v>0.39305211041755223</v>
      </c>
    </row>
    <row r="16" spans="1:21" x14ac:dyDescent="0.25">
      <c r="J16" s="3"/>
      <c r="K16" s="3"/>
      <c r="L16" s="17"/>
      <c r="M16" t="s">
        <v>3</v>
      </c>
      <c r="Q16" s="2">
        <f>Q10-Q12-Q14</f>
        <v>199364575.05276042</v>
      </c>
    </row>
    <row r="17" spans="1:18" x14ac:dyDescent="0.25">
      <c r="A17" t="s">
        <v>1</v>
      </c>
      <c r="B17" s="21"/>
      <c r="C17" s="21"/>
      <c r="D17" s="21"/>
      <c r="E17" s="22"/>
      <c r="F17" s="21"/>
      <c r="G17" s="25">
        <f>G12+G15</f>
        <v>18753315.608002435</v>
      </c>
      <c r="H17" s="25">
        <f>H12+H15</f>
        <v>66232345.305382088</v>
      </c>
      <c r="I17" s="25">
        <f>I12+I15</f>
        <v>58145304.64333383</v>
      </c>
      <c r="J17" s="2">
        <f>SUM(G17:I17)</f>
        <v>143130965.55671835</v>
      </c>
      <c r="K17" s="2"/>
      <c r="L17" s="17"/>
    </row>
    <row r="18" spans="1:18" x14ac:dyDescent="0.25">
      <c r="J18" s="20"/>
      <c r="K18" s="20"/>
      <c r="L18" s="17"/>
      <c r="M18" s="46" t="s">
        <v>77</v>
      </c>
      <c r="Q18" s="29">
        <v>393884.80999999994</v>
      </c>
      <c r="R18" s="20">
        <f>Q18/($Q$18+$Q$19)</f>
        <v>0.33900519182503802</v>
      </c>
    </row>
    <row r="19" spans="1:18" x14ac:dyDescent="0.25">
      <c r="A19" t="s">
        <v>2</v>
      </c>
      <c r="G19" s="2">
        <f>G12*$R$27</f>
        <v>-4870027.5195127539</v>
      </c>
      <c r="H19" s="2">
        <f>H12*$R$27</f>
        <v>-17199803.547349345</v>
      </c>
      <c r="I19" s="2">
        <f>I12*$R$27</f>
        <v>-15099689.01833307</v>
      </c>
      <c r="J19" s="48">
        <f>SUM(G19:I19)</f>
        <v>-37169520.085195169</v>
      </c>
      <c r="K19" s="48"/>
      <c r="L19" s="20">
        <f>-J19/J12</f>
        <v>0.15761761743696057</v>
      </c>
      <c r="M19" s="46" t="s">
        <v>78</v>
      </c>
      <c r="Q19" s="29">
        <v>767999.48999999987</v>
      </c>
      <c r="R19" s="20">
        <f>Q19/($Q$18+$Q$19)</f>
        <v>0.66099480817496203</v>
      </c>
    </row>
    <row r="20" spans="1:18" x14ac:dyDescent="0.25">
      <c r="A20" t="s">
        <v>46</v>
      </c>
      <c r="G20" s="3">
        <v>284427.00471310847</v>
      </c>
      <c r="H20" s="3">
        <v>1004529.9713451976</v>
      </c>
      <c r="I20" s="3">
        <v>881875.78045012406</v>
      </c>
      <c r="J20" s="3">
        <f>SUM(G20:I20)</f>
        <v>2170832.7565084305</v>
      </c>
      <c r="K20" s="3"/>
      <c r="L20" s="17"/>
      <c r="M20" t="s">
        <v>79</v>
      </c>
      <c r="Q20" s="29">
        <v>737612.44</v>
      </c>
      <c r="R20" s="20">
        <f>Q20/($Q$20+$Q$21)</f>
        <v>2.932128642697562E-2</v>
      </c>
    </row>
    <row r="21" spans="1:18" x14ac:dyDescent="0.25">
      <c r="A21" t="s">
        <v>47</v>
      </c>
      <c r="G21" s="3">
        <v>1053963.0588319434</v>
      </c>
      <c r="H21" s="3">
        <v>3722352.1808530828</v>
      </c>
      <c r="I21" s="3">
        <v>3267848.9723946517</v>
      </c>
      <c r="J21" s="3">
        <f>SUM(G21:I21)</f>
        <v>8044164.2120796777</v>
      </c>
      <c r="K21" s="3"/>
      <c r="L21" s="17"/>
      <c r="M21" s="46" t="s">
        <v>80</v>
      </c>
      <c r="Q21" s="29">
        <v>24418597.600000001</v>
      </c>
      <c r="R21" s="20">
        <f>Q21/($Q$20+$Q$21)</f>
        <v>0.97067871357302438</v>
      </c>
    </row>
    <row r="22" spans="1:18" x14ac:dyDescent="0.25">
      <c r="J22" s="20"/>
      <c r="K22" s="20"/>
      <c r="L22" s="17"/>
    </row>
    <row r="23" spans="1:18" x14ac:dyDescent="0.25">
      <c r="A23" t="s">
        <v>3</v>
      </c>
      <c r="G23" s="2">
        <f>G17+G19+G20+G21</f>
        <v>15221678.152034733</v>
      </c>
      <c r="H23" s="2">
        <f>H17+H19+H20+H21</f>
        <v>53759423.910231024</v>
      </c>
      <c r="I23" s="2">
        <f>I17+I19+I20+I21</f>
        <v>47195340.377845533</v>
      </c>
      <c r="J23" s="2">
        <f>SUM(G23:I23)</f>
        <v>116176442.44011128</v>
      </c>
      <c r="K23" s="2"/>
      <c r="L23" s="17"/>
      <c r="M23" t="s">
        <v>35</v>
      </c>
      <c r="Q23" s="29">
        <v>13889395.439999999</v>
      </c>
    </row>
    <row r="24" spans="1:18" x14ac:dyDescent="0.25">
      <c r="J24" s="20"/>
      <c r="K24" s="20"/>
      <c r="L24" s="17"/>
    </row>
    <row r="25" spans="1:18" x14ac:dyDescent="0.25">
      <c r="A25" t="s">
        <v>19</v>
      </c>
      <c r="G25" s="63">
        <f>WACOC!D33</f>
        <v>7.2664909900853725E-2</v>
      </c>
      <c r="H25" s="23">
        <f>$G$25</f>
        <v>7.2664909900853725E-2</v>
      </c>
      <c r="I25" s="23">
        <f>$G$25</f>
        <v>7.2664909900853725E-2</v>
      </c>
      <c r="J25" s="20"/>
      <c r="K25" s="20"/>
      <c r="L25" s="17"/>
      <c r="M25" t="s">
        <v>90</v>
      </c>
      <c r="Q25" s="29">
        <v>589143155.70692313</v>
      </c>
    </row>
    <row r="26" spans="1:18" x14ac:dyDescent="0.25">
      <c r="J26" s="20"/>
      <c r="K26" s="20"/>
      <c r="L26" s="17"/>
      <c r="M26" t="s">
        <v>38</v>
      </c>
      <c r="Q26" s="30">
        <v>-231563960.68866271</v>
      </c>
      <c r="R26" s="26">
        <f>Q26/Q25</f>
        <v>-0.39305211041755223</v>
      </c>
    </row>
    <row r="27" spans="1:18" x14ac:dyDescent="0.25">
      <c r="A27" t="s">
        <v>7</v>
      </c>
      <c r="G27" s="1">
        <f>G23*G25</f>
        <v>1106081.8714573975</v>
      </c>
      <c r="H27" s="1">
        <f>H23*H25</f>
        <v>3906423.6947587389</v>
      </c>
      <c r="I27" s="1">
        <f>I23*I25</f>
        <v>3429445.1562962695</v>
      </c>
      <c r="J27" s="48">
        <f>SUM(G27:I27)</f>
        <v>8441950.7225124054</v>
      </c>
      <c r="K27" s="48"/>
      <c r="L27" s="17"/>
      <c r="M27" t="s">
        <v>39</v>
      </c>
      <c r="Q27" s="30">
        <v>-92859340.531817496</v>
      </c>
      <c r="R27" s="26">
        <f>Q27/Q25</f>
        <v>-0.15761761743696057</v>
      </c>
    </row>
    <row r="28" spans="1:18" x14ac:dyDescent="0.25">
      <c r="J28" s="20"/>
      <c r="K28" s="20"/>
      <c r="L28" s="17"/>
      <c r="M28" t="s">
        <v>40</v>
      </c>
      <c r="Q28" s="3">
        <f>Q25+Q26+Q27</f>
        <v>264719854.48644292</v>
      </c>
    </row>
    <row r="29" spans="1:18" x14ac:dyDescent="0.25">
      <c r="A29" t="s">
        <v>5</v>
      </c>
      <c r="E29" s="62">
        <f>WACOC!B38</f>
        <v>0.385909894877835</v>
      </c>
      <c r="G29" s="1">
        <f>G23*WACOC!$D$12*$E$29/(1-$E$29)</f>
        <v>521284.3419485889</v>
      </c>
      <c r="H29" s="1">
        <f>H23*WACOC!$D$12*$E$29/(1-$E$29)</f>
        <v>1841054.9504907222</v>
      </c>
      <c r="I29" s="1">
        <f>I23*WACOC!D$12*$E$29/(1-$E$29)</f>
        <v>1616260.1591084236</v>
      </c>
      <c r="J29" s="48">
        <f>SUM(G29:I29)</f>
        <v>3978599.4515477349</v>
      </c>
      <c r="K29" s="48"/>
      <c r="L29" s="17"/>
    </row>
    <row r="30" spans="1:18" x14ac:dyDescent="0.25">
      <c r="J30" s="20"/>
      <c r="K30" s="20"/>
      <c r="L30" s="17"/>
      <c r="M30" t="s">
        <v>43</v>
      </c>
      <c r="Q30" s="29">
        <v>53904563.880671129</v>
      </c>
    </row>
    <row r="31" spans="1:18" x14ac:dyDescent="0.25">
      <c r="A31" t="s">
        <v>20</v>
      </c>
      <c r="G31" s="1">
        <f>($Q$36*S11)*0.85</f>
        <v>213257.30248152284</v>
      </c>
      <c r="H31" s="1">
        <f>($Q$36*T11)*0.85</f>
        <v>753175.15004244377</v>
      </c>
      <c r="I31" s="1">
        <f>($Q$36*U11)*0.85</f>
        <v>661211.6534162329</v>
      </c>
      <c r="J31" s="48">
        <f>SUM(G31:I31)</f>
        <v>1627644.1059401995</v>
      </c>
      <c r="K31" s="48"/>
      <c r="M31" t="s">
        <v>41</v>
      </c>
      <c r="Q31" s="30">
        <v>7346535</v>
      </c>
      <c r="R31" s="28"/>
    </row>
    <row r="32" spans="1:18" x14ac:dyDescent="0.25">
      <c r="J32" s="20"/>
      <c r="K32" s="20"/>
      <c r="M32" t="s">
        <v>83</v>
      </c>
      <c r="Q32" s="13">
        <v>2490513.5069243559</v>
      </c>
    </row>
    <row r="33" spans="1:18" x14ac:dyDescent="0.25">
      <c r="A33" t="s">
        <v>4</v>
      </c>
      <c r="G33" s="2">
        <f>G12*$R$35</f>
        <v>857941.58634643001</v>
      </c>
      <c r="H33" s="2">
        <f>H12*$R$35</f>
        <v>3030049.9701768071</v>
      </c>
      <c r="I33" s="2">
        <f>I12*$R$35</f>
        <v>2660077.6069172095</v>
      </c>
      <c r="J33" s="2">
        <f>SUM(G33:I33)</f>
        <v>6548069.1634404473</v>
      </c>
      <c r="K33" s="2"/>
      <c r="M33" t="s">
        <v>42</v>
      </c>
      <c r="Q33" s="30">
        <v>24013941</v>
      </c>
      <c r="R33" s="28"/>
    </row>
    <row r="34" spans="1:18" x14ac:dyDescent="0.25">
      <c r="J34" s="19"/>
      <c r="K34" s="19"/>
      <c r="M34" t="s">
        <v>84</v>
      </c>
      <c r="Q34" s="13">
        <v>704119.64230149332</v>
      </c>
    </row>
    <row r="35" spans="1:18" x14ac:dyDescent="0.25">
      <c r="A35" t="s">
        <v>36</v>
      </c>
      <c r="G35" s="2">
        <f>($Q$31*S11)*0.85</f>
        <v>458228.84182890377</v>
      </c>
      <c r="H35" s="2">
        <f>($Q$31*T11)*0.85</f>
        <v>1618357.6022122968</v>
      </c>
      <c r="I35" s="2">
        <f>($Q$31*U11)*0.85</f>
        <v>1420754.3967923278</v>
      </c>
      <c r="J35" s="2">
        <f>SUM(G35:I35)</f>
        <v>3497340.840833528</v>
      </c>
      <c r="K35" s="2"/>
      <c r="M35" t="s">
        <v>44</v>
      </c>
      <c r="Q35" s="30">
        <v>16358817.194306452</v>
      </c>
      <c r="R35" s="23">
        <f>Q35/Q25</f>
        <v>2.7767134415195273E-2</v>
      </c>
    </row>
    <row r="36" spans="1:18" x14ac:dyDescent="0.25">
      <c r="A36" t="s">
        <v>37</v>
      </c>
      <c r="G36" s="3">
        <f>($Q$33*S11)*0.85</f>
        <v>1497832.7023797785</v>
      </c>
      <c r="H36" s="3">
        <f>($Q$33*T11)*0.85</f>
        <v>5289996.437290173</v>
      </c>
      <c r="I36" s="3">
        <f>($Q$33*U11)*0.85</f>
        <v>4644082.1775247166</v>
      </c>
      <c r="J36" s="2">
        <f>SUM(G36:I36)</f>
        <v>11431911.317194667</v>
      </c>
      <c r="K36" s="2"/>
      <c r="M36" t="s">
        <v>45</v>
      </c>
      <c r="Q36" s="30">
        <v>3419038.902992228</v>
      </c>
    </row>
    <row r="37" spans="1:18" x14ac:dyDescent="0.25">
      <c r="A37" t="s">
        <v>87</v>
      </c>
      <c r="G37" s="3">
        <f>(($Q$32+$Q$34)/$Q$37)*(0.85*$Q$38)*(G17/$J$17)</f>
        <v>297180.67911606212</v>
      </c>
      <c r="H37" s="3">
        <f>(($Q$32+$Q$34)/$Q$37)*(0.85*$Q$38)*(H17/$J$17)</f>
        <v>1049572.9805189134</v>
      </c>
      <c r="I37" s="3">
        <f>(($Q$32+$Q$34)/$Q$37)*(0.85*$Q$38)*(I17/$J$17)</f>
        <v>921418.98971415334</v>
      </c>
      <c r="J37" s="2">
        <f>SUM(G37:I37)</f>
        <v>2268172.6493491288</v>
      </c>
      <c r="K37" s="2"/>
      <c r="M37" t="s">
        <v>88</v>
      </c>
      <c r="Q37" s="30">
        <v>243015293.05321756</v>
      </c>
    </row>
    <row r="38" spans="1:18" x14ac:dyDescent="0.25">
      <c r="J38" s="19"/>
      <c r="K38" s="19"/>
      <c r="M38" t="s">
        <v>89</v>
      </c>
      <c r="Q38" s="29">
        <v>202987733.53695437</v>
      </c>
    </row>
    <row r="39" spans="1:18" x14ac:dyDescent="0.25">
      <c r="A39" t="s">
        <v>6</v>
      </c>
      <c r="G39" s="2">
        <f>G27+G29+G31+G33+G35+G36+G37</f>
        <v>4951807.3255586829</v>
      </c>
      <c r="H39" s="2">
        <f>H27+H29+H31+H33+H35+H36+H37</f>
        <v>17488630.785490096</v>
      </c>
      <c r="I39" s="2">
        <f>I27+I29+I31+I33+I35+I36+I37</f>
        <v>15353250.139769334</v>
      </c>
      <c r="J39" s="49">
        <f>SUM(G39:I39)</f>
        <v>37793688.250818118</v>
      </c>
      <c r="K39" s="49"/>
    </row>
    <row r="40" spans="1:18" x14ac:dyDescent="0.25">
      <c r="J40" s="4"/>
      <c r="K40" s="4"/>
    </row>
    <row r="41" spans="1:18" x14ac:dyDescent="0.25">
      <c r="A41" t="s">
        <v>34</v>
      </c>
      <c r="G41" s="3">
        <f>S9</f>
        <v>103454</v>
      </c>
      <c r="H41" s="3">
        <f t="shared" ref="H41:I41" si="1">T9</f>
        <v>192111</v>
      </c>
      <c r="I41" s="3">
        <f t="shared" si="1"/>
        <v>89471</v>
      </c>
      <c r="J41" s="13">
        <f>SUM(G41:I41)</f>
        <v>385036</v>
      </c>
      <c r="K41" s="13"/>
      <c r="L41" s="26"/>
    </row>
    <row r="42" spans="1:18" x14ac:dyDescent="0.25">
      <c r="J42" s="2"/>
      <c r="K42" s="2"/>
      <c r="L42" s="69">
        <f>(149244+149547)/((88168+88362)+(149244+149547))</f>
        <v>0.62860887694842016</v>
      </c>
    </row>
    <row r="43" spans="1:18" x14ac:dyDescent="0.25">
      <c r="A43" t="s">
        <v>32</v>
      </c>
      <c r="G43" s="19">
        <f>(G39/G41)</f>
        <v>47.864822293567023</v>
      </c>
      <c r="H43" s="19">
        <f>(H39/H41)</f>
        <v>91.033989649161654</v>
      </c>
      <c r="I43" s="19">
        <f>(I39/I41)</f>
        <v>171.60029662985028</v>
      </c>
      <c r="J43" s="19">
        <f>(J39/J41)</f>
        <v>98.156245781740196</v>
      </c>
      <c r="K43" s="19"/>
      <c r="L43" s="17"/>
    </row>
    <row r="45" spans="1:18" x14ac:dyDescent="0.25">
      <c r="A45" t="s">
        <v>85</v>
      </c>
      <c r="G45">
        <v>7.5899999999999995E-2</v>
      </c>
      <c r="H45">
        <v>7.5899999999999995E-2</v>
      </c>
      <c r="I45">
        <v>7.5899999999999995E-2</v>
      </c>
      <c r="J45">
        <v>7.5899999999999995E-2</v>
      </c>
    </row>
    <row r="46" spans="1:18" ht="15.75" thickBot="1" x14ac:dyDescent="0.3"/>
    <row r="47" spans="1:18" ht="15.75" thickBot="1" x14ac:dyDescent="0.3">
      <c r="A47" s="21" t="s">
        <v>86</v>
      </c>
      <c r="B47" s="21"/>
      <c r="C47" s="21"/>
      <c r="D47" s="21"/>
      <c r="E47" s="21"/>
      <c r="F47" s="21"/>
      <c r="G47" s="33">
        <f>G43*G45</f>
        <v>3.632940012081737</v>
      </c>
      <c r="H47" s="33">
        <f>H43*H45</f>
        <v>6.9094798143713687</v>
      </c>
      <c r="I47" s="33">
        <f>I43*I45</f>
        <v>13.024462514205636</v>
      </c>
      <c r="J47" s="68">
        <f>J43*J45</f>
        <v>7.4500590548340808</v>
      </c>
      <c r="K47" s="36"/>
      <c r="L47" s="21"/>
    </row>
    <row r="48" spans="1:18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</row>
    <row r="49" spans="1:12" x14ac:dyDescent="0.25">
      <c r="A49" s="21"/>
      <c r="B49" s="21"/>
      <c r="C49" s="21"/>
      <c r="D49" s="21"/>
      <c r="E49" s="21"/>
      <c r="F49" s="21"/>
      <c r="G49" s="33"/>
      <c r="H49" s="33"/>
      <c r="I49" s="33"/>
      <c r="J49" s="33"/>
      <c r="K49" s="33"/>
      <c r="L49" s="21"/>
    </row>
    <row r="50" spans="1:12" x14ac:dyDescent="0.25">
      <c r="A50" s="21"/>
      <c r="B50" s="21"/>
      <c r="C50" s="21"/>
      <c r="D50" s="21"/>
      <c r="E50" s="21"/>
      <c r="F50" s="21"/>
      <c r="G50" s="59"/>
      <c r="H50" s="59"/>
      <c r="I50" s="59"/>
      <c r="J50" s="59"/>
      <c r="K50" s="59"/>
      <c r="L50" s="21"/>
    </row>
    <row r="51" spans="1:12" x14ac:dyDescent="0.25">
      <c r="A51" s="21"/>
      <c r="B51" s="21"/>
      <c r="C51" s="21"/>
      <c r="D51" s="21"/>
      <c r="E51" s="21"/>
      <c r="F51" s="21"/>
      <c r="G51" s="33"/>
      <c r="H51" s="33"/>
      <c r="I51" s="33"/>
      <c r="J51" s="33"/>
      <c r="K51" s="33"/>
      <c r="L51" s="21"/>
    </row>
    <row r="52" spans="1:12" x14ac:dyDescent="0.25">
      <c r="A52" s="21"/>
      <c r="B52" s="21"/>
      <c r="C52" s="21"/>
      <c r="D52" s="21"/>
      <c r="E52" s="21"/>
      <c r="F52" s="21"/>
      <c r="G52" s="59"/>
      <c r="H52" s="59"/>
      <c r="I52" s="59"/>
      <c r="J52" s="59"/>
      <c r="K52" s="59"/>
      <c r="L52" s="21"/>
    </row>
    <row r="53" spans="1:12" x14ac:dyDescent="0.25">
      <c r="A53" s="21"/>
      <c r="B53" s="21"/>
      <c r="C53" s="21"/>
      <c r="D53" s="21"/>
      <c r="E53" s="21"/>
      <c r="F53" s="21"/>
      <c r="G53" s="32"/>
      <c r="H53" s="32"/>
      <c r="I53" s="32"/>
      <c r="J53" s="32"/>
      <c r="K53" s="32"/>
      <c r="L53" s="34"/>
    </row>
    <row r="54" spans="1:12" x14ac:dyDescent="0.25">
      <c r="A54" s="21"/>
      <c r="B54" s="21"/>
      <c r="C54" s="21"/>
      <c r="D54" s="21"/>
      <c r="E54" s="21"/>
      <c r="F54" s="21"/>
      <c r="G54" s="33"/>
      <c r="H54" s="33"/>
      <c r="I54" s="33"/>
      <c r="J54" s="33"/>
      <c r="K54" s="33"/>
      <c r="L54" s="21"/>
    </row>
    <row r="55" spans="1:12" x14ac:dyDescent="0.25">
      <c r="A55" s="21"/>
      <c r="B55" s="21"/>
      <c r="C55" s="21"/>
      <c r="D55" s="21"/>
      <c r="E55" s="21"/>
      <c r="F55" s="21"/>
      <c r="G55" s="33"/>
      <c r="H55" s="33"/>
      <c r="I55" s="33"/>
      <c r="J55" s="33"/>
      <c r="K55" s="33"/>
      <c r="L55" s="21"/>
    </row>
    <row r="56" spans="1:12" x14ac:dyDescent="0.25">
      <c r="A56" s="21"/>
      <c r="B56" s="21"/>
      <c r="C56" s="21"/>
      <c r="D56" s="21"/>
      <c r="E56" s="21"/>
      <c r="F56" s="21"/>
      <c r="G56" s="33"/>
      <c r="H56" s="33"/>
      <c r="I56" s="33"/>
      <c r="J56" s="33"/>
      <c r="K56" s="33"/>
      <c r="L56" s="21"/>
    </row>
    <row r="57" spans="1:12" x14ac:dyDescent="0.25">
      <c r="A57" s="21"/>
      <c r="B57" s="21"/>
      <c r="C57" s="21"/>
      <c r="D57" s="21"/>
      <c r="E57" s="21"/>
      <c r="F57" s="21"/>
      <c r="G57" s="35"/>
      <c r="H57" s="35"/>
      <c r="I57" s="35"/>
      <c r="J57" s="35"/>
      <c r="K57" s="35"/>
      <c r="L57" s="34"/>
    </row>
    <row r="58" spans="1:12" x14ac:dyDescent="0.2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</row>
    <row r="59" spans="1:12" x14ac:dyDescent="0.25">
      <c r="A59" s="21"/>
      <c r="B59" s="21"/>
      <c r="C59" s="21"/>
      <c r="D59" s="21"/>
      <c r="E59" s="21"/>
      <c r="F59" s="21"/>
      <c r="G59" s="33"/>
      <c r="H59" s="33"/>
      <c r="I59" s="33"/>
      <c r="J59" s="36"/>
      <c r="K59" s="36"/>
      <c r="L59" s="21"/>
    </row>
    <row r="60" spans="1:12" x14ac:dyDescent="0.2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</row>
    <row r="61" spans="1:12" x14ac:dyDescent="0.25">
      <c r="A61" s="21"/>
      <c r="B61" s="21"/>
      <c r="C61" s="21"/>
      <c r="D61" s="21"/>
      <c r="E61" s="21"/>
      <c r="F61" s="21"/>
      <c r="G61" s="35"/>
      <c r="H61" s="35"/>
      <c r="I61" s="35"/>
      <c r="J61" s="35"/>
      <c r="K61" s="35"/>
      <c r="L61" s="34"/>
    </row>
    <row r="62" spans="1:12" x14ac:dyDescent="0.2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</row>
    <row r="63" spans="1:12" x14ac:dyDescent="0.25">
      <c r="A63" s="21"/>
      <c r="B63" s="21"/>
      <c r="C63" s="21"/>
      <c r="D63" s="21"/>
      <c r="E63" s="21"/>
      <c r="F63" s="21"/>
      <c r="G63" s="33"/>
      <c r="H63" s="33"/>
      <c r="I63" s="33"/>
      <c r="J63" s="36"/>
      <c r="K63" s="36"/>
      <c r="L63" s="21"/>
    </row>
  </sheetData>
  <pageMargins left="0.7" right="0.7" top="0.75" bottom="0.75" header="0.3" footer="0.3"/>
  <pageSetup scale="82" orientation="portrait" horizontalDpi="90" verticalDpi="90" r:id="rId1"/>
  <headerFooter>
    <oddHeader>&amp;RExhibit WSS-12
Page 1 of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61"/>
  <sheetViews>
    <sheetView zoomScaleNormal="100" workbookViewId="0"/>
  </sheetViews>
  <sheetFormatPr defaultRowHeight="15" x14ac:dyDescent="0.25"/>
  <cols>
    <col min="1" max="1" width="1.5703125" customWidth="1"/>
    <col min="2" max="2" width="33.7109375" customWidth="1"/>
    <col min="6" max="6" width="8" bestFit="1" customWidth="1"/>
    <col min="7" max="7" width="3.42578125" customWidth="1"/>
    <col min="8" max="8" width="15.140625" bestFit="1" customWidth="1"/>
    <col min="9" max="9" width="1.5703125" customWidth="1"/>
    <col min="10" max="10" width="7.7109375" bestFit="1" customWidth="1"/>
    <col min="11" max="11" width="18.28515625" customWidth="1"/>
    <col min="12" max="14" width="10.85546875" customWidth="1"/>
    <col min="15" max="15" width="15.28515625" bestFit="1" customWidth="1"/>
    <col min="16" max="16" width="7.7109375" bestFit="1" customWidth="1"/>
    <col min="17" max="17" width="10" bestFit="1" customWidth="1"/>
  </cols>
  <sheetData>
    <row r="1" spans="2:16" ht="15.75" x14ac:dyDescent="0.25">
      <c r="B1" s="75" t="s">
        <v>18</v>
      </c>
      <c r="C1" s="75"/>
      <c r="D1" s="75"/>
      <c r="E1" s="75"/>
      <c r="F1" s="75"/>
      <c r="G1" s="75"/>
      <c r="H1" s="75"/>
    </row>
    <row r="2" spans="2:16" x14ac:dyDescent="0.25">
      <c r="B2" t="s">
        <v>92</v>
      </c>
    </row>
    <row r="3" spans="2:16" x14ac:dyDescent="0.25">
      <c r="B3" s="17" t="s">
        <v>23</v>
      </c>
    </row>
    <row r="7" spans="2:16" x14ac:dyDescent="0.25">
      <c r="F7" s="4"/>
      <c r="O7" s="4"/>
    </row>
    <row r="8" spans="2:16" ht="15.75" thickBot="1" x14ac:dyDescent="0.3">
      <c r="B8" s="14" t="s">
        <v>29</v>
      </c>
      <c r="C8" s="15"/>
      <c r="D8" s="15"/>
      <c r="E8" s="15"/>
      <c r="F8" s="16"/>
      <c r="G8" s="15"/>
      <c r="H8" s="16" t="s">
        <v>21</v>
      </c>
      <c r="I8" s="22"/>
      <c r="K8" s="14" t="s">
        <v>29</v>
      </c>
      <c r="L8" s="15"/>
      <c r="M8" s="15"/>
      <c r="N8" s="15"/>
      <c r="O8" s="16" t="s">
        <v>21</v>
      </c>
      <c r="P8" s="15"/>
    </row>
    <row r="9" spans="2:16" x14ac:dyDescent="0.25">
      <c r="C9" s="21"/>
      <c r="D9" s="21"/>
      <c r="E9" s="21"/>
      <c r="F9" s="22"/>
      <c r="G9" s="21"/>
      <c r="K9" t="s">
        <v>34</v>
      </c>
      <c r="O9" s="30">
        <v>4557311</v>
      </c>
    </row>
    <row r="10" spans="2:16" x14ac:dyDescent="0.25">
      <c r="B10" t="s">
        <v>33</v>
      </c>
      <c r="C10" s="21"/>
      <c r="D10" s="21"/>
      <c r="E10" s="21"/>
      <c r="F10" s="22"/>
      <c r="G10" s="21"/>
      <c r="H10" s="2">
        <v>79957770.109999999</v>
      </c>
      <c r="I10" s="2"/>
      <c r="K10" t="s">
        <v>30</v>
      </c>
      <c r="O10" s="29">
        <v>79957770.109999999</v>
      </c>
    </row>
    <row r="11" spans="2:16" x14ac:dyDescent="0.25">
      <c r="B11" t="s">
        <v>31</v>
      </c>
      <c r="H11" s="20">
        <v>0.15</v>
      </c>
    </row>
    <row r="12" spans="2:16" x14ac:dyDescent="0.25">
      <c r="B12" t="s">
        <v>81</v>
      </c>
      <c r="H12" s="2">
        <f>H10*(1-H11)</f>
        <v>67964104.593500003</v>
      </c>
      <c r="I12" s="18"/>
      <c r="K12" t="s">
        <v>0</v>
      </c>
      <c r="O12" s="1">
        <v>31585299.960000001</v>
      </c>
    </row>
    <row r="13" spans="2:16" x14ac:dyDescent="0.25">
      <c r="B13" t="s">
        <v>0</v>
      </c>
      <c r="C13" s="21"/>
      <c r="D13" s="21"/>
      <c r="E13" s="21"/>
      <c r="F13" s="22"/>
      <c r="G13" s="21"/>
      <c r="H13" s="27">
        <f>H10*$P$21</f>
        <v>-23190169.204721011</v>
      </c>
      <c r="I13" s="13"/>
    </row>
    <row r="14" spans="2:16" x14ac:dyDescent="0.25">
      <c r="B14" t="s">
        <v>31</v>
      </c>
      <c r="C14" s="21"/>
      <c r="D14" s="21"/>
      <c r="E14" s="21"/>
      <c r="F14" s="22"/>
      <c r="G14" s="21"/>
      <c r="H14" s="20">
        <v>0.15</v>
      </c>
      <c r="K14" t="s">
        <v>2</v>
      </c>
      <c r="O14" s="1">
        <v>13847224.326095812</v>
      </c>
    </row>
    <row r="15" spans="2:16" x14ac:dyDescent="0.25">
      <c r="B15" t="s">
        <v>82</v>
      </c>
      <c r="H15" s="1">
        <f t="shared" ref="H15" si="0">H13*(1-H14)</f>
        <v>-19711643.824012861</v>
      </c>
      <c r="I15" s="2"/>
      <c r="J15" s="20">
        <f>-H15/H10</f>
        <v>0.24652568220568227</v>
      </c>
    </row>
    <row r="16" spans="2:16" x14ac:dyDescent="0.25">
      <c r="H16" s="3"/>
      <c r="I16" s="3"/>
      <c r="J16" s="17"/>
      <c r="K16" t="s">
        <v>3</v>
      </c>
      <c r="O16" s="2">
        <f>O10-O12-O14</f>
        <v>34525245.823904186</v>
      </c>
    </row>
    <row r="17" spans="2:17" x14ac:dyDescent="0.25">
      <c r="B17" t="s">
        <v>1</v>
      </c>
      <c r="C17" s="21"/>
      <c r="D17" s="21"/>
      <c r="E17" s="21"/>
      <c r="F17" s="22"/>
      <c r="G17" s="21"/>
      <c r="H17" s="25">
        <f>H12+H15</f>
        <v>48252460.769487143</v>
      </c>
      <c r="I17" s="2"/>
      <c r="J17" s="17"/>
    </row>
    <row r="18" spans="2:17" x14ac:dyDescent="0.25">
      <c r="H18" s="20"/>
      <c r="I18" s="20"/>
      <c r="J18" s="17"/>
      <c r="K18" t="s">
        <v>35</v>
      </c>
      <c r="O18" s="1">
        <v>1307794.8299999998</v>
      </c>
    </row>
    <row r="19" spans="2:17" x14ac:dyDescent="0.25">
      <c r="B19" t="s">
        <v>2</v>
      </c>
      <c r="H19" s="2">
        <f>H12*$P$22</f>
        <v>-11956769.734134067</v>
      </c>
      <c r="I19" s="48"/>
      <c r="J19" s="20">
        <f>-H19/H12</f>
        <v>0.1759277166329003</v>
      </c>
    </row>
    <row r="20" spans="2:17" x14ac:dyDescent="0.25">
      <c r="B20" t="s">
        <v>46</v>
      </c>
      <c r="H20" s="30">
        <f>('CWC and Common'!N106+'CWC and Common'!N76)*0.85</f>
        <v>673646.7450886775</v>
      </c>
      <c r="I20" s="3"/>
      <c r="J20" s="17"/>
      <c r="K20" t="s">
        <v>94</v>
      </c>
      <c r="O20" s="1">
        <v>109439151.21000004</v>
      </c>
      <c r="Q20" s="2"/>
    </row>
    <row r="21" spans="2:17" x14ac:dyDescent="0.25">
      <c r="B21" t="s">
        <v>47</v>
      </c>
      <c r="H21" s="30">
        <f>('CWC and Common'!N119+'CWC and Common'!N89)*0.85</f>
        <v>5747707.4661873588</v>
      </c>
      <c r="I21" s="3"/>
      <c r="J21" s="17"/>
      <c r="K21" t="s">
        <v>38</v>
      </c>
      <c r="O21" s="30">
        <v>-31740660.484771851</v>
      </c>
      <c r="P21" s="26">
        <f>O21/O20</f>
        <v>-0.29003021435962617</v>
      </c>
    </row>
    <row r="22" spans="2:17" x14ac:dyDescent="0.25">
      <c r="H22" s="71"/>
      <c r="I22" s="20"/>
      <c r="J22" s="17"/>
      <c r="K22" t="s">
        <v>39</v>
      </c>
      <c r="O22" s="30">
        <v>-19253379.982618015</v>
      </c>
      <c r="P22" s="26">
        <f>O22/O20</f>
        <v>-0.1759277166329003</v>
      </c>
    </row>
    <row r="23" spans="2:17" x14ac:dyDescent="0.25">
      <c r="B23" t="s">
        <v>3</v>
      </c>
      <c r="H23" s="2">
        <f>H17+H19+H20+H21</f>
        <v>42717045.246629111</v>
      </c>
      <c r="I23" s="2"/>
      <c r="J23" s="17"/>
      <c r="K23" t="s">
        <v>40</v>
      </c>
      <c r="O23" s="3">
        <f>SUM(O20:O22)</f>
        <v>58445110.742610171</v>
      </c>
    </row>
    <row r="24" spans="2:17" x14ac:dyDescent="0.25">
      <c r="H24" s="20"/>
      <c r="I24" s="20"/>
      <c r="J24" s="17"/>
    </row>
    <row r="25" spans="2:17" x14ac:dyDescent="0.25">
      <c r="B25" t="s">
        <v>19</v>
      </c>
      <c r="H25" s="23">
        <f>WACOC!D33</f>
        <v>7.2664909900853725E-2</v>
      </c>
      <c r="I25" s="20"/>
      <c r="J25" s="17"/>
      <c r="K25" t="s">
        <v>96</v>
      </c>
      <c r="O25" s="29">
        <v>2394557.3430362311</v>
      </c>
    </row>
    <row r="26" spans="2:17" x14ac:dyDescent="0.25">
      <c r="H26" s="20"/>
      <c r="I26" s="20"/>
      <c r="J26" s="17"/>
      <c r="K26" t="s">
        <v>100</v>
      </c>
      <c r="O26" s="30">
        <v>817401.70867297333</v>
      </c>
    </row>
    <row r="27" spans="2:17" x14ac:dyDescent="0.25">
      <c r="B27" t="s">
        <v>7</v>
      </c>
      <c r="H27" s="1">
        <f>H23*H25</f>
        <v>3104030.2440769961</v>
      </c>
      <c r="I27" s="48"/>
      <c r="J27" s="17"/>
      <c r="K27" t="s">
        <v>97</v>
      </c>
      <c r="O27" s="30">
        <v>1709878.9870224677</v>
      </c>
      <c r="P27" s="23">
        <f>O27/O20</f>
        <v>1.5624015428824222E-2</v>
      </c>
    </row>
    <row r="28" spans="2:17" x14ac:dyDescent="0.25">
      <c r="H28" s="20"/>
      <c r="I28" s="20"/>
      <c r="J28" s="17"/>
      <c r="K28" t="s">
        <v>95</v>
      </c>
      <c r="O28" s="30">
        <v>586143.90228995285</v>
      </c>
    </row>
    <row r="29" spans="2:17" x14ac:dyDescent="0.25">
      <c r="B29" t="s">
        <v>5</v>
      </c>
      <c r="F29" s="62">
        <f>WACOC!B38</f>
        <v>0.385909894877835</v>
      </c>
      <c r="H29" s="1">
        <f>H23*WACOC!D$12*$F$29/(1-$F$29)</f>
        <v>1462895.6544059205</v>
      </c>
      <c r="I29" s="48"/>
      <c r="J29" s="17"/>
      <c r="K29" t="s">
        <v>88</v>
      </c>
      <c r="O29" s="30">
        <v>243015293.05321756</v>
      </c>
    </row>
    <row r="30" spans="2:17" x14ac:dyDescent="0.25">
      <c r="H30" s="20"/>
      <c r="I30" s="20"/>
      <c r="J30" s="17"/>
      <c r="K30" t="s">
        <v>89</v>
      </c>
      <c r="O30" s="30">
        <v>202987733.53695437</v>
      </c>
    </row>
    <row r="31" spans="2:17" x14ac:dyDescent="0.25">
      <c r="B31" t="s">
        <v>20</v>
      </c>
      <c r="H31" s="1">
        <f>O28*0.85</f>
        <v>498222.31694645993</v>
      </c>
      <c r="I31" s="48"/>
    </row>
    <row r="32" spans="2:17" x14ac:dyDescent="0.25">
      <c r="H32" s="20"/>
      <c r="I32" s="20"/>
    </row>
    <row r="33" spans="2:10" x14ac:dyDescent="0.25">
      <c r="B33" t="s">
        <v>4</v>
      </c>
      <c r="H33" s="2">
        <f>H12*$P$27</f>
        <v>1061872.2187750672</v>
      </c>
      <c r="I33" s="2"/>
    </row>
    <row r="34" spans="2:10" x14ac:dyDescent="0.25">
      <c r="H34" s="19"/>
      <c r="I34" s="19"/>
    </row>
    <row r="35" spans="2:10" x14ac:dyDescent="0.25">
      <c r="B35" t="s">
        <v>103</v>
      </c>
      <c r="H35" s="2">
        <f>O26*0.85</f>
        <v>694791.45237202733</v>
      </c>
      <c r="I35" s="2"/>
    </row>
    <row r="36" spans="2:10" x14ac:dyDescent="0.25">
      <c r="B36" t="s">
        <v>102</v>
      </c>
      <c r="H36" s="3">
        <f>((O26)/$O$29)*(0.85*$O$30)</f>
        <v>580350.89243112679</v>
      </c>
      <c r="I36" s="2"/>
    </row>
    <row r="37" spans="2:10" x14ac:dyDescent="0.25">
      <c r="H37" s="19"/>
      <c r="I37" s="19"/>
    </row>
    <row r="38" spans="2:10" x14ac:dyDescent="0.25">
      <c r="B38" t="s">
        <v>6</v>
      </c>
      <c r="H38" s="2">
        <f>H27+H29+H31+H33+H35+H36</f>
        <v>7402162.7790075988</v>
      </c>
      <c r="I38" s="49"/>
    </row>
    <row r="39" spans="2:10" x14ac:dyDescent="0.25">
      <c r="H39" s="4"/>
      <c r="I39" s="4"/>
    </row>
    <row r="40" spans="2:10" x14ac:dyDescent="0.25">
      <c r="B40" t="s">
        <v>34</v>
      </c>
      <c r="H40" s="13">
        <f>O9</f>
        <v>4557311</v>
      </c>
      <c r="I40" s="13"/>
    </row>
    <row r="41" spans="2:10" x14ac:dyDescent="0.25">
      <c r="H41" s="2"/>
      <c r="I41" s="2"/>
      <c r="J41" s="17"/>
    </row>
    <row r="42" spans="2:10" x14ac:dyDescent="0.25">
      <c r="B42" t="s">
        <v>32</v>
      </c>
      <c r="H42" s="19">
        <f>(H38/H40)</f>
        <v>1.6242391135929934</v>
      </c>
      <c r="I42" s="19"/>
      <c r="J42" s="17"/>
    </row>
    <row r="44" spans="2:10" x14ac:dyDescent="0.25">
      <c r="B44" t="s">
        <v>85</v>
      </c>
      <c r="H44" s="74">
        <v>0.5</v>
      </c>
    </row>
    <row r="45" spans="2:10" ht="15.75" thickBot="1" x14ac:dyDescent="0.3"/>
    <row r="46" spans="2:10" ht="15.75" thickBot="1" x14ac:dyDescent="0.3">
      <c r="B46" s="21" t="s">
        <v>93</v>
      </c>
      <c r="C46" s="21"/>
      <c r="D46" s="21"/>
      <c r="E46" s="21"/>
      <c r="F46" s="21"/>
      <c r="G46" s="21"/>
      <c r="H46" s="68">
        <f>H42*H44</f>
        <v>0.81211955679649672</v>
      </c>
      <c r="I46" s="36"/>
      <c r="J46" s="21"/>
    </row>
    <row r="47" spans="2:10" x14ac:dyDescent="0.25">
      <c r="B47" s="21"/>
      <c r="C47" s="21"/>
      <c r="D47" s="21"/>
      <c r="E47" s="21"/>
      <c r="F47" s="21"/>
      <c r="G47" s="21"/>
      <c r="H47" s="21"/>
      <c r="I47" s="21"/>
      <c r="J47" s="21"/>
    </row>
    <row r="48" spans="2:10" x14ac:dyDescent="0.25">
      <c r="B48" s="21"/>
      <c r="C48" s="21"/>
      <c r="D48" s="21"/>
      <c r="E48" s="21"/>
      <c r="F48" s="21"/>
      <c r="G48" s="21"/>
      <c r="H48" s="59"/>
      <c r="I48" s="59"/>
      <c r="J48" s="21"/>
    </row>
    <row r="49" spans="2:10" x14ac:dyDescent="0.25">
      <c r="B49" s="21"/>
      <c r="C49" s="21"/>
      <c r="D49" s="21"/>
      <c r="E49" s="21"/>
      <c r="F49" s="21"/>
      <c r="G49" s="21"/>
      <c r="H49" s="21"/>
      <c r="I49" s="21"/>
      <c r="J49" s="21"/>
    </row>
    <row r="50" spans="2:10" x14ac:dyDescent="0.25">
      <c r="B50" s="21"/>
      <c r="C50" s="21"/>
      <c r="D50" s="21"/>
      <c r="E50" s="21"/>
      <c r="F50" s="21"/>
      <c r="G50" s="21"/>
      <c r="H50" s="59"/>
      <c r="I50" s="59"/>
      <c r="J50" s="21"/>
    </row>
    <row r="51" spans="2:10" x14ac:dyDescent="0.25">
      <c r="B51" s="21"/>
      <c r="C51" s="21"/>
      <c r="D51" s="21"/>
      <c r="E51" s="21"/>
      <c r="F51" s="21"/>
      <c r="G51" s="21"/>
      <c r="H51" s="21"/>
      <c r="I51" s="21"/>
      <c r="J51" s="21"/>
    </row>
    <row r="52" spans="2:10" x14ac:dyDescent="0.25">
      <c r="B52" s="21"/>
      <c r="C52" s="21"/>
      <c r="D52" s="21"/>
      <c r="E52" s="21"/>
      <c r="F52" s="21"/>
      <c r="G52" s="21"/>
      <c r="H52" s="33"/>
      <c r="I52" s="33"/>
      <c r="J52" s="34"/>
    </row>
    <row r="53" spans="2:10" x14ac:dyDescent="0.25">
      <c r="B53" s="21"/>
      <c r="C53" s="21"/>
      <c r="D53" s="21"/>
      <c r="E53" s="21"/>
      <c r="F53" s="21"/>
      <c r="G53" s="21"/>
      <c r="H53" s="21"/>
      <c r="I53" s="21"/>
      <c r="J53" s="21"/>
    </row>
    <row r="54" spans="2:10" x14ac:dyDescent="0.25">
      <c r="B54" s="21"/>
      <c r="C54" s="21"/>
      <c r="D54" s="21"/>
      <c r="E54" s="21"/>
      <c r="F54" s="21"/>
      <c r="G54" s="21"/>
      <c r="H54" s="33"/>
      <c r="I54" s="33"/>
      <c r="J54" s="21"/>
    </row>
    <row r="55" spans="2:10" x14ac:dyDescent="0.25">
      <c r="B55" s="21"/>
      <c r="C55" s="21"/>
      <c r="D55" s="21"/>
      <c r="E55" s="21"/>
      <c r="F55" s="21"/>
      <c r="G55" s="21"/>
      <c r="H55" s="21"/>
      <c r="I55" s="21"/>
      <c r="J55" s="21"/>
    </row>
    <row r="56" spans="2:10" x14ac:dyDescent="0.25">
      <c r="B56" s="21"/>
      <c r="C56" s="21"/>
      <c r="D56" s="21"/>
      <c r="E56" s="21"/>
      <c r="F56" s="21"/>
      <c r="G56" s="21"/>
      <c r="H56" s="33"/>
      <c r="I56" s="33"/>
      <c r="J56" s="21"/>
    </row>
    <row r="57" spans="2:10" x14ac:dyDescent="0.25">
      <c r="B57" s="21"/>
      <c r="C57" s="21"/>
      <c r="D57" s="21"/>
      <c r="E57" s="21"/>
      <c r="F57" s="21"/>
      <c r="G57" s="21"/>
      <c r="H57" s="36"/>
      <c r="I57" s="36"/>
      <c r="J57" s="21"/>
    </row>
    <row r="58" spans="2:10" x14ac:dyDescent="0.25">
      <c r="B58" s="21"/>
      <c r="C58" s="21"/>
      <c r="D58" s="21"/>
      <c r="E58" s="21"/>
      <c r="F58" s="21"/>
      <c r="G58" s="21"/>
      <c r="H58" s="67"/>
      <c r="I58" s="21"/>
      <c r="J58" s="21"/>
    </row>
    <row r="59" spans="2:10" x14ac:dyDescent="0.25">
      <c r="B59" s="21"/>
      <c r="C59" s="21"/>
      <c r="D59" s="21"/>
      <c r="E59" s="21"/>
      <c r="F59" s="21"/>
      <c r="G59" s="21"/>
      <c r="H59" s="35"/>
      <c r="I59" s="35"/>
      <c r="J59" s="34"/>
    </row>
    <row r="60" spans="2:10" x14ac:dyDescent="0.25">
      <c r="B60" s="21"/>
      <c r="C60" s="21"/>
      <c r="D60" s="21"/>
      <c r="E60" s="21"/>
      <c r="F60" s="21"/>
      <c r="G60" s="21"/>
      <c r="H60" s="21"/>
      <c r="I60" s="21"/>
      <c r="J60" s="21"/>
    </row>
    <row r="61" spans="2:10" x14ac:dyDescent="0.25">
      <c r="B61" s="21"/>
      <c r="C61" s="21"/>
      <c r="D61" s="21"/>
      <c r="E61" s="21"/>
      <c r="F61" s="21"/>
      <c r="G61" s="21"/>
      <c r="H61" s="36"/>
      <c r="I61" s="36"/>
      <c r="J61" s="21"/>
    </row>
  </sheetData>
  <pageMargins left="0.7" right="0.7" top="0.75" bottom="0.75" header="0.3" footer="0.3"/>
  <pageSetup orientation="portrait" horizontalDpi="90" verticalDpi="90" r:id="rId1"/>
  <headerFooter>
    <oddHeader>&amp;RExhibit WSS-13
Page 1 of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9"/>
  <sheetViews>
    <sheetView zoomScaleNormal="100" workbookViewId="0">
      <selection sqref="A1:N1"/>
    </sheetView>
  </sheetViews>
  <sheetFormatPr defaultRowHeight="12.75" x14ac:dyDescent="0.2"/>
  <cols>
    <col min="1" max="8" width="9.140625" style="37"/>
    <col min="9" max="9" width="13" style="37" customWidth="1"/>
    <col min="10" max="10" width="15.42578125" style="37" customWidth="1"/>
    <col min="11" max="11" width="11.5703125" style="37" customWidth="1"/>
    <col min="12" max="12" width="9.140625" style="37"/>
    <col min="13" max="13" width="14" style="37" customWidth="1"/>
    <col min="14" max="14" width="12.85546875" style="37" customWidth="1"/>
    <col min="15" max="264" width="9.140625" style="37"/>
    <col min="265" max="265" width="13" style="37" customWidth="1"/>
    <col min="266" max="266" width="15.42578125" style="37" customWidth="1"/>
    <col min="267" max="267" width="11.5703125" style="37" customWidth="1"/>
    <col min="268" max="268" width="9.140625" style="37"/>
    <col min="269" max="269" width="14" style="37" customWidth="1"/>
    <col min="270" max="270" width="12.85546875" style="37" customWidth="1"/>
    <col min="271" max="520" width="9.140625" style="37"/>
    <col min="521" max="521" width="13" style="37" customWidth="1"/>
    <col min="522" max="522" width="15.42578125" style="37" customWidth="1"/>
    <col min="523" max="523" width="11.5703125" style="37" customWidth="1"/>
    <col min="524" max="524" width="9.140625" style="37"/>
    <col min="525" max="525" width="14" style="37" customWidth="1"/>
    <col min="526" max="526" width="12.85546875" style="37" customWidth="1"/>
    <col min="527" max="776" width="9.140625" style="37"/>
    <col min="777" max="777" width="13" style="37" customWidth="1"/>
    <col min="778" max="778" width="15.42578125" style="37" customWidth="1"/>
    <col min="779" max="779" width="11.5703125" style="37" customWidth="1"/>
    <col min="780" max="780" width="9.140625" style="37"/>
    <col min="781" max="781" width="14" style="37" customWidth="1"/>
    <col min="782" max="782" width="12.85546875" style="37" customWidth="1"/>
    <col min="783" max="1032" width="9.140625" style="37"/>
    <col min="1033" max="1033" width="13" style="37" customWidth="1"/>
    <col min="1034" max="1034" width="15.42578125" style="37" customWidth="1"/>
    <col min="1035" max="1035" width="11.5703125" style="37" customWidth="1"/>
    <col min="1036" max="1036" width="9.140625" style="37"/>
    <col min="1037" max="1037" width="14" style="37" customWidth="1"/>
    <col min="1038" max="1038" width="12.85546875" style="37" customWidth="1"/>
    <col min="1039" max="1288" width="9.140625" style="37"/>
    <col min="1289" max="1289" width="13" style="37" customWidth="1"/>
    <col min="1290" max="1290" width="15.42578125" style="37" customWidth="1"/>
    <col min="1291" max="1291" width="11.5703125" style="37" customWidth="1"/>
    <col min="1292" max="1292" width="9.140625" style="37"/>
    <col min="1293" max="1293" width="14" style="37" customWidth="1"/>
    <col min="1294" max="1294" width="12.85546875" style="37" customWidth="1"/>
    <col min="1295" max="1544" width="9.140625" style="37"/>
    <col min="1545" max="1545" width="13" style="37" customWidth="1"/>
    <col min="1546" max="1546" width="15.42578125" style="37" customWidth="1"/>
    <col min="1547" max="1547" width="11.5703125" style="37" customWidth="1"/>
    <col min="1548" max="1548" width="9.140625" style="37"/>
    <col min="1549" max="1549" width="14" style="37" customWidth="1"/>
    <col min="1550" max="1550" width="12.85546875" style="37" customWidth="1"/>
    <col min="1551" max="1800" width="9.140625" style="37"/>
    <col min="1801" max="1801" width="13" style="37" customWidth="1"/>
    <col min="1802" max="1802" width="15.42578125" style="37" customWidth="1"/>
    <col min="1803" max="1803" width="11.5703125" style="37" customWidth="1"/>
    <col min="1804" max="1804" width="9.140625" style="37"/>
    <col min="1805" max="1805" width="14" style="37" customWidth="1"/>
    <col min="1806" max="1806" width="12.85546875" style="37" customWidth="1"/>
    <col min="1807" max="2056" width="9.140625" style="37"/>
    <col min="2057" max="2057" width="13" style="37" customWidth="1"/>
    <col min="2058" max="2058" width="15.42578125" style="37" customWidth="1"/>
    <col min="2059" max="2059" width="11.5703125" style="37" customWidth="1"/>
    <col min="2060" max="2060" width="9.140625" style="37"/>
    <col min="2061" max="2061" width="14" style="37" customWidth="1"/>
    <col min="2062" max="2062" width="12.85546875" style="37" customWidth="1"/>
    <col min="2063" max="2312" width="9.140625" style="37"/>
    <col min="2313" max="2313" width="13" style="37" customWidth="1"/>
    <col min="2314" max="2314" width="15.42578125" style="37" customWidth="1"/>
    <col min="2315" max="2315" width="11.5703125" style="37" customWidth="1"/>
    <col min="2316" max="2316" width="9.140625" style="37"/>
    <col min="2317" max="2317" width="14" style="37" customWidth="1"/>
    <col min="2318" max="2318" width="12.85546875" style="37" customWidth="1"/>
    <col min="2319" max="2568" width="9.140625" style="37"/>
    <col min="2569" max="2569" width="13" style="37" customWidth="1"/>
    <col min="2570" max="2570" width="15.42578125" style="37" customWidth="1"/>
    <col min="2571" max="2571" width="11.5703125" style="37" customWidth="1"/>
    <col min="2572" max="2572" width="9.140625" style="37"/>
    <col min="2573" max="2573" width="14" style="37" customWidth="1"/>
    <col min="2574" max="2574" width="12.85546875" style="37" customWidth="1"/>
    <col min="2575" max="2824" width="9.140625" style="37"/>
    <col min="2825" max="2825" width="13" style="37" customWidth="1"/>
    <col min="2826" max="2826" width="15.42578125" style="37" customWidth="1"/>
    <col min="2827" max="2827" width="11.5703125" style="37" customWidth="1"/>
    <col min="2828" max="2828" width="9.140625" style="37"/>
    <col min="2829" max="2829" width="14" style="37" customWidth="1"/>
    <col min="2830" max="2830" width="12.85546875" style="37" customWidth="1"/>
    <col min="2831" max="3080" width="9.140625" style="37"/>
    <col min="3081" max="3081" width="13" style="37" customWidth="1"/>
    <col min="3082" max="3082" width="15.42578125" style="37" customWidth="1"/>
    <col min="3083" max="3083" width="11.5703125" style="37" customWidth="1"/>
    <col min="3084" max="3084" width="9.140625" style="37"/>
    <col min="3085" max="3085" width="14" style="37" customWidth="1"/>
    <col min="3086" max="3086" width="12.85546875" style="37" customWidth="1"/>
    <col min="3087" max="3336" width="9.140625" style="37"/>
    <col min="3337" max="3337" width="13" style="37" customWidth="1"/>
    <col min="3338" max="3338" width="15.42578125" style="37" customWidth="1"/>
    <col min="3339" max="3339" width="11.5703125" style="37" customWidth="1"/>
    <col min="3340" max="3340" width="9.140625" style="37"/>
    <col min="3341" max="3341" width="14" style="37" customWidth="1"/>
    <col min="3342" max="3342" width="12.85546875" style="37" customWidth="1"/>
    <col min="3343" max="3592" width="9.140625" style="37"/>
    <col min="3593" max="3593" width="13" style="37" customWidth="1"/>
    <col min="3594" max="3594" width="15.42578125" style="37" customWidth="1"/>
    <col min="3595" max="3595" width="11.5703125" style="37" customWidth="1"/>
    <col min="3596" max="3596" width="9.140625" style="37"/>
    <col min="3597" max="3597" width="14" style="37" customWidth="1"/>
    <col min="3598" max="3598" width="12.85546875" style="37" customWidth="1"/>
    <col min="3599" max="3848" width="9.140625" style="37"/>
    <col min="3849" max="3849" width="13" style="37" customWidth="1"/>
    <col min="3850" max="3850" width="15.42578125" style="37" customWidth="1"/>
    <col min="3851" max="3851" width="11.5703125" style="37" customWidth="1"/>
    <col min="3852" max="3852" width="9.140625" style="37"/>
    <col min="3853" max="3853" width="14" style="37" customWidth="1"/>
    <col min="3854" max="3854" width="12.85546875" style="37" customWidth="1"/>
    <col min="3855" max="4104" width="9.140625" style="37"/>
    <col min="4105" max="4105" width="13" style="37" customWidth="1"/>
    <col min="4106" max="4106" width="15.42578125" style="37" customWidth="1"/>
    <col min="4107" max="4107" width="11.5703125" style="37" customWidth="1"/>
    <col min="4108" max="4108" width="9.140625" style="37"/>
    <col min="4109" max="4109" width="14" style="37" customWidth="1"/>
    <col min="4110" max="4110" width="12.85546875" style="37" customWidth="1"/>
    <col min="4111" max="4360" width="9.140625" style="37"/>
    <col min="4361" max="4361" width="13" style="37" customWidth="1"/>
    <col min="4362" max="4362" width="15.42578125" style="37" customWidth="1"/>
    <col min="4363" max="4363" width="11.5703125" style="37" customWidth="1"/>
    <col min="4364" max="4364" width="9.140625" style="37"/>
    <col min="4365" max="4365" width="14" style="37" customWidth="1"/>
    <col min="4366" max="4366" width="12.85546875" style="37" customWidth="1"/>
    <col min="4367" max="4616" width="9.140625" style="37"/>
    <col min="4617" max="4617" width="13" style="37" customWidth="1"/>
    <col min="4618" max="4618" width="15.42578125" style="37" customWidth="1"/>
    <col min="4619" max="4619" width="11.5703125" style="37" customWidth="1"/>
    <col min="4620" max="4620" width="9.140625" style="37"/>
    <col min="4621" max="4621" width="14" style="37" customWidth="1"/>
    <col min="4622" max="4622" width="12.85546875" style="37" customWidth="1"/>
    <col min="4623" max="4872" width="9.140625" style="37"/>
    <col min="4873" max="4873" width="13" style="37" customWidth="1"/>
    <col min="4874" max="4874" width="15.42578125" style="37" customWidth="1"/>
    <col min="4875" max="4875" width="11.5703125" style="37" customWidth="1"/>
    <col min="4876" max="4876" width="9.140625" style="37"/>
    <col min="4877" max="4877" width="14" style="37" customWidth="1"/>
    <col min="4878" max="4878" width="12.85546875" style="37" customWidth="1"/>
    <col min="4879" max="5128" width="9.140625" style="37"/>
    <col min="5129" max="5129" width="13" style="37" customWidth="1"/>
    <col min="5130" max="5130" width="15.42578125" style="37" customWidth="1"/>
    <col min="5131" max="5131" width="11.5703125" style="37" customWidth="1"/>
    <col min="5132" max="5132" width="9.140625" style="37"/>
    <col min="5133" max="5133" width="14" style="37" customWidth="1"/>
    <col min="5134" max="5134" width="12.85546875" style="37" customWidth="1"/>
    <col min="5135" max="5384" width="9.140625" style="37"/>
    <col min="5385" max="5385" width="13" style="37" customWidth="1"/>
    <col min="5386" max="5386" width="15.42578125" style="37" customWidth="1"/>
    <col min="5387" max="5387" width="11.5703125" style="37" customWidth="1"/>
    <col min="5388" max="5388" width="9.140625" style="37"/>
    <col min="5389" max="5389" width="14" style="37" customWidth="1"/>
    <col min="5390" max="5390" width="12.85546875" style="37" customWidth="1"/>
    <col min="5391" max="5640" width="9.140625" style="37"/>
    <col min="5641" max="5641" width="13" style="37" customWidth="1"/>
    <col min="5642" max="5642" width="15.42578125" style="37" customWidth="1"/>
    <col min="5643" max="5643" width="11.5703125" style="37" customWidth="1"/>
    <col min="5644" max="5644" width="9.140625" style="37"/>
    <col min="5645" max="5645" width="14" style="37" customWidth="1"/>
    <col min="5646" max="5646" width="12.85546875" style="37" customWidth="1"/>
    <col min="5647" max="5896" width="9.140625" style="37"/>
    <col min="5897" max="5897" width="13" style="37" customWidth="1"/>
    <col min="5898" max="5898" width="15.42578125" style="37" customWidth="1"/>
    <col min="5899" max="5899" width="11.5703125" style="37" customWidth="1"/>
    <col min="5900" max="5900" width="9.140625" style="37"/>
    <col min="5901" max="5901" width="14" style="37" customWidth="1"/>
    <col min="5902" max="5902" width="12.85546875" style="37" customWidth="1"/>
    <col min="5903" max="6152" width="9.140625" style="37"/>
    <col min="6153" max="6153" width="13" style="37" customWidth="1"/>
    <col min="6154" max="6154" width="15.42578125" style="37" customWidth="1"/>
    <col min="6155" max="6155" width="11.5703125" style="37" customWidth="1"/>
    <col min="6156" max="6156" width="9.140625" style="37"/>
    <col min="6157" max="6157" width="14" style="37" customWidth="1"/>
    <col min="6158" max="6158" width="12.85546875" style="37" customWidth="1"/>
    <col min="6159" max="6408" width="9.140625" style="37"/>
    <col min="6409" max="6409" width="13" style="37" customWidth="1"/>
    <col min="6410" max="6410" width="15.42578125" style="37" customWidth="1"/>
    <col min="6411" max="6411" width="11.5703125" style="37" customWidth="1"/>
    <col min="6412" max="6412" width="9.140625" style="37"/>
    <col min="6413" max="6413" width="14" style="37" customWidth="1"/>
    <col min="6414" max="6414" width="12.85546875" style="37" customWidth="1"/>
    <col min="6415" max="6664" width="9.140625" style="37"/>
    <col min="6665" max="6665" width="13" style="37" customWidth="1"/>
    <col min="6666" max="6666" width="15.42578125" style="37" customWidth="1"/>
    <col min="6667" max="6667" width="11.5703125" style="37" customWidth="1"/>
    <col min="6668" max="6668" width="9.140625" style="37"/>
    <col min="6669" max="6669" width="14" style="37" customWidth="1"/>
    <col min="6670" max="6670" width="12.85546875" style="37" customWidth="1"/>
    <col min="6671" max="6920" width="9.140625" style="37"/>
    <col min="6921" max="6921" width="13" style="37" customWidth="1"/>
    <col min="6922" max="6922" width="15.42578125" style="37" customWidth="1"/>
    <col min="6923" max="6923" width="11.5703125" style="37" customWidth="1"/>
    <col min="6924" max="6924" width="9.140625" style="37"/>
    <col min="6925" max="6925" width="14" style="37" customWidth="1"/>
    <col min="6926" max="6926" width="12.85546875" style="37" customWidth="1"/>
    <col min="6927" max="7176" width="9.140625" style="37"/>
    <col min="7177" max="7177" width="13" style="37" customWidth="1"/>
    <col min="7178" max="7178" width="15.42578125" style="37" customWidth="1"/>
    <col min="7179" max="7179" width="11.5703125" style="37" customWidth="1"/>
    <col min="7180" max="7180" width="9.140625" style="37"/>
    <col min="7181" max="7181" width="14" style="37" customWidth="1"/>
    <col min="7182" max="7182" width="12.85546875" style="37" customWidth="1"/>
    <col min="7183" max="7432" width="9.140625" style="37"/>
    <col min="7433" max="7433" width="13" style="37" customWidth="1"/>
    <col min="7434" max="7434" width="15.42578125" style="37" customWidth="1"/>
    <col min="7435" max="7435" width="11.5703125" style="37" customWidth="1"/>
    <col min="7436" max="7436" width="9.140625" style="37"/>
    <col min="7437" max="7437" width="14" style="37" customWidth="1"/>
    <col min="7438" max="7438" width="12.85546875" style="37" customWidth="1"/>
    <col min="7439" max="7688" width="9.140625" style="37"/>
    <col min="7689" max="7689" width="13" style="37" customWidth="1"/>
    <col min="7690" max="7690" width="15.42578125" style="37" customWidth="1"/>
    <col min="7691" max="7691" width="11.5703125" style="37" customWidth="1"/>
    <col min="7692" max="7692" width="9.140625" style="37"/>
    <col min="7693" max="7693" width="14" style="37" customWidth="1"/>
    <col min="7694" max="7694" width="12.85546875" style="37" customWidth="1"/>
    <col min="7695" max="7944" width="9.140625" style="37"/>
    <col min="7945" max="7945" width="13" style="37" customWidth="1"/>
    <col min="7946" max="7946" width="15.42578125" style="37" customWidth="1"/>
    <col min="7947" max="7947" width="11.5703125" style="37" customWidth="1"/>
    <col min="7948" max="7948" width="9.140625" style="37"/>
    <col min="7949" max="7949" width="14" style="37" customWidth="1"/>
    <col min="7950" max="7950" width="12.85546875" style="37" customWidth="1"/>
    <col min="7951" max="8200" width="9.140625" style="37"/>
    <col min="8201" max="8201" width="13" style="37" customWidth="1"/>
    <col min="8202" max="8202" width="15.42578125" style="37" customWidth="1"/>
    <col min="8203" max="8203" width="11.5703125" style="37" customWidth="1"/>
    <col min="8204" max="8204" width="9.140625" style="37"/>
    <col min="8205" max="8205" width="14" style="37" customWidth="1"/>
    <col min="8206" max="8206" width="12.85546875" style="37" customWidth="1"/>
    <col min="8207" max="8456" width="9.140625" style="37"/>
    <col min="8457" max="8457" width="13" style="37" customWidth="1"/>
    <col min="8458" max="8458" width="15.42578125" style="37" customWidth="1"/>
    <col min="8459" max="8459" width="11.5703125" style="37" customWidth="1"/>
    <col min="8460" max="8460" width="9.140625" style="37"/>
    <col min="8461" max="8461" width="14" style="37" customWidth="1"/>
    <col min="8462" max="8462" width="12.85546875" style="37" customWidth="1"/>
    <col min="8463" max="8712" width="9.140625" style="37"/>
    <col min="8713" max="8713" width="13" style="37" customWidth="1"/>
    <col min="8714" max="8714" width="15.42578125" style="37" customWidth="1"/>
    <col min="8715" max="8715" width="11.5703125" style="37" customWidth="1"/>
    <col min="8716" max="8716" width="9.140625" style="37"/>
    <col min="8717" max="8717" width="14" style="37" customWidth="1"/>
    <col min="8718" max="8718" width="12.85546875" style="37" customWidth="1"/>
    <col min="8719" max="8968" width="9.140625" style="37"/>
    <col min="8969" max="8969" width="13" style="37" customWidth="1"/>
    <col min="8970" max="8970" width="15.42578125" style="37" customWidth="1"/>
    <col min="8971" max="8971" width="11.5703125" style="37" customWidth="1"/>
    <col min="8972" max="8972" width="9.140625" style="37"/>
    <col min="8973" max="8973" width="14" style="37" customWidth="1"/>
    <col min="8974" max="8974" width="12.85546875" style="37" customWidth="1"/>
    <col min="8975" max="9224" width="9.140625" style="37"/>
    <col min="9225" max="9225" width="13" style="37" customWidth="1"/>
    <col min="9226" max="9226" width="15.42578125" style="37" customWidth="1"/>
    <col min="9227" max="9227" width="11.5703125" style="37" customWidth="1"/>
    <col min="9228" max="9228" width="9.140625" style="37"/>
    <col min="9229" max="9229" width="14" style="37" customWidth="1"/>
    <col min="9230" max="9230" width="12.85546875" style="37" customWidth="1"/>
    <col min="9231" max="9480" width="9.140625" style="37"/>
    <col min="9481" max="9481" width="13" style="37" customWidth="1"/>
    <col min="9482" max="9482" width="15.42578125" style="37" customWidth="1"/>
    <col min="9483" max="9483" width="11.5703125" style="37" customWidth="1"/>
    <col min="9484" max="9484" width="9.140625" style="37"/>
    <col min="9485" max="9485" width="14" style="37" customWidth="1"/>
    <col min="9486" max="9486" width="12.85546875" style="37" customWidth="1"/>
    <col min="9487" max="9736" width="9.140625" style="37"/>
    <col min="9737" max="9737" width="13" style="37" customWidth="1"/>
    <col min="9738" max="9738" width="15.42578125" style="37" customWidth="1"/>
    <col min="9739" max="9739" width="11.5703125" style="37" customWidth="1"/>
    <col min="9740" max="9740" width="9.140625" style="37"/>
    <col min="9741" max="9741" width="14" style="37" customWidth="1"/>
    <col min="9742" max="9742" width="12.85546875" style="37" customWidth="1"/>
    <col min="9743" max="9992" width="9.140625" style="37"/>
    <col min="9993" max="9993" width="13" style="37" customWidth="1"/>
    <col min="9994" max="9994" width="15.42578125" style="37" customWidth="1"/>
    <col min="9995" max="9995" width="11.5703125" style="37" customWidth="1"/>
    <col min="9996" max="9996" width="9.140625" style="37"/>
    <col min="9997" max="9997" width="14" style="37" customWidth="1"/>
    <col min="9998" max="9998" width="12.85546875" style="37" customWidth="1"/>
    <col min="9999" max="10248" width="9.140625" style="37"/>
    <col min="10249" max="10249" width="13" style="37" customWidth="1"/>
    <col min="10250" max="10250" width="15.42578125" style="37" customWidth="1"/>
    <col min="10251" max="10251" width="11.5703125" style="37" customWidth="1"/>
    <col min="10252" max="10252" width="9.140625" style="37"/>
    <col min="10253" max="10253" width="14" style="37" customWidth="1"/>
    <col min="10254" max="10254" width="12.85546875" style="37" customWidth="1"/>
    <col min="10255" max="10504" width="9.140625" style="37"/>
    <col min="10505" max="10505" width="13" style="37" customWidth="1"/>
    <col min="10506" max="10506" width="15.42578125" style="37" customWidth="1"/>
    <col min="10507" max="10507" width="11.5703125" style="37" customWidth="1"/>
    <col min="10508" max="10508" width="9.140625" style="37"/>
    <col min="10509" max="10509" width="14" style="37" customWidth="1"/>
    <col min="10510" max="10510" width="12.85546875" style="37" customWidth="1"/>
    <col min="10511" max="10760" width="9.140625" style="37"/>
    <col min="10761" max="10761" width="13" style="37" customWidth="1"/>
    <col min="10762" max="10762" width="15.42578125" style="37" customWidth="1"/>
    <col min="10763" max="10763" width="11.5703125" style="37" customWidth="1"/>
    <col min="10764" max="10764" width="9.140625" style="37"/>
    <col min="10765" max="10765" width="14" style="37" customWidth="1"/>
    <col min="10766" max="10766" width="12.85546875" style="37" customWidth="1"/>
    <col min="10767" max="11016" width="9.140625" style="37"/>
    <col min="11017" max="11017" width="13" style="37" customWidth="1"/>
    <col min="11018" max="11018" width="15.42578125" style="37" customWidth="1"/>
    <col min="11019" max="11019" width="11.5703125" style="37" customWidth="1"/>
    <col min="11020" max="11020" width="9.140625" style="37"/>
    <col min="11021" max="11021" width="14" style="37" customWidth="1"/>
    <col min="11022" max="11022" width="12.85546875" style="37" customWidth="1"/>
    <col min="11023" max="11272" width="9.140625" style="37"/>
    <col min="11273" max="11273" width="13" style="37" customWidth="1"/>
    <col min="11274" max="11274" width="15.42578125" style="37" customWidth="1"/>
    <col min="11275" max="11275" width="11.5703125" style="37" customWidth="1"/>
    <col min="11276" max="11276" width="9.140625" style="37"/>
    <col min="11277" max="11277" width="14" style="37" customWidth="1"/>
    <col min="11278" max="11278" width="12.85546875" style="37" customWidth="1"/>
    <col min="11279" max="11528" width="9.140625" style="37"/>
    <col min="11529" max="11529" width="13" style="37" customWidth="1"/>
    <col min="11530" max="11530" width="15.42578125" style="37" customWidth="1"/>
    <col min="11531" max="11531" width="11.5703125" style="37" customWidth="1"/>
    <col min="11532" max="11532" width="9.140625" style="37"/>
    <col min="11533" max="11533" width="14" style="37" customWidth="1"/>
    <col min="11534" max="11534" width="12.85546875" style="37" customWidth="1"/>
    <col min="11535" max="11784" width="9.140625" style="37"/>
    <col min="11785" max="11785" width="13" style="37" customWidth="1"/>
    <col min="11786" max="11786" width="15.42578125" style="37" customWidth="1"/>
    <col min="11787" max="11787" width="11.5703125" style="37" customWidth="1"/>
    <col min="11788" max="11788" width="9.140625" style="37"/>
    <col min="11789" max="11789" width="14" style="37" customWidth="1"/>
    <col min="11790" max="11790" width="12.85546875" style="37" customWidth="1"/>
    <col min="11791" max="12040" width="9.140625" style="37"/>
    <col min="12041" max="12041" width="13" style="37" customWidth="1"/>
    <col min="12042" max="12042" width="15.42578125" style="37" customWidth="1"/>
    <col min="12043" max="12043" width="11.5703125" style="37" customWidth="1"/>
    <col min="12044" max="12044" width="9.140625" style="37"/>
    <col min="12045" max="12045" width="14" style="37" customWidth="1"/>
    <col min="12046" max="12046" width="12.85546875" style="37" customWidth="1"/>
    <col min="12047" max="12296" width="9.140625" style="37"/>
    <col min="12297" max="12297" width="13" style="37" customWidth="1"/>
    <col min="12298" max="12298" width="15.42578125" style="37" customWidth="1"/>
    <col min="12299" max="12299" width="11.5703125" style="37" customWidth="1"/>
    <col min="12300" max="12300" width="9.140625" style="37"/>
    <col min="12301" max="12301" width="14" style="37" customWidth="1"/>
    <col min="12302" max="12302" width="12.85546875" style="37" customWidth="1"/>
    <col min="12303" max="12552" width="9.140625" style="37"/>
    <col min="12553" max="12553" width="13" style="37" customWidth="1"/>
    <col min="12554" max="12554" width="15.42578125" style="37" customWidth="1"/>
    <col min="12555" max="12555" width="11.5703125" style="37" customWidth="1"/>
    <col min="12556" max="12556" width="9.140625" style="37"/>
    <col min="12557" max="12557" width="14" style="37" customWidth="1"/>
    <col min="12558" max="12558" width="12.85546875" style="37" customWidth="1"/>
    <col min="12559" max="12808" width="9.140625" style="37"/>
    <col min="12809" max="12809" width="13" style="37" customWidth="1"/>
    <col min="12810" max="12810" width="15.42578125" style="37" customWidth="1"/>
    <col min="12811" max="12811" width="11.5703125" style="37" customWidth="1"/>
    <col min="12812" max="12812" width="9.140625" style="37"/>
    <col min="12813" max="12813" width="14" style="37" customWidth="1"/>
    <col min="12814" max="12814" width="12.85546875" style="37" customWidth="1"/>
    <col min="12815" max="13064" width="9.140625" style="37"/>
    <col min="13065" max="13065" width="13" style="37" customWidth="1"/>
    <col min="13066" max="13066" width="15.42578125" style="37" customWidth="1"/>
    <col min="13067" max="13067" width="11.5703125" style="37" customWidth="1"/>
    <col min="13068" max="13068" width="9.140625" style="37"/>
    <col min="13069" max="13069" width="14" style="37" customWidth="1"/>
    <col min="13070" max="13070" width="12.85546875" style="37" customWidth="1"/>
    <col min="13071" max="13320" width="9.140625" style="37"/>
    <col min="13321" max="13321" width="13" style="37" customWidth="1"/>
    <col min="13322" max="13322" width="15.42578125" style="37" customWidth="1"/>
    <col min="13323" max="13323" width="11.5703125" style="37" customWidth="1"/>
    <col min="13324" max="13324" width="9.140625" style="37"/>
    <col min="13325" max="13325" width="14" style="37" customWidth="1"/>
    <col min="13326" max="13326" width="12.85546875" style="37" customWidth="1"/>
    <col min="13327" max="13576" width="9.140625" style="37"/>
    <col min="13577" max="13577" width="13" style="37" customWidth="1"/>
    <col min="13578" max="13578" width="15.42578125" style="37" customWidth="1"/>
    <col min="13579" max="13579" width="11.5703125" style="37" customWidth="1"/>
    <col min="13580" max="13580" width="9.140625" style="37"/>
    <col min="13581" max="13581" width="14" style="37" customWidth="1"/>
    <col min="13582" max="13582" width="12.85546875" style="37" customWidth="1"/>
    <col min="13583" max="13832" width="9.140625" style="37"/>
    <col min="13833" max="13833" width="13" style="37" customWidth="1"/>
    <col min="13834" max="13834" width="15.42578125" style="37" customWidth="1"/>
    <col min="13835" max="13835" width="11.5703125" style="37" customWidth="1"/>
    <col min="13836" max="13836" width="9.140625" style="37"/>
    <col min="13837" max="13837" width="14" style="37" customWidth="1"/>
    <col min="13838" max="13838" width="12.85546875" style="37" customWidth="1"/>
    <col min="13839" max="14088" width="9.140625" style="37"/>
    <col min="14089" max="14089" width="13" style="37" customWidth="1"/>
    <col min="14090" max="14090" width="15.42578125" style="37" customWidth="1"/>
    <col min="14091" max="14091" width="11.5703125" style="37" customWidth="1"/>
    <col min="14092" max="14092" width="9.140625" style="37"/>
    <col min="14093" max="14093" width="14" style="37" customWidth="1"/>
    <col min="14094" max="14094" width="12.85546875" style="37" customWidth="1"/>
    <col min="14095" max="14344" width="9.140625" style="37"/>
    <col min="14345" max="14345" width="13" style="37" customWidth="1"/>
    <col min="14346" max="14346" width="15.42578125" style="37" customWidth="1"/>
    <col min="14347" max="14347" width="11.5703125" style="37" customWidth="1"/>
    <col min="14348" max="14348" width="9.140625" style="37"/>
    <col min="14349" max="14349" width="14" style="37" customWidth="1"/>
    <col min="14350" max="14350" width="12.85546875" style="37" customWidth="1"/>
    <col min="14351" max="14600" width="9.140625" style="37"/>
    <col min="14601" max="14601" width="13" style="37" customWidth="1"/>
    <col min="14602" max="14602" width="15.42578125" style="37" customWidth="1"/>
    <col min="14603" max="14603" width="11.5703125" style="37" customWidth="1"/>
    <col min="14604" max="14604" width="9.140625" style="37"/>
    <col min="14605" max="14605" width="14" style="37" customWidth="1"/>
    <col min="14606" max="14606" width="12.85546875" style="37" customWidth="1"/>
    <col min="14607" max="14856" width="9.140625" style="37"/>
    <col min="14857" max="14857" width="13" style="37" customWidth="1"/>
    <col min="14858" max="14858" width="15.42578125" style="37" customWidth="1"/>
    <col min="14859" max="14859" width="11.5703125" style="37" customWidth="1"/>
    <col min="14860" max="14860" width="9.140625" style="37"/>
    <col min="14861" max="14861" width="14" style="37" customWidth="1"/>
    <col min="14862" max="14862" width="12.85546875" style="37" customWidth="1"/>
    <col min="14863" max="15112" width="9.140625" style="37"/>
    <col min="15113" max="15113" width="13" style="37" customWidth="1"/>
    <col min="15114" max="15114" width="15.42578125" style="37" customWidth="1"/>
    <col min="15115" max="15115" width="11.5703125" style="37" customWidth="1"/>
    <col min="15116" max="15116" width="9.140625" style="37"/>
    <col min="15117" max="15117" width="14" style="37" customWidth="1"/>
    <col min="15118" max="15118" width="12.85546875" style="37" customWidth="1"/>
    <col min="15119" max="15368" width="9.140625" style="37"/>
    <col min="15369" max="15369" width="13" style="37" customWidth="1"/>
    <col min="15370" max="15370" width="15.42578125" style="37" customWidth="1"/>
    <col min="15371" max="15371" width="11.5703125" style="37" customWidth="1"/>
    <col min="15372" max="15372" width="9.140625" style="37"/>
    <col min="15373" max="15373" width="14" style="37" customWidth="1"/>
    <col min="15374" max="15374" width="12.85546875" style="37" customWidth="1"/>
    <col min="15375" max="15624" width="9.140625" style="37"/>
    <col min="15625" max="15625" width="13" style="37" customWidth="1"/>
    <col min="15626" max="15626" width="15.42578125" style="37" customWidth="1"/>
    <col min="15627" max="15627" width="11.5703125" style="37" customWidth="1"/>
    <col min="15628" max="15628" width="9.140625" style="37"/>
    <col min="15629" max="15629" width="14" style="37" customWidth="1"/>
    <col min="15630" max="15630" width="12.85546875" style="37" customWidth="1"/>
    <col min="15631" max="15880" width="9.140625" style="37"/>
    <col min="15881" max="15881" width="13" style="37" customWidth="1"/>
    <col min="15882" max="15882" width="15.42578125" style="37" customWidth="1"/>
    <col min="15883" max="15883" width="11.5703125" style="37" customWidth="1"/>
    <col min="15884" max="15884" width="9.140625" style="37"/>
    <col min="15885" max="15885" width="14" style="37" customWidth="1"/>
    <col min="15886" max="15886" width="12.85546875" style="37" customWidth="1"/>
    <col min="15887" max="16136" width="9.140625" style="37"/>
    <col min="16137" max="16137" width="13" style="37" customWidth="1"/>
    <col min="16138" max="16138" width="15.42578125" style="37" customWidth="1"/>
    <col min="16139" max="16139" width="11.5703125" style="37" customWidth="1"/>
    <col min="16140" max="16140" width="9.140625" style="37"/>
    <col min="16141" max="16141" width="14" style="37" customWidth="1"/>
    <col min="16142" max="16142" width="12.85546875" style="37" customWidth="1"/>
    <col min="16143" max="16384" width="9.140625" style="37"/>
  </cols>
  <sheetData>
    <row r="1" spans="1:14" x14ac:dyDescent="0.2">
      <c r="A1" s="89" t="s">
        <v>48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4" x14ac:dyDescent="0.2">
      <c r="A2" s="89" t="s">
        <v>49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14" x14ac:dyDescent="0.2">
      <c r="A3" s="89" t="s">
        <v>98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ht="13.5" thickBot="1" x14ac:dyDescent="0.25">
      <c r="A4" s="38"/>
    </row>
    <row r="5" spans="1:14" ht="15.75" thickBot="1" x14ac:dyDescent="0.3">
      <c r="I5" s="93" t="s">
        <v>50</v>
      </c>
      <c r="J5" s="94"/>
      <c r="K5" s="95"/>
    </row>
    <row r="6" spans="1:14" s="76" customFormat="1" ht="15" x14ac:dyDescent="0.25">
      <c r="I6" s="77" t="s">
        <v>51</v>
      </c>
      <c r="M6" s="77" t="s">
        <v>21</v>
      </c>
      <c r="N6" s="77" t="s">
        <v>52</v>
      </c>
    </row>
    <row r="7" spans="1:14" s="76" customFormat="1" ht="15" x14ac:dyDescent="0.25">
      <c r="A7" s="76" t="s">
        <v>53</v>
      </c>
      <c r="I7" s="77" t="s">
        <v>54</v>
      </c>
      <c r="J7" s="77" t="s">
        <v>21</v>
      </c>
      <c r="K7" s="77" t="s">
        <v>55</v>
      </c>
      <c r="M7" s="77" t="s">
        <v>56</v>
      </c>
      <c r="N7" s="77" t="s">
        <v>57</v>
      </c>
    </row>
    <row r="8" spans="1:14" s="76" customFormat="1" x14ac:dyDescent="0.2"/>
    <row r="9" spans="1:14" s="76" customFormat="1" ht="15" x14ac:dyDescent="0.25">
      <c r="A9" s="78">
        <v>580</v>
      </c>
      <c r="B9" s="76" t="s">
        <v>58</v>
      </c>
      <c r="H9" s="76" t="s">
        <v>59</v>
      </c>
      <c r="I9" s="79">
        <v>2109411.0705286167</v>
      </c>
      <c r="J9" s="80">
        <v>12780969</v>
      </c>
      <c r="K9" s="81">
        <f t="shared" ref="K9:K15" si="0">I9/J9</f>
        <v>0.16504312548826436</v>
      </c>
      <c r="M9" s="82">
        <v>1814624</v>
      </c>
      <c r="N9" s="83">
        <f>K9*M9</f>
        <v>299491.21654601622</v>
      </c>
    </row>
    <row r="10" spans="1:14" s="76" customFormat="1" ht="15" x14ac:dyDescent="0.25">
      <c r="A10" s="78">
        <v>588</v>
      </c>
      <c r="B10" s="76" t="s">
        <v>60</v>
      </c>
      <c r="H10" s="76" t="s">
        <v>22</v>
      </c>
      <c r="I10" s="79">
        <v>219572875.29461536</v>
      </c>
      <c r="J10" s="84">
        <v>1362654761.28</v>
      </c>
      <c r="K10" s="81">
        <f t="shared" si="0"/>
        <v>0.16113610103879955</v>
      </c>
      <c r="M10" s="85">
        <v>5593730</v>
      </c>
      <c r="N10" s="86">
        <f t="shared" ref="N10:N15" si="1">K10*M10</f>
        <v>901351.84246376425</v>
      </c>
    </row>
    <row r="11" spans="1:14" s="76" customFormat="1" ht="15" x14ac:dyDescent="0.25">
      <c r="A11" s="78">
        <v>589</v>
      </c>
      <c r="B11" s="76" t="s">
        <v>61</v>
      </c>
      <c r="H11" s="76" t="s">
        <v>22</v>
      </c>
      <c r="I11" s="79">
        <v>219572875.29461536</v>
      </c>
      <c r="J11" s="84">
        <f>$J$10</f>
        <v>1362654761.28</v>
      </c>
      <c r="K11" s="81">
        <f t="shared" si="0"/>
        <v>0.16113610103879955</v>
      </c>
      <c r="M11" s="87">
        <v>8165</v>
      </c>
      <c r="N11" s="86">
        <f t="shared" si="1"/>
        <v>1315.6762649817983</v>
      </c>
    </row>
    <row r="12" spans="1:14" s="76" customFormat="1" ht="15" x14ac:dyDescent="0.25">
      <c r="A12" s="78">
        <v>590</v>
      </c>
      <c r="B12" s="76" t="s">
        <v>62</v>
      </c>
      <c r="H12" s="76" t="s">
        <v>59</v>
      </c>
      <c r="I12" s="79">
        <v>2109411.0705286167</v>
      </c>
      <c r="J12" s="80">
        <f>J9</f>
        <v>12780969</v>
      </c>
      <c r="K12" s="81">
        <f t="shared" si="0"/>
        <v>0.16504312548826436</v>
      </c>
      <c r="M12" s="87">
        <v>77850</v>
      </c>
      <c r="N12" s="86">
        <f t="shared" si="1"/>
        <v>12848.60731926138</v>
      </c>
    </row>
    <row r="13" spans="1:14" s="76" customFormat="1" ht="15" x14ac:dyDescent="0.25">
      <c r="A13" s="78">
        <v>598</v>
      </c>
      <c r="B13" s="76" t="s">
        <v>63</v>
      </c>
      <c r="H13" s="76" t="s">
        <v>22</v>
      </c>
      <c r="I13" s="79">
        <v>219572875.29461536</v>
      </c>
      <c r="J13" s="84">
        <f>$J$10</f>
        <v>1362654761.28</v>
      </c>
      <c r="K13" s="81">
        <f t="shared" si="0"/>
        <v>0.16113610103879955</v>
      </c>
      <c r="M13" s="87">
        <v>671832</v>
      </c>
      <c r="N13" s="86">
        <f t="shared" si="1"/>
        <v>108256.38903309878</v>
      </c>
    </row>
    <row r="14" spans="1:14" s="76" customFormat="1" ht="15" x14ac:dyDescent="0.25">
      <c r="A14" s="78">
        <v>904</v>
      </c>
      <c r="B14" s="76" t="s">
        <v>64</v>
      </c>
      <c r="H14" s="76" t="s">
        <v>22</v>
      </c>
      <c r="I14" s="79">
        <v>219572875.29461536</v>
      </c>
      <c r="J14" s="84">
        <f>$J$10</f>
        <v>1362654761.28</v>
      </c>
      <c r="K14" s="81">
        <f t="shared" si="0"/>
        <v>0.16113610103879955</v>
      </c>
      <c r="M14" s="87">
        <v>2480504.5265672347</v>
      </c>
      <c r="N14" s="86">
        <f t="shared" si="1"/>
        <v>399698.82802013756</v>
      </c>
    </row>
    <row r="15" spans="1:14" s="76" customFormat="1" ht="15" x14ac:dyDescent="0.25">
      <c r="A15" s="78">
        <v>905</v>
      </c>
      <c r="B15" s="76" t="s">
        <v>65</v>
      </c>
      <c r="H15" s="76" t="s">
        <v>22</v>
      </c>
      <c r="I15" s="79">
        <v>219572875.29461536</v>
      </c>
      <c r="J15" s="84">
        <f>$J$10</f>
        <v>1362654761.28</v>
      </c>
      <c r="K15" s="81">
        <f t="shared" si="0"/>
        <v>0.16113610103879955</v>
      </c>
      <c r="M15" s="87">
        <v>1288</v>
      </c>
      <c r="N15" s="86">
        <f t="shared" si="1"/>
        <v>207.54329813797384</v>
      </c>
    </row>
    <row r="16" spans="1:14" ht="15" x14ac:dyDescent="0.25">
      <c r="A16" s="40"/>
      <c r="I16" s="43"/>
      <c r="J16" s="43"/>
      <c r="N16" s="45">
        <f>SUM(N9:N15)</f>
        <v>1723170.1029453978</v>
      </c>
    </row>
    <row r="17" spans="1:14" ht="15.75" thickBot="1" x14ac:dyDescent="0.3">
      <c r="A17" s="40"/>
      <c r="J17" s="43"/>
      <c r="N17" s="44"/>
    </row>
    <row r="18" spans="1:14" ht="15.75" thickBot="1" x14ac:dyDescent="0.3">
      <c r="I18" s="93" t="s">
        <v>50</v>
      </c>
      <c r="J18" s="94"/>
      <c r="K18" s="95"/>
      <c r="N18" s="39" t="s">
        <v>66</v>
      </c>
    </row>
    <row r="19" spans="1:14" ht="15" x14ac:dyDescent="0.25">
      <c r="I19" s="39" t="s">
        <v>51</v>
      </c>
      <c r="M19" s="39"/>
      <c r="N19" s="39" t="s">
        <v>51</v>
      </c>
    </row>
    <row r="20" spans="1:14" ht="15" x14ac:dyDescent="0.25">
      <c r="I20" s="39" t="s">
        <v>54</v>
      </c>
      <c r="J20" s="39" t="s">
        <v>21</v>
      </c>
      <c r="K20" s="39" t="s">
        <v>55</v>
      </c>
      <c r="M20" s="39" t="s">
        <v>67</v>
      </c>
      <c r="N20" s="39" t="s">
        <v>68</v>
      </c>
    </row>
    <row r="21" spans="1:14" x14ac:dyDescent="0.2">
      <c r="A21" s="37" t="s">
        <v>69</v>
      </c>
    </row>
    <row r="22" spans="1:14" x14ac:dyDescent="0.2">
      <c r="M22" s="50"/>
    </row>
    <row r="23" spans="1:14" ht="15" x14ac:dyDescent="0.25">
      <c r="A23" s="37" t="s">
        <v>70</v>
      </c>
      <c r="H23" s="37" t="s">
        <v>22</v>
      </c>
      <c r="I23" s="58">
        <v>45897116.103076115</v>
      </c>
      <c r="J23" s="41">
        <v>2771115516.7069235</v>
      </c>
      <c r="K23" s="37">
        <f t="shared" ref="K23:K28" si="2">I23/J23</f>
        <v>1.6562685974786901E-2</v>
      </c>
      <c r="M23" s="51">
        <f>202237020+15832612</f>
        <v>218069632</v>
      </c>
      <c r="N23" s="42">
        <f t="shared" ref="N23:N28" si="3">K23*M23</f>
        <v>3611818.8354533408</v>
      </c>
    </row>
    <row r="24" spans="1:14" ht="15" x14ac:dyDescent="0.25">
      <c r="A24" s="37" t="s">
        <v>71</v>
      </c>
      <c r="H24" s="37" t="s">
        <v>22</v>
      </c>
      <c r="I24" s="47">
        <v>45897116.103076115</v>
      </c>
      <c r="J24" s="43">
        <f>$J$23</f>
        <v>2771115516.7069235</v>
      </c>
      <c r="K24" s="37">
        <f t="shared" si="2"/>
        <v>1.6562685974786901E-2</v>
      </c>
      <c r="M24" s="52">
        <v>2915340</v>
      </c>
      <c r="N24" s="43">
        <f t="shared" si="3"/>
        <v>48285.860929735245</v>
      </c>
    </row>
    <row r="25" spans="1:14" ht="15" x14ac:dyDescent="0.25">
      <c r="A25" s="37" t="s">
        <v>72</v>
      </c>
      <c r="H25" s="37" t="s">
        <v>22</v>
      </c>
      <c r="I25" s="47">
        <v>45897116.103076115</v>
      </c>
      <c r="J25" s="43">
        <f>$J$23</f>
        <v>2771115516.7069235</v>
      </c>
      <c r="K25" s="37">
        <f t="shared" si="2"/>
        <v>1.6562685974786901E-2</v>
      </c>
      <c r="M25" s="53">
        <v>36661275</v>
      </c>
      <c r="N25" s="43">
        <f t="shared" si="3"/>
        <v>607209.18526030565</v>
      </c>
    </row>
    <row r="26" spans="1:14" ht="15" x14ac:dyDescent="0.25">
      <c r="A26" s="37" t="s">
        <v>73</v>
      </c>
      <c r="H26" s="37" t="s">
        <v>22</v>
      </c>
      <c r="I26" s="47">
        <v>45897116.103076115</v>
      </c>
      <c r="J26" s="43">
        <f>$J$23</f>
        <v>2771115516.7069235</v>
      </c>
      <c r="K26" s="37">
        <f t="shared" si="2"/>
        <v>1.6562685974786901E-2</v>
      </c>
      <c r="M26" s="53">
        <v>13972166</v>
      </c>
      <c r="N26" s="43">
        <f t="shared" si="3"/>
        <v>231416.5978455944</v>
      </c>
    </row>
    <row r="27" spans="1:14" ht="15" x14ac:dyDescent="0.25">
      <c r="A27" s="37" t="s">
        <v>74</v>
      </c>
      <c r="H27" s="37" t="s">
        <v>75</v>
      </c>
      <c r="I27" s="47">
        <v>45897116.103076115</v>
      </c>
      <c r="J27" s="43">
        <f>$J$10-508037556</f>
        <v>854617205.27999997</v>
      </c>
      <c r="K27" s="37">
        <f t="shared" si="2"/>
        <v>5.3704881927855351E-2</v>
      </c>
      <c r="M27" s="53">
        <v>30927920.5776923</v>
      </c>
      <c r="N27" s="43">
        <f t="shared" si="3"/>
        <v>1660980.3228990529</v>
      </c>
    </row>
    <row r="28" spans="1:14" ht="15" x14ac:dyDescent="0.25">
      <c r="A28" s="37" t="s">
        <v>76</v>
      </c>
      <c r="H28" s="37" t="s">
        <v>22</v>
      </c>
      <c r="I28" s="47">
        <v>45897116.103076115</v>
      </c>
      <c r="J28" s="43">
        <f>$J$23</f>
        <v>2771115516.7069235</v>
      </c>
      <c r="K28" s="37">
        <f t="shared" si="2"/>
        <v>1.6562685974786901E-2</v>
      </c>
      <c r="M28" s="53">
        <v>18667667</v>
      </c>
      <c r="N28" s="43">
        <f t="shared" si="3"/>
        <v>309186.70640289225</v>
      </c>
    </row>
    <row r="29" spans="1:14" x14ac:dyDescent="0.2">
      <c r="M29" s="50"/>
      <c r="N29" s="45">
        <f>SUM(N23:N28)</f>
        <v>6468897.5087909214</v>
      </c>
    </row>
    <row r="30" spans="1:14" x14ac:dyDescent="0.2">
      <c r="N30" s="42"/>
    </row>
    <row r="31" spans="1:14" x14ac:dyDescent="0.2">
      <c r="A31" s="88" t="s">
        <v>91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</row>
    <row r="32" spans="1:14" x14ac:dyDescent="0.2">
      <c r="A32" s="88" t="s">
        <v>49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</row>
    <row r="33" spans="1:14" x14ac:dyDescent="0.2">
      <c r="A33" s="88" t="s">
        <v>98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</row>
    <row r="34" spans="1:14" ht="15.75" thickBot="1" x14ac:dyDescent="0.3">
      <c r="A34" s="11"/>
      <c r="B34"/>
      <c r="C34"/>
      <c r="D34"/>
      <c r="E34"/>
      <c r="F34"/>
      <c r="G34"/>
      <c r="H34"/>
      <c r="I34"/>
      <c r="J34"/>
      <c r="K34"/>
      <c r="L34"/>
      <c r="M34"/>
      <c r="N34"/>
    </row>
    <row r="35" spans="1:14" ht="15.75" thickBot="1" x14ac:dyDescent="0.3">
      <c r="A35"/>
      <c r="B35"/>
      <c r="C35"/>
      <c r="D35"/>
      <c r="E35"/>
      <c r="F35"/>
      <c r="G35"/>
      <c r="H35"/>
      <c r="I35" s="90" t="s">
        <v>50</v>
      </c>
      <c r="J35" s="91"/>
      <c r="K35" s="92"/>
      <c r="L35"/>
      <c r="M35"/>
      <c r="N35"/>
    </row>
    <row r="36" spans="1:14" ht="15" x14ac:dyDescent="0.25">
      <c r="A36"/>
      <c r="B36"/>
      <c r="C36"/>
      <c r="D36"/>
      <c r="E36"/>
      <c r="F36"/>
      <c r="G36"/>
      <c r="H36"/>
      <c r="I36" s="4" t="s">
        <v>51</v>
      </c>
      <c r="J36"/>
      <c r="K36"/>
      <c r="L36"/>
      <c r="M36" s="4" t="s">
        <v>21</v>
      </c>
      <c r="N36" s="4" t="s">
        <v>52</v>
      </c>
    </row>
    <row r="37" spans="1:14" ht="15" x14ac:dyDescent="0.25">
      <c r="A37" t="s">
        <v>53</v>
      </c>
      <c r="B37"/>
      <c r="C37"/>
      <c r="D37"/>
      <c r="E37"/>
      <c r="F37"/>
      <c r="G37"/>
      <c r="H37"/>
      <c r="I37" s="4" t="s">
        <v>54</v>
      </c>
      <c r="J37" s="4" t="s">
        <v>21</v>
      </c>
      <c r="K37" s="4" t="s">
        <v>55</v>
      </c>
      <c r="L37"/>
      <c r="M37" s="4" t="s">
        <v>56</v>
      </c>
      <c r="N37" s="4" t="s">
        <v>57</v>
      </c>
    </row>
    <row r="38" spans="1:14" ht="15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</row>
    <row r="39" spans="1:14" ht="15" x14ac:dyDescent="0.25">
      <c r="A39" s="46">
        <v>580</v>
      </c>
      <c r="B39" t="s">
        <v>58</v>
      </c>
      <c r="C39"/>
      <c r="D39"/>
      <c r="E39"/>
      <c r="F39"/>
      <c r="G39"/>
      <c r="H39" t="s">
        <v>59</v>
      </c>
      <c r="I39" s="41">
        <v>1395458.3396090646</v>
      </c>
      <c r="J39" s="41">
        <v>23705895.029375821</v>
      </c>
      <c r="K39" s="37">
        <f t="shared" ref="K39:K45" si="4">I39/J39</f>
        <v>5.886545679375714E-2</v>
      </c>
      <c r="L39"/>
      <c r="M39" s="64">
        <v>1510424.1157263049</v>
      </c>
      <c r="N39" s="56">
        <f>K39*M39</f>
        <v>88911.805524535637</v>
      </c>
    </row>
    <row r="40" spans="1:14" ht="15" x14ac:dyDescent="0.25">
      <c r="A40" s="46">
        <v>588</v>
      </c>
      <c r="B40" t="s">
        <v>60</v>
      </c>
      <c r="C40"/>
      <c r="D40"/>
      <c r="E40"/>
      <c r="F40"/>
      <c r="G40"/>
      <c r="H40" t="s">
        <v>22</v>
      </c>
      <c r="I40" s="43">
        <v>369570280.41230774</v>
      </c>
      <c r="J40" s="43">
        <v>1731597011.3957975</v>
      </c>
      <c r="K40" s="37">
        <f t="shared" si="4"/>
        <v>0.21342741872394794</v>
      </c>
      <c r="L40"/>
      <c r="M40" s="55">
        <v>6743173.0000804961</v>
      </c>
      <c r="N40" s="13">
        <f t="shared" ref="N40:N45" si="5">K40*M40</f>
        <v>1439178.0074162004</v>
      </c>
    </row>
    <row r="41" spans="1:14" ht="15" x14ac:dyDescent="0.25">
      <c r="A41" s="46">
        <v>589</v>
      </c>
      <c r="B41" t="s">
        <v>61</v>
      </c>
      <c r="C41"/>
      <c r="D41"/>
      <c r="E41"/>
      <c r="F41"/>
      <c r="G41"/>
      <c r="H41" t="s">
        <v>22</v>
      </c>
      <c r="I41" s="43">
        <v>369570280.41230774</v>
      </c>
      <c r="J41" s="43">
        <f>J40</f>
        <v>1731597011.3957975</v>
      </c>
      <c r="K41" s="37">
        <f t="shared" si="4"/>
        <v>0.21342741872394794</v>
      </c>
      <c r="L41"/>
      <c r="M41" s="55">
        <v>0</v>
      </c>
      <c r="N41" s="13">
        <f t="shared" si="5"/>
        <v>0</v>
      </c>
    </row>
    <row r="42" spans="1:14" ht="15" x14ac:dyDescent="0.25">
      <c r="A42" s="46">
        <v>590</v>
      </c>
      <c r="B42" t="s">
        <v>62</v>
      </c>
      <c r="C42"/>
      <c r="D42"/>
      <c r="E42"/>
      <c r="F42"/>
      <c r="G42"/>
      <c r="H42" t="s">
        <v>59</v>
      </c>
      <c r="I42" s="43">
        <v>1395458.3396090646</v>
      </c>
      <c r="J42" s="43">
        <f>J39</f>
        <v>23705895.029375821</v>
      </c>
      <c r="K42" s="37">
        <f t="shared" si="4"/>
        <v>5.886545679375714E-2</v>
      </c>
      <c r="L42"/>
      <c r="M42" s="55">
        <v>57449.2177803097</v>
      </c>
      <c r="N42" s="13">
        <f t="shared" si="5"/>
        <v>3381.7744470819653</v>
      </c>
    </row>
    <row r="43" spans="1:14" ht="15" x14ac:dyDescent="0.25">
      <c r="A43" s="46">
        <v>598</v>
      </c>
      <c r="B43" t="s">
        <v>63</v>
      </c>
      <c r="C43"/>
      <c r="D43"/>
      <c r="E43"/>
      <c r="F43"/>
      <c r="G43"/>
      <c r="H43" t="s">
        <v>22</v>
      </c>
      <c r="I43" s="43">
        <v>369570280.41230774</v>
      </c>
      <c r="J43" s="43">
        <f>J40</f>
        <v>1731597011.3957975</v>
      </c>
      <c r="K43" s="37">
        <f t="shared" si="4"/>
        <v>0.21342741872394794</v>
      </c>
      <c r="L43"/>
      <c r="M43" s="55">
        <v>550313.71965749969</v>
      </c>
      <c r="N43" s="13">
        <f t="shared" si="5"/>
        <v>117452.03667487449</v>
      </c>
    </row>
    <row r="44" spans="1:14" ht="15" x14ac:dyDescent="0.25">
      <c r="A44" s="46">
        <v>904</v>
      </c>
      <c r="B44" t="s">
        <v>64</v>
      </c>
      <c r="C44"/>
      <c r="D44"/>
      <c r="E44"/>
      <c r="F44"/>
      <c r="G44"/>
      <c r="H44" t="s">
        <v>22</v>
      </c>
      <c r="I44" s="43">
        <v>369570280.41230774</v>
      </c>
      <c r="J44" s="43">
        <f>J43</f>
        <v>1731597011.3957975</v>
      </c>
      <c r="K44" s="37">
        <f t="shared" si="4"/>
        <v>0.21342741872394794</v>
      </c>
      <c r="L44"/>
      <c r="M44" s="55">
        <v>5566156.8585578762</v>
      </c>
      <c r="N44" s="13">
        <f t="shared" si="5"/>
        <v>1187970.4905346064</v>
      </c>
    </row>
    <row r="45" spans="1:14" ht="15" x14ac:dyDescent="0.25">
      <c r="A45" s="46">
        <v>905</v>
      </c>
      <c r="B45" t="s">
        <v>65</v>
      </c>
      <c r="C45"/>
      <c r="D45"/>
      <c r="E45"/>
      <c r="F45"/>
      <c r="G45"/>
      <c r="H45" t="s">
        <v>22</v>
      </c>
      <c r="I45" s="43">
        <v>369570280.41230774</v>
      </c>
      <c r="J45" s="43">
        <f>J44</f>
        <v>1731597011.3957975</v>
      </c>
      <c r="K45" s="37">
        <f t="shared" si="4"/>
        <v>0.21342741872394794</v>
      </c>
      <c r="L45"/>
      <c r="M45" s="55">
        <v>0</v>
      </c>
      <c r="N45" s="13">
        <f t="shared" si="5"/>
        <v>0</v>
      </c>
    </row>
    <row r="46" spans="1:14" ht="15" x14ac:dyDescent="0.25">
      <c r="A46" s="46"/>
      <c r="B46"/>
      <c r="C46"/>
      <c r="D46"/>
      <c r="E46"/>
      <c r="F46"/>
      <c r="G46"/>
      <c r="H46"/>
      <c r="I46" s="43"/>
      <c r="J46" s="43"/>
      <c r="K46"/>
      <c r="L46"/>
      <c r="M46"/>
      <c r="N46" s="57">
        <f>SUM(N39:N45)</f>
        <v>2836894.1145972991</v>
      </c>
    </row>
    <row r="47" spans="1:14" ht="15.75" thickBot="1" x14ac:dyDescent="0.3">
      <c r="A47" s="46"/>
      <c r="B47"/>
      <c r="C47"/>
      <c r="D47"/>
      <c r="E47"/>
      <c r="F47"/>
      <c r="G47"/>
      <c r="H47"/>
      <c r="I47"/>
      <c r="J47" s="43"/>
      <c r="K47"/>
      <c r="L47"/>
      <c r="M47"/>
      <c r="N47" s="13"/>
    </row>
    <row r="48" spans="1:14" ht="15.75" thickBot="1" x14ac:dyDescent="0.3">
      <c r="A48"/>
      <c r="B48"/>
      <c r="C48"/>
      <c r="D48"/>
      <c r="E48"/>
      <c r="F48"/>
      <c r="G48"/>
      <c r="H48"/>
      <c r="I48" s="90" t="s">
        <v>50</v>
      </c>
      <c r="J48" s="91"/>
      <c r="K48" s="92"/>
      <c r="L48"/>
      <c r="M48"/>
      <c r="N48" s="4" t="s">
        <v>66</v>
      </c>
    </row>
    <row r="49" spans="1:14" ht="15" x14ac:dyDescent="0.25">
      <c r="A49"/>
      <c r="B49"/>
      <c r="C49"/>
      <c r="D49"/>
      <c r="E49"/>
      <c r="F49"/>
      <c r="G49"/>
      <c r="H49"/>
      <c r="I49" s="4" t="s">
        <v>51</v>
      </c>
      <c r="J49"/>
      <c r="K49"/>
      <c r="L49"/>
      <c r="M49" s="4"/>
      <c r="N49" s="4" t="s">
        <v>51</v>
      </c>
    </row>
    <row r="50" spans="1:14" ht="15" x14ac:dyDescent="0.25">
      <c r="A50"/>
      <c r="B50"/>
      <c r="C50"/>
      <c r="D50"/>
      <c r="E50"/>
      <c r="F50"/>
      <c r="G50"/>
      <c r="H50"/>
      <c r="I50" s="4" t="s">
        <v>54</v>
      </c>
      <c r="J50" s="4" t="s">
        <v>21</v>
      </c>
      <c r="K50" s="4" t="s">
        <v>55</v>
      </c>
      <c r="L50"/>
      <c r="M50" s="4" t="s">
        <v>67</v>
      </c>
      <c r="N50" s="4" t="s">
        <v>68</v>
      </c>
    </row>
    <row r="51" spans="1:14" ht="15" x14ac:dyDescent="0.25">
      <c r="A51" t="s">
        <v>69</v>
      </c>
      <c r="B51"/>
      <c r="C51"/>
      <c r="D51"/>
      <c r="E51"/>
      <c r="F51"/>
      <c r="G51"/>
      <c r="H51"/>
      <c r="I51"/>
      <c r="J51"/>
      <c r="K51"/>
      <c r="L51"/>
      <c r="M51"/>
      <c r="N51"/>
    </row>
    <row r="52" spans="1:14" ht="15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</row>
    <row r="53" spans="1:14" ht="15" x14ac:dyDescent="0.25">
      <c r="A53" t="s">
        <v>70</v>
      </c>
      <c r="B53"/>
      <c r="C53"/>
      <c r="D53"/>
      <c r="E53"/>
      <c r="F53"/>
      <c r="G53"/>
      <c r="H53" t="s">
        <v>22</v>
      </c>
      <c r="I53" s="41">
        <v>96741485.639587581</v>
      </c>
      <c r="J53" s="41">
        <v>4389914414.9695377</v>
      </c>
      <c r="K53">
        <f t="shared" ref="K53:K58" si="6">I53/J53</f>
        <v>2.2037214509171447E-2</v>
      </c>
      <c r="L53"/>
      <c r="M53" s="51">
        <v>177535195.75450593</v>
      </c>
      <c r="N53" s="56">
        <f t="shared" ref="N53:N58" si="7">K53*M53</f>
        <v>3912381.1917697913</v>
      </c>
    </row>
    <row r="54" spans="1:14" ht="15" x14ac:dyDescent="0.25">
      <c r="A54" t="s">
        <v>71</v>
      </c>
      <c r="B54"/>
      <c r="C54"/>
      <c r="D54"/>
      <c r="E54"/>
      <c r="F54"/>
      <c r="G54"/>
      <c r="H54" t="s">
        <v>22</v>
      </c>
      <c r="I54" s="43">
        <v>96741485.639587581</v>
      </c>
      <c r="J54" s="43">
        <f>$J$53</f>
        <v>4389914414.9695377</v>
      </c>
      <c r="K54">
        <f t="shared" si="6"/>
        <v>2.2037214509171447E-2</v>
      </c>
      <c r="L54"/>
      <c r="M54" s="66">
        <f>384971</f>
        <v>384971</v>
      </c>
      <c r="N54" s="43">
        <f t="shared" si="7"/>
        <v>8483.688506810242</v>
      </c>
    </row>
    <row r="55" spans="1:14" ht="15" x14ac:dyDescent="0.25">
      <c r="A55" t="s">
        <v>72</v>
      </c>
      <c r="B55"/>
      <c r="C55"/>
      <c r="D55"/>
      <c r="E55"/>
      <c r="F55"/>
      <c r="G55"/>
      <c r="H55" t="s">
        <v>22</v>
      </c>
      <c r="I55" s="43">
        <v>96741485.639587581</v>
      </c>
      <c r="J55" s="43">
        <f>$J$53</f>
        <v>4389914414.9695377</v>
      </c>
      <c r="K55">
        <f t="shared" si="6"/>
        <v>2.2037214509171447E-2</v>
      </c>
      <c r="L55"/>
      <c r="M55" s="66">
        <v>119808343.75715747</v>
      </c>
      <c r="N55" s="43">
        <f t="shared" si="7"/>
        <v>2640242.171365031</v>
      </c>
    </row>
    <row r="56" spans="1:14" ht="15" x14ac:dyDescent="0.25">
      <c r="A56" t="s">
        <v>73</v>
      </c>
      <c r="B56"/>
      <c r="C56"/>
      <c r="D56"/>
      <c r="E56"/>
      <c r="F56"/>
      <c r="G56"/>
      <c r="H56" t="s">
        <v>22</v>
      </c>
      <c r="I56" s="43">
        <v>96741485.639587581</v>
      </c>
      <c r="J56" s="43">
        <f>$J$53</f>
        <v>4389914414.9695377</v>
      </c>
      <c r="K56">
        <f t="shared" si="6"/>
        <v>2.2037214509171447E-2</v>
      </c>
      <c r="L56"/>
      <c r="M56" s="66">
        <v>16171253.692540465</v>
      </c>
      <c r="N56" s="43">
        <f t="shared" si="7"/>
        <v>356369.38650474505</v>
      </c>
    </row>
    <row r="57" spans="1:14" ht="15" x14ac:dyDescent="0.25">
      <c r="A57" t="s">
        <v>74</v>
      </c>
      <c r="B57"/>
      <c r="C57"/>
      <c r="D57"/>
      <c r="E57"/>
      <c r="F57"/>
      <c r="G57"/>
      <c r="H57" t="s">
        <v>75</v>
      </c>
      <c r="I57" s="43">
        <v>96741485.639587581</v>
      </c>
      <c r="J57" s="43">
        <f>$J$40-637170341</f>
        <v>1094426670.3957975</v>
      </c>
      <c r="K57">
        <f t="shared" si="6"/>
        <v>8.8394671161112326E-2</v>
      </c>
      <c r="L57"/>
      <c r="M57" s="66">
        <v>32868652.481538456</v>
      </c>
      <c r="N57" s="43">
        <f t="shared" si="7"/>
        <v>2905413.7276144703</v>
      </c>
    </row>
    <row r="58" spans="1:14" ht="15" x14ac:dyDescent="0.25">
      <c r="A58" t="s">
        <v>76</v>
      </c>
      <c r="B58"/>
      <c r="C58"/>
      <c r="D58"/>
      <c r="E58"/>
      <c r="F58"/>
      <c r="G58"/>
      <c r="H58" t="s">
        <v>22</v>
      </c>
      <c r="I58" s="43">
        <v>96741485.639587581</v>
      </c>
      <c r="J58" s="43">
        <f>$J$53</f>
        <v>4389914414.9695377</v>
      </c>
      <c r="K58">
        <f t="shared" si="6"/>
        <v>2.2037214509171447E-2</v>
      </c>
      <c r="L58"/>
      <c r="M58" s="66">
        <v>27491295.652346555</v>
      </c>
      <c r="N58" s="43">
        <f t="shared" si="7"/>
        <v>605831.5794258134</v>
      </c>
    </row>
    <row r="59" spans="1:14" ht="15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 s="57">
        <f>SUM(N53:N58)</f>
        <v>10428721.745186662</v>
      </c>
    </row>
    <row r="61" spans="1:14" x14ac:dyDescent="0.2">
      <c r="A61" s="89" t="s">
        <v>48</v>
      </c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</row>
    <row r="62" spans="1:14" x14ac:dyDescent="0.2">
      <c r="A62" s="89" t="s">
        <v>49</v>
      </c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</row>
    <row r="63" spans="1:14" x14ac:dyDescent="0.2">
      <c r="A63" s="89" t="s">
        <v>99</v>
      </c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</row>
    <row r="64" spans="1:14" ht="13.5" thickBot="1" x14ac:dyDescent="0.25">
      <c r="A64" s="38"/>
    </row>
    <row r="65" spans="1:14" ht="15.75" thickBot="1" x14ac:dyDescent="0.3">
      <c r="I65" s="93" t="s">
        <v>50</v>
      </c>
      <c r="J65" s="94"/>
      <c r="K65" s="95"/>
    </row>
    <row r="66" spans="1:14" ht="15" x14ac:dyDescent="0.25">
      <c r="I66" s="39" t="s">
        <v>51</v>
      </c>
      <c r="M66" s="39" t="s">
        <v>21</v>
      </c>
      <c r="N66" s="39" t="s">
        <v>52</v>
      </c>
    </row>
    <row r="67" spans="1:14" ht="15" x14ac:dyDescent="0.25">
      <c r="A67" s="37" t="s">
        <v>53</v>
      </c>
      <c r="I67" s="39" t="s">
        <v>101</v>
      </c>
      <c r="J67" s="39" t="s">
        <v>21</v>
      </c>
      <c r="K67" s="39" t="s">
        <v>55</v>
      </c>
      <c r="M67" s="39" t="s">
        <v>56</v>
      </c>
      <c r="N67" s="39" t="s">
        <v>57</v>
      </c>
    </row>
    <row r="69" spans="1:14" ht="15" x14ac:dyDescent="0.25">
      <c r="A69" s="40">
        <v>580</v>
      </c>
      <c r="B69" s="37" t="s">
        <v>58</v>
      </c>
      <c r="H69" s="37" t="s">
        <v>59</v>
      </c>
      <c r="I69" s="41">
        <v>403600</v>
      </c>
      <c r="J69" s="41">
        <v>12780969</v>
      </c>
      <c r="K69" s="65">
        <f t="shared" ref="K69:K75" si="8">I69/J69</f>
        <v>3.1578200369627683E-2</v>
      </c>
      <c r="M69" s="51">
        <v>1814624</v>
      </c>
      <c r="N69" s="42">
        <f>K69*M69</f>
        <v>57302.560267535264</v>
      </c>
    </row>
    <row r="70" spans="1:14" ht="15" x14ac:dyDescent="0.25">
      <c r="A70" s="40">
        <v>588</v>
      </c>
      <c r="B70" s="37" t="s">
        <v>60</v>
      </c>
      <c r="H70" s="37" t="s">
        <v>22</v>
      </c>
      <c r="I70" s="47">
        <v>107228926.06000003</v>
      </c>
      <c r="J70" s="43">
        <v>1362654761.28</v>
      </c>
      <c r="K70" s="65">
        <f t="shared" si="8"/>
        <v>7.8691190980226949E-2</v>
      </c>
      <c r="M70" s="54">
        <v>5593730</v>
      </c>
      <c r="N70" s="44">
        <f t="shared" ref="N70:N75" si="9">K70*M70</f>
        <v>440177.2757218249</v>
      </c>
    </row>
    <row r="71" spans="1:14" ht="15" x14ac:dyDescent="0.25">
      <c r="A71" s="40">
        <v>589</v>
      </c>
      <c r="B71" s="37" t="s">
        <v>61</v>
      </c>
      <c r="H71" s="37" t="s">
        <v>22</v>
      </c>
      <c r="I71" s="47">
        <v>107228926.06000003</v>
      </c>
      <c r="J71" s="43">
        <f>$J$10</f>
        <v>1362654761.28</v>
      </c>
      <c r="K71" s="65">
        <f t="shared" si="8"/>
        <v>7.8691190980226949E-2</v>
      </c>
      <c r="M71" s="55">
        <v>8165</v>
      </c>
      <c r="N71" s="44">
        <f t="shared" si="9"/>
        <v>642.51357435355305</v>
      </c>
    </row>
    <row r="72" spans="1:14" ht="15" x14ac:dyDescent="0.25">
      <c r="A72" s="40">
        <v>590</v>
      </c>
      <c r="B72" s="37" t="s">
        <v>62</v>
      </c>
      <c r="H72" s="37" t="s">
        <v>59</v>
      </c>
      <c r="I72" s="47">
        <v>403600</v>
      </c>
      <c r="J72" s="41">
        <f>J69</f>
        <v>12780969</v>
      </c>
      <c r="K72" s="65">
        <f t="shared" si="8"/>
        <v>3.1578200369627683E-2</v>
      </c>
      <c r="M72" s="55">
        <v>77850</v>
      </c>
      <c r="N72" s="44">
        <f t="shared" si="9"/>
        <v>2458.3628987755151</v>
      </c>
    </row>
    <row r="73" spans="1:14" ht="15" x14ac:dyDescent="0.25">
      <c r="A73" s="40">
        <v>598</v>
      </c>
      <c r="B73" s="37" t="s">
        <v>63</v>
      </c>
      <c r="H73" s="37" t="s">
        <v>22</v>
      </c>
      <c r="I73" s="47">
        <v>107228926.06000003</v>
      </c>
      <c r="J73" s="43">
        <f>$J$10</f>
        <v>1362654761.28</v>
      </c>
      <c r="K73" s="65">
        <f t="shared" si="8"/>
        <v>7.8691190980226949E-2</v>
      </c>
      <c r="M73" s="55">
        <v>671832</v>
      </c>
      <c r="N73" s="44">
        <f t="shared" si="9"/>
        <v>52867.260218627831</v>
      </c>
    </row>
    <row r="74" spans="1:14" ht="15" x14ac:dyDescent="0.25">
      <c r="A74" s="40">
        <v>904</v>
      </c>
      <c r="B74" s="37" t="s">
        <v>64</v>
      </c>
      <c r="H74" s="37" t="s">
        <v>22</v>
      </c>
      <c r="I74" s="47">
        <v>107228926.06000003</v>
      </c>
      <c r="J74" s="43">
        <f>$J$10</f>
        <v>1362654761.28</v>
      </c>
      <c r="K74" s="65">
        <f t="shared" si="8"/>
        <v>7.8691190980226949E-2</v>
      </c>
      <c r="M74" s="55">
        <v>2480504.5265672347</v>
      </c>
      <c r="N74" s="44">
        <f t="shared" si="9"/>
        <v>195193.85542741971</v>
      </c>
    </row>
    <row r="75" spans="1:14" ht="15" x14ac:dyDescent="0.25">
      <c r="A75" s="40">
        <v>905</v>
      </c>
      <c r="B75" s="37" t="s">
        <v>65</v>
      </c>
      <c r="H75" s="37" t="s">
        <v>22</v>
      </c>
      <c r="I75" s="47">
        <v>107228926.06000003</v>
      </c>
      <c r="J75" s="43">
        <f>$J$10</f>
        <v>1362654761.28</v>
      </c>
      <c r="K75" s="65">
        <f t="shared" si="8"/>
        <v>7.8691190980226949E-2</v>
      </c>
      <c r="M75" s="55">
        <v>1288</v>
      </c>
      <c r="N75" s="44">
        <f t="shared" si="9"/>
        <v>101.35425398253231</v>
      </c>
    </row>
    <row r="76" spans="1:14" ht="15" x14ac:dyDescent="0.25">
      <c r="A76" s="40"/>
      <c r="I76" s="43"/>
      <c r="J76" s="43"/>
      <c r="N76" s="45">
        <f>SUM(N69:N75)</f>
        <v>748743.18236251932</v>
      </c>
    </row>
    <row r="77" spans="1:14" ht="15.75" thickBot="1" x14ac:dyDescent="0.3">
      <c r="A77" s="40"/>
      <c r="J77" s="43"/>
      <c r="N77" s="44"/>
    </row>
    <row r="78" spans="1:14" ht="15.75" thickBot="1" x14ac:dyDescent="0.3">
      <c r="I78" s="93" t="s">
        <v>50</v>
      </c>
      <c r="J78" s="94"/>
      <c r="K78" s="95"/>
      <c r="N78" s="39" t="s">
        <v>66</v>
      </c>
    </row>
    <row r="79" spans="1:14" ht="15" x14ac:dyDescent="0.25">
      <c r="I79" s="39" t="s">
        <v>51</v>
      </c>
      <c r="M79" s="39"/>
      <c r="N79" s="39" t="s">
        <v>51</v>
      </c>
    </row>
    <row r="80" spans="1:14" ht="15" x14ac:dyDescent="0.25">
      <c r="I80" s="39" t="s">
        <v>54</v>
      </c>
      <c r="J80" s="39" t="s">
        <v>21</v>
      </c>
      <c r="K80" s="39" t="s">
        <v>55</v>
      </c>
      <c r="M80" s="39" t="s">
        <v>67</v>
      </c>
      <c r="N80" s="39" t="s">
        <v>68</v>
      </c>
    </row>
    <row r="81" spans="1:14" x14ac:dyDescent="0.2">
      <c r="A81" s="37" t="s">
        <v>69</v>
      </c>
    </row>
    <row r="82" spans="1:14" x14ac:dyDescent="0.2">
      <c r="M82" s="50"/>
    </row>
    <row r="83" spans="1:14" ht="15" x14ac:dyDescent="0.25">
      <c r="A83" s="37" t="s">
        <v>70</v>
      </c>
      <c r="H83" s="37" t="s">
        <v>22</v>
      </c>
      <c r="I83" s="58">
        <v>47226073.93077527</v>
      </c>
      <c r="J83" s="41">
        <f>J23</f>
        <v>2771115516.7069235</v>
      </c>
      <c r="K83" s="37">
        <f t="shared" ref="K83:K88" si="10">I83/J83</f>
        <v>1.7042261012235514E-2</v>
      </c>
      <c r="M83" s="51">
        <f>202237020+15832612</f>
        <v>218069632</v>
      </c>
      <c r="N83" s="42">
        <f t="shared" ref="N83:N88" si="11">K83*M83</f>
        <v>3716399.5873861462</v>
      </c>
    </row>
    <row r="84" spans="1:14" ht="15" x14ac:dyDescent="0.25">
      <c r="A84" s="37" t="s">
        <v>71</v>
      </c>
      <c r="H84" s="37" t="s">
        <v>22</v>
      </c>
      <c r="I84" s="47">
        <v>47226073.93077527</v>
      </c>
      <c r="J84" s="43">
        <f>$J$23</f>
        <v>2771115516.7069235</v>
      </c>
      <c r="K84" s="37">
        <f t="shared" si="10"/>
        <v>1.7042261012235514E-2</v>
      </c>
      <c r="M84" s="52">
        <v>2915340</v>
      </c>
      <c r="N84" s="43">
        <f t="shared" si="11"/>
        <v>49683.985219410686</v>
      </c>
    </row>
    <row r="85" spans="1:14" ht="15" x14ac:dyDescent="0.25">
      <c r="A85" s="37" t="s">
        <v>72</v>
      </c>
      <c r="H85" s="37" t="s">
        <v>22</v>
      </c>
      <c r="I85" s="47">
        <v>47226073.93077527</v>
      </c>
      <c r="J85" s="43">
        <f>$J$23</f>
        <v>2771115516.7069235</v>
      </c>
      <c r="K85" s="37">
        <f t="shared" si="10"/>
        <v>1.7042261012235514E-2</v>
      </c>
      <c r="M85" s="53">
        <v>36661275</v>
      </c>
      <c r="N85" s="43">
        <f t="shared" si="11"/>
        <v>624791.01759134454</v>
      </c>
    </row>
    <row r="86" spans="1:14" ht="15" x14ac:dyDescent="0.25">
      <c r="A86" s="37" t="s">
        <v>73</v>
      </c>
      <c r="H86" s="37" t="s">
        <v>22</v>
      </c>
      <c r="I86" s="47">
        <v>47226073.93077527</v>
      </c>
      <c r="J86" s="43">
        <f>$J$23</f>
        <v>2771115516.7069235</v>
      </c>
      <c r="K86" s="37">
        <f t="shared" si="10"/>
        <v>1.7042261012235514E-2</v>
      </c>
      <c r="M86" s="53">
        <v>13972166</v>
      </c>
      <c r="N86" s="43">
        <f t="shared" si="11"/>
        <v>238117.29987828265</v>
      </c>
    </row>
    <row r="87" spans="1:14" ht="15" x14ac:dyDescent="0.25">
      <c r="A87" s="37" t="s">
        <v>74</v>
      </c>
      <c r="H87" s="37" t="s">
        <v>75</v>
      </c>
      <c r="I87" s="47">
        <v>47226073.93077527</v>
      </c>
      <c r="J87" s="43">
        <f>J27</f>
        <v>854617205.27999997</v>
      </c>
      <c r="K87" s="37">
        <f t="shared" si="10"/>
        <v>5.5259914777052138E-2</v>
      </c>
      <c r="M87" s="53">
        <v>30927920.5776923</v>
      </c>
      <c r="N87" s="43">
        <f t="shared" si="11"/>
        <v>1709074.2553547136</v>
      </c>
    </row>
    <row r="88" spans="1:14" ht="15" x14ac:dyDescent="0.25">
      <c r="A88" s="37" t="s">
        <v>76</v>
      </c>
      <c r="H88" s="37" t="s">
        <v>22</v>
      </c>
      <c r="I88" s="47">
        <v>47226073.93077527</v>
      </c>
      <c r="J88" s="43">
        <f>$J$23</f>
        <v>2771115516.7069235</v>
      </c>
      <c r="K88" s="37">
        <f t="shared" si="10"/>
        <v>1.7042261012235514E-2</v>
      </c>
      <c r="M88" s="53">
        <v>18667667</v>
      </c>
      <c r="N88" s="43">
        <f t="shared" si="11"/>
        <v>318139.25350349548</v>
      </c>
    </row>
    <row r="89" spans="1:14" x14ac:dyDescent="0.2">
      <c r="M89" s="50"/>
      <c r="N89" s="45">
        <f>SUM(N83:N88)</f>
        <v>6656205.3989333929</v>
      </c>
    </row>
    <row r="90" spans="1:14" x14ac:dyDescent="0.2">
      <c r="N90" s="42"/>
    </row>
    <row r="91" spans="1:14" x14ac:dyDescent="0.2">
      <c r="A91" s="88" t="s">
        <v>91</v>
      </c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</row>
    <row r="92" spans="1:14" x14ac:dyDescent="0.2">
      <c r="A92" s="88" t="s">
        <v>49</v>
      </c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</row>
    <row r="93" spans="1:14" x14ac:dyDescent="0.2">
      <c r="A93" s="89" t="s">
        <v>99</v>
      </c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</row>
    <row r="94" spans="1:14" ht="15.75" thickBot="1" x14ac:dyDescent="0.3">
      <c r="A94" s="11"/>
      <c r="B94"/>
      <c r="C94"/>
      <c r="D94"/>
      <c r="E94"/>
      <c r="F94"/>
      <c r="G94"/>
      <c r="H94"/>
      <c r="I94"/>
      <c r="J94"/>
      <c r="K94"/>
      <c r="L94"/>
      <c r="M94"/>
      <c r="N94"/>
    </row>
    <row r="95" spans="1:14" ht="15.75" thickBot="1" x14ac:dyDescent="0.3">
      <c r="A95"/>
      <c r="B95"/>
      <c r="C95"/>
      <c r="D95"/>
      <c r="E95"/>
      <c r="F95"/>
      <c r="G95"/>
      <c r="H95"/>
      <c r="I95" s="90" t="s">
        <v>50</v>
      </c>
      <c r="J95" s="91"/>
      <c r="K95" s="92"/>
      <c r="L95"/>
      <c r="M95"/>
      <c r="N95"/>
    </row>
    <row r="96" spans="1:14" ht="15" x14ac:dyDescent="0.25">
      <c r="A96"/>
      <c r="B96"/>
      <c r="C96"/>
      <c r="D96"/>
      <c r="E96"/>
      <c r="F96"/>
      <c r="G96"/>
      <c r="H96"/>
      <c r="I96" s="4" t="s">
        <v>51</v>
      </c>
      <c r="J96"/>
      <c r="K96"/>
      <c r="L96"/>
      <c r="M96" s="4" t="s">
        <v>21</v>
      </c>
      <c r="N96" s="4" t="s">
        <v>52</v>
      </c>
    </row>
    <row r="97" spans="1:14" ht="15" x14ac:dyDescent="0.25">
      <c r="A97" t="s">
        <v>53</v>
      </c>
      <c r="B97"/>
      <c r="C97"/>
      <c r="D97"/>
      <c r="E97"/>
      <c r="F97"/>
      <c r="G97"/>
      <c r="H97"/>
      <c r="I97" s="4" t="s">
        <v>54</v>
      </c>
      <c r="J97" s="4" t="s">
        <v>21</v>
      </c>
      <c r="K97" s="4" t="s">
        <v>55</v>
      </c>
      <c r="L97"/>
      <c r="M97" s="4" t="s">
        <v>56</v>
      </c>
      <c r="N97" s="4" t="s">
        <v>57</v>
      </c>
    </row>
    <row r="98" spans="1:14" ht="15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</row>
    <row r="99" spans="1:14" ht="15" x14ac:dyDescent="0.25">
      <c r="A99" s="46">
        <v>580</v>
      </c>
      <c r="B99" t="s">
        <v>58</v>
      </c>
      <c r="C99"/>
      <c r="D99"/>
      <c r="E99"/>
      <c r="F99"/>
      <c r="G99"/>
      <c r="H99" t="s">
        <v>59</v>
      </c>
      <c r="I99" s="41">
        <v>413801.70867297339</v>
      </c>
      <c r="J99" s="41">
        <f>J39</f>
        <v>23705895.029375821</v>
      </c>
      <c r="K99" s="37">
        <f t="shared" ref="K99:K105" si="12">I99/J99</f>
        <v>1.7455645870371038E-2</v>
      </c>
      <c r="L99"/>
      <c r="M99" s="64">
        <f>M39</f>
        <v>1510424.1157263049</v>
      </c>
      <c r="N99" s="56">
        <f>K99*M99</f>
        <v>26365.428478186703</v>
      </c>
    </row>
    <row r="100" spans="1:14" ht="15" x14ac:dyDescent="0.25">
      <c r="A100" s="46">
        <v>588</v>
      </c>
      <c r="B100" t="s">
        <v>60</v>
      </c>
      <c r="C100"/>
      <c r="D100"/>
      <c r="E100"/>
      <c r="F100"/>
      <c r="G100"/>
      <c r="H100" t="s">
        <v>22</v>
      </c>
      <c r="I100" s="43">
        <v>2210225.1499999994</v>
      </c>
      <c r="J100" s="43">
        <v>1731597011.3957975</v>
      </c>
      <c r="K100" s="37">
        <f t="shared" si="12"/>
        <v>1.276408503511098E-3</v>
      </c>
      <c r="L100"/>
      <c r="M100" s="70">
        <f t="shared" ref="M100:M105" si="13">M40</f>
        <v>6743173.0000804961</v>
      </c>
      <c r="N100" s="13">
        <f t="shared" ref="N100:N105" si="14">K100*M100</f>
        <v>8607.0433579491873</v>
      </c>
    </row>
    <row r="101" spans="1:14" ht="15" x14ac:dyDescent="0.25">
      <c r="A101" s="46">
        <v>589</v>
      </c>
      <c r="B101" t="s">
        <v>61</v>
      </c>
      <c r="C101"/>
      <c r="D101"/>
      <c r="E101"/>
      <c r="F101"/>
      <c r="G101"/>
      <c r="H101" t="s">
        <v>22</v>
      </c>
      <c r="I101" s="43">
        <v>2210225.1499999994</v>
      </c>
      <c r="J101" s="43">
        <f>J100</f>
        <v>1731597011.3957975</v>
      </c>
      <c r="K101" s="37">
        <f t="shared" si="12"/>
        <v>1.276408503511098E-3</v>
      </c>
      <c r="L101"/>
      <c r="M101" s="70">
        <f t="shared" si="13"/>
        <v>0</v>
      </c>
      <c r="N101" s="13">
        <f t="shared" si="14"/>
        <v>0</v>
      </c>
    </row>
    <row r="102" spans="1:14" ht="15" x14ac:dyDescent="0.25">
      <c r="A102" s="46">
        <v>590</v>
      </c>
      <c r="B102" t="s">
        <v>62</v>
      </c>
      <c r="C102"/>
      <c r="D102"/>
      <c r="E102"/>
      <c r="F102"/>
      <c r="G102"/>
      <c r="H102" t="s">
        <v>59</v>
      </c>
      <c r="I102" s="43">
        <v>413801.70867297339</v>
      </c>
      <c r="J102" s="43">
        <f>J99</f>
        <v>23705895.029375821</v>
      </c>
      <c r="K102" s="37">
        <f t="shared" si="12"/>
        <v>1.7455645870371038E-2</v>
      </c>
      <c r="L102"/>
      <c r="M102" s="70">
        <f t="shared" si="13"/>
        <v>57449.2177803097</v>
      </c>
      <c r="N102" s="13">
        <f t="shared" si="14"/>
        <v>1002.8132011029094</v>
      </c>
    </row>
    <row r="103" spans="1:14" ht="15" x14ac:dyDescent="0.25">
      <c r="A103" s="46">
        <v>598</v>
      </c>
      <c r="B103" t="s">
        <v>63</v>
      </c>
      <c r="C103"/>
      <c r="D103"/>
      <c r="E103"/>
      <c r="F103"/>
      <c r="G103"/>
      <c r="H103" t="s">
        <v>22</v>
      </c>
      <c r="I103" s="43">
        <v>2210225.1499999994</v>
      </c>
      <c r="J103" s="43">
        <f>J100</f>
        <v>1731597011.3957975</v>
      </c>
      <c r="K103" s="37">
        <f t="shared" si="12"/>
        <v>1.276408503511098E-3</v>
      </c>
      <c r="L103"/>
      <c r="M103" s="70">
        <f t="shared" si="13"/>
        <v>550313.71965749969</v>
      </c>
      <c r="N103" s="13">
        <f t="shared" si="14"/>
        <v>702.42511136965504</v>
      </c>
    </row>
    <row r="104" spans="1:14" ht="15" x14ac:dyDescent="0.25">
      <c r="A104" s="46">
        <v>904</v>
      </c>
      <c r="B104" t="s">
        <v>64</v>
      </c>
      <c r="C104"/>
      <c r="D104"/>
      <c r="E104"/>
      <c r="F104"/>
      <c r="G104"/>
      <c r="H104" t="s">
        <v>22</v>
      </c>
      <c r="I104" s="43">
        <v>2210225.1499999994</v>
      </c>
      <c r="J104" s="43">
        <f>J103</f>
        <v>1731597011.3957975</v>
      </c>
      <c r="K104" s="37">
        <f t="shared" si="12"/>
        <v>1.276408503511098E-3</v>
      </c>
      <c r="L104"/>
      <c r="M104" s="70">
        <f t="shared" si="13"/>
        <v>5566156.8585578762</v>
      </c>
      <c r="N104" s="13">
        <f t="shared" si="14"/>
        <v>7104.6899461398934</v>
      </c>
    </row>
    <row r="105" spans="1:14" ht="15" x14ac:dyDescent="0.25">
      <c r="A105" s="46">
        <v>905</v>
      </c>
      <c r="B105" t="s">
        <v>65</v>
      </c>
      <c r="C105"/>
      <c r="D105"/>
      <c r="E105"/>
      <c r="F105"/>
      <c r="G105"/>
      <c r="H105" t="s">
        <v>22</v>
      </c>
      <c r="I105" s="43">
        <v>2210225.1499999994</v>
      </c>
      <c r="J105" s="43">
        <f>J104</f>
        <v>1731597011.3957975</v>
      </c>
      <c r="K105" s="37">
        <f t="shared" si="12"/>
        <v>1.276408503511098E-3</v>
      </c>
      <c r="L105"/>
      <c r="M105" s="70">
        <f t="shared" si="13"/>
        <v>0</v>
      </c>
      <c r="N105" s="13">
        <f t="shared" si="14"/>
        <v>0</v>
      </c>
    </row>
    <row r="106" spans="1:14" ht="15" x14ac:dyDescent="0.25">
      <c r="A106" s="46"/>
      <c r="B106"/>
      <c r="C106"/>
      <c r="D106"/>
      <c r="E106"/>
      <c r="F106"/>
      <c r="G106"/>
      <c r="H106"/>
      <c r="I106" s="43"/>
      <c r="J106" s="43"/>
      <c r="K106"/>
      <c r="L106"/>
      <c r="M106"/>
      <c r="N106" s="57">
        <f>SUM(N99:N105)</f>
        <v>43782.400094748344</v>
      </c>
    </row>
    <row r="107" spans="1:14" ht="15.75" thickBot="1" x14ac:dyDescent="0.3">
      <c r="A107" s="46"/>
      <c r="B107"/>
      <c r="C107"/>
      <c r="D107"/>
      <c r="E107"/>
      <c r="F107"/>
      <c r="G107"/>
      <c r="H107"/>
      <c r="I107"/>
      <c r="J107" s="43"/>
      <c r="K107"/>
      <c r="L107"/>
      <c r="M107"/>
      <c r="N107" s="13"/>
    </row>
    <row r="108" spans="1:14" ht="15.75" thickBot="1" x14ac:dyDescent="0.3">
      <c r="A108"/>
      <c r="B108"/>
      <c r="C108"/>
      <c r="D108"/>
      <c r="E108"/>
      <c r="F108"/>
      <c r="G108"/>
      <c r="H108"/>
      <c r="I108" s="90" t="s">
        <v>50</v>
      </c>
      <c r="J108" s="91"/>
      <c r="K108" s="92"/>
      <c r="L108"/>
      <c r="M108"/>
      <c r="N108" s="4" t="s">
        <v>66</v>
      </c>
    </row>
    <row r="109" spans="1:14" ht="15" x14ac:dyDescent="0.25">
      <c r="A109"/>
      <c r="B109"/>
      <c r="C109"/>
      <c r="D109"/>
      <c r="E109"/>
      <c r="F109"/>
      <c r="G109"/>
      <c r="H109"/>
      <c r="I109" s="4" t="s">
        <v>51</v>
      </c>
      <c r="J109"/>
      <c r="K109"/>
      <c r="L109"/>
      <c r="M109" s="4"/>
      <c r="N109" s="4" t="s">
        <v>51</v>
      </c>
    </row>
    <row r="110" spans="1:14" ht="15" x14ac:dyDescent="0.25">
      <c r="A110"/>
      <c r="B110"/>
      <c r="C110"/>
      <c r="D110"/>
      <c r="E110"/>
      <c r="F110"/>
      <c r="G110"/>
      <c r="H110"/>
      <c r="I110" s="4" t="s">
        <v>54</v>
      </c>
      <c r="J110" s="4" t="s">
        <v>21</v>
      </c>
      <c r="K110" s="4" t="s">
        <v>55</v>
      </c>
      <c r="L110"/>
      <c r="M110" s="4" t="s">
        <v>67</v>
      </c>
      <c r="N110" s="4" t="s">
        <v>68</v>
      </c>
    </row>
    <row r="111" spans="1:14" ht="15" x14ac:dyDescent="0.25">
      <c r="A111" t="s">
        <v>69</v>
      </c>
      <c r="B111"/>
      <c r="C111"/>
      <c r="D111"/>
      <c r="E111"/>
      <c r="F111"/>
      <c r="G111"/>
      <c r="H111"/>
      <c r="I111"/>
      <c r="J111"/>
      <c r="K111"/>
      <c r="L111"/>
      <c r="M111"/>
      <c r="N111"/>
    </row>
    <row r="112" spans="1:14" ht="15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</row>
    <row r="113" spans="1:14" ht="15" x14ac:dyDescent="0.25">
      <c r="A113" t="s">
        <v>70</v>
      </c>
      <c r="B113"/>
      <c r="C113"/>
      <c r="D113"/>
      <c r="E113"/>
      <c r="F113"/>
      <c r="G113"/>
      <c r="H113" t="s">
        <v>22</v>
      </c>
      <c r="I113" s="41">
        <v>981479.50275532238</v>
      </c>
      <c r="J113" s="41">
        <f>J53</f>
        <v>4389914414.9695377</v>
      </c>
      <c r="K113">
        <f t="shared" ref="K113:K118" si="15">I113/J113</f>
        <v>2.2357599943372312E-4</v>
      </c>
      <c r="L113"/>
      <c r="M113" s="51">
        <v>177535195.75450593</v>
      </c>
      <c r="N113" s="56">
        <f t="shared" ref="N113:N118" si="16">K113*M113</f>
        <v>39692.608825475341</v>
      </c>
    </row>
    <row r="114" spans="1:14" ht="15" x14ac:dyDescent="0.25">
      <c r="A114" t="s">
        <v>71</v>
      </c>
      <c r="B114"/>
      <c r="C114"/>
      <c r="D114"/>
      <c r="E114"/>
      <c r="F114"/>
      <c r="G114"/>
      <c r="H114" t="s">
        <v>22</v>
      </c>
      <c r="I114" s="43">
        <v>981479.50275532238</v>
      </c>
      <c r="J114" s="43">
        <f>$J$53</f>
        <v>4389914414.9695377</v>
      </c>
      <c r="K114">
        <f t="shared" si="15"/>
        <v>2.2357599943372312E-4</v>
      </c>
      <c r="L114"/>
      <c r="M114" s="66">
        <f>384971</f>
        <v>384971</v>
      </c>
      <c r="N114" s="43">
        <f t="shared" si="16"/>
        <v>86.070276077999821</v>
      </c>
    </row>
    <row r="115" spans="1:14" ht="15" x14ac:dyDescent="0.25">
      <c r="A115" t="s">
        <v>72</v>
      </c>
      <c r="B115"/>
      <c r="C115"/>
      <c r="D115"/>
      <c r="E115"/>
      <c r="F115"/>
      <c r="G115"/>
      <c r="H115" t="s">
        <v>22</v>
      </c>
      <c r="I115" s="43">
        <v>981479.50275532238</v>
      </c>
      <c r="J115" s="43">
        <f>$J$53</f>
        <v>4389914414.9695377</v>
      </c>
      <c r="K115">
        <f t="shared" si="15"/>
        <v>2.2357599943372312E-4</v>
      </c>
      <c r="L115"/>
      <c r="M115" s="66">
        <v>119808343.75715747</v>
      </c>
      <c r="N115" s="43">
        <f t="shared" si="16"/>
        <v>26786.270196005546</v>
      </c>
    </row>
    <row r="116" spans="1:14" ht="15" x14ac:dyDescent="0.25">
      <c r="A116" t="s">
        <v>73</v>
      </c>
      <c r="B116"/>
      <c r="C116"/>
      <c r="D116"/>
      <c r="E116"/>
      <c r="F116"/>
      <c r="G116"/>
      <c r="H116" t="s">
        <v>22</v>
      </c>
      <c r="I116" s="43">
        <v>981479.50275532238</v>
      </c>
      <c r="J116" s="43">
        <f>$J$53</f>
        <v>4389914414.9695377</v>
      </c>
      <c r="K116">
        <f t="shared" si="15"/>
        <v>2.2357599943372312E-4</v>
      </c>
      <c r="L116"/>
      <c r="M116" s="66">
        <v>16171253.692540465</v>
      </c>
      <c r="N116" s="43">
        <f t="shared" si="16"/>
        <v>3615.5042064060199</v>
      </c>
    </row>
    <row r="117" spans="1:14" ht="15" x14ac:dyDescent="0.25">
      <c r="A117" t="s">
        <v>74</v>
      </c>
      <c r="B117"/>
      <c r="C117"/>
      <c r="D117"/>
      <c r="E117"/>
      <c r="F117"/>
      <c r="G117"/>
      <c r="H117" t="s">
        <v>75</v>
      </c>
      <c r="I117" s="43">
        <v>981479.50275532238</v>
      </c>
      <c r="J117" s="43">
        <f>J57</f>
        <v>1094426670.3957975</v>
      </c>
      <c r="K117">
        <f t="shared" si="15"/>
        <v>8.9679786622923945E-4</v>
      </c>
      <c r="L117"/>
      <c r="M117" s="66">
        <v>32868652.481538456</v>
      </c>
      <c r="N117" s="43">
        <f t="shared" si="16"/>
        <v>29476.537411274083</v>
      </c>
    </row>
    <row r="118" spans="1:14" ht="15" x14ac:dyDescent="0.25">
      <c r="A118" t="s">
        <v>76</v>
      </c>
      <c r="B118"/>
      <c r="C118"/>
      <c r="D118"/>
      <c r="E118"/>
      <c r="F118"/>
      <c r="G118"/>
      <c r="H118" t="s">
        <v>22</v>
      </c>
      <c r="I118" s="43">
        <v>981479.50275532238</v>
      </c>
      <c r="J118" s="43">
        <f>$J$53</f>
        <v>4389914414.9695377</v>
      </c>
      <c r="K118">
        <f t="shared" si="15"/>
        <v>2.2357599943372312E-4</v>
      </c>
      <c r="L118"/>
      <c r="M118" s="66">
        <v>27491295.652346555</v>
      </c>
      <c r="N118" s="43">
        <f t="shared" si="16"/>
        <v>6146.3939012013479</v>
      </c>
    </row>
    <row r="119" spans="1:14" ht="15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 s="57">
        <f>SUM(N113:N118)</f>
        <v>105803.38481644033</v>
      </c>
    </row>
  </sheetData>
  <mergeCells count="20">
    <mergeCell ref="A32:N32"/>
    <mergeCell ref="I35:K35"/>
    <mergeCell ref="I48:K48"/>
    <mergeCell ref="A1:N1"/>
    <mergeCell ref="A2:N2"/>
    <mergeCell ref="I5:K5"/>
    <mergeCell ref="I18:K18"/>
    <mergeCell ref="A31:N31"/>
    <mergeCell ref="A3:N3"/>
    <mergeCell ref="A33:N33"/>
    <mergeCell ref="A61:N61"/>
    <mergeCell ref="A62:N62"/>
    <mergeCell ref="A63:N63"/>
    <mergeCell ref="I65:K65"/>
    <mergeCell ref="I78:K78"/>
    <mergeCell ref="A91:N91"/>
    <mergeCell ref="A92:N92"/>
    <mergeCell ref="A93:N93"/>
    <mergeCell ref="I95:K95"/>
    <mergeCell ref="I108:K108"/>
  </mergeCells>
  <pageMargins left="0.7" right="0.7" top="0.75" bottom="0.75" header="0.3" footer="0.3"/>
  <pageSetup scale="81" orientation="landscape" r:id="rId1"/>
  <rowBreaks count="3" manualBreakCount="3">
    <brk id="30" max="16383" man="1"/>
    <brk id="60" max="16383" man="1"/>
    <brk id="9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zoomScaleNormal="100" workbookViewId="0">
      <selection sqref="A1:D1"/>
    </sheetView>
  </sheetViews>
  <sheetFormatPr defaultRowHeight="15" x14ac:dyDescent="0.25"/>
  <cols>
    <col min="1" max="1" width="22.85546875" customWidth="1"/>
    <col min="2" max="4" width="16.7109375" customWidth="1"/>
    <col min="6" max="6" width="14.28515625" bestFit="1" customWidth="1"/>
    <col min="7" max="7" width="15.85546875" customWidth="1"/>
    <col min="8" max="8" width="16.85546875" bestFit="1" customWidth="1"/>
  </cols>
  <sheetData>
    <row r="1" spans="1:8" ht="15.75" x14ac:dyDescent="0.25">
      <c r="A1" s="96" t="s">
        <v>18</v>
      </c>
      <c r="B1" s="96"/>
      <c r="C1" s="96"/>
      <c r="D1" s="96"/>
    </row>
    <row r="2" spans="1:8" ht="15.75" x14ac:dyDescent="0.25">
      <c r="A2" s="97" t="s">
        <v>17</v>
      </c>
      <c r="B2" s="97"/>
      <c r="C2" s="97"/>
      <c r="D2" s="97"/>
    </row>
    <row r="3" spans="1:8" ht="15.75" x14ac:dyDescent="0.25">
      <c r="A3" s="12"/>
      <c r="B3" s="12"/>
      <c r="C3" s="12"/>
      <c r="D3" s="12"/>
    </row>
    <row r="4" spans="1:8" ht="15.75" x14ac:dyDescent="0.25">
      <c r="A4" s="12"/>
      <c r="B4" s="12"/>
      <c r="C4" s="12"/>
      <c r="D4" s="12"/>
    </row>
    <row r="5" spans="1:8" ht="16.5" thickBot="1" x14ac:dyDescent="0.3">
      <c r="A5" s="12"/>
      <c r="B5" s="12"/>
      <c r="C5" s="12"/>
      <c r="D5" s="12"/>
    </row>
    <row r="6" spans="1:8" ht="15.75" thickBot="1" x14ac:dyDescent="0.3">
      <c r="A6" s="98" t="s">
        <v>16</v>
      </c>
      <c r="B6" s="99"/>
      <c r="C6" s="99"/>
      <c r="D6" s="100"/>
    </row>
    <row r="7" spans="1:8" x14ac:dyDescent="0.25">
      <c r="A7" s="11"/>
      <c r="D7" s="10" t="s">
        <v>14</v>
      </c>
    </row>
    <row r="8" spans="1:8" x14ac:dyDescent="0.25">
      <c r="B8" s="11"/>
      <c r="C8" s="11"/>
      <c r="D8" s="10" t="s">
        <v>13</v>
      </c>
    </row>
    <row r="9" spans="1:8" ht="15.75" thickBot="1" x14ac:dyDescent="0.3">
      <c r="A9" s="9" t="s">
        <v>12</v>
      </c>
      <c r="B9" s="8" t="s">
        <v>11</v>
      </c>
      <c r="C9" s="8" t="s">
        <v>10</v>
      </c>
      <c r="D9" s="8" t="s">
        <v>9</v>
      </c>
    </row>
    <row r="10" spans="1:8" x14ac:dyDescent="0.25">
      <c r="A10" t="s">
        <v>24</v>
      </c>
      <c r="B10" s="60">
        <v>2.47E-2</v>
      </c>
      <c r="C10" s="60">
        <v>7.4000000000000003E-3</v>
      </c>
      <c r="D10" s="60">
        <v>1.8204000000000001E-4</v>
      </c>
      <c r="F10" s="3">
        <v>89828655.711932734</v>
      </c>
      <c r="G10" s="72">
        <f>F10*C10</f>
        <v>664732.0522683023</v>
      </c>
      <c r="H10" s="72"/>
    </row>
    <row r="11" spans="1:8" x14ac:dyDescent="0.25">
      <c r="A11" t="s">
        <v>25</v>
      </c>
      <c r="B11" s="60">
        <v>0.44259999999999999</v>
      </c>
      <c r="C11" s="60">
        <v>4.1200000000000001E-2</v>
      </c>
      <c r="D11" s="60">
        <v>1.823512E-2</v>
      </c>
      <c r="F11" s="3">
        <v>1610324675.0927427</v>
      </c>
      <c r="G11" s="72">
        <f t="shared" ref="G11:G12" si="0">F11*C11</f>
        <v>66345376.613821</v>
      </c>
      <c r="H11" s="72"/>
    </row>
    <row r="12" spans="1:8" ht="15.75" thickBot="1" x14ac:dyDescent="0.3">
      <c r="A12" t="s">
        <v>8</v>
      </c>
      <c r="B12" s="61">
        <v>0.53280000000000005</v>
      </c>
      <c r="C12" s="61">
        <v>0.1023</v>
      </c>
      <c r="D12" s="61">
        <v>5.4495209999999995E-2</v>
      </c>
      <c r="F12" s="3">
        <v>1938647398.9553967</v>
      </c>
      <c r="G12" s="72">
        <f t="shared" si="0"/>
        <v>198323628.91313708</v>
      </c>
      <c r="H12" s="72"/>
    </row>
    <row r="13" spans="1:8" x14ac:dyDescent="0.25">
      <c r="B13" s="31"/>
      <c r="C13" s="31"/>
      <c r="D13" s="62">
        <v>7.2912370000000004E-2</v>
      </c>
      <c r="F13" s="13">
        <f>SUM(F10:F12)</f>
        <v>3638800729.7600718</v>
      </c>
      <c r="G13">
        <f>((F13)/($F$13+$F$23))*D13</f>
        <v>4.2978087330175926E-2</v>
      </c>
      <c r="H13">
        <f>((F12)/($F$12+$F$22))*B37</f>
        <v>0.22708535028849783</v>
      </c>
    </row>
    <row r="15" spans="1:8" ht="15.75" thickBot="1" x14ac:dyDescent="0.3"/>
    <row r="16" spans="1:8" ht="15.75" thickBot="1" x14ac:dyDescent="0.3">
      <c r="A16" s="98" t="s">
        <v>15</v>
      </c>
      <c r="B16" s="99"/>
      <c r="C16" s="99"/>
      <c r="D16" s="100"/>
    </row>
    <row r="17" spans="1:10" x14ac:dyDescent="0.25">
      <c r="A17" s="11"/>
      <c r="D17" s="10" t="s">
        <v>14</v>
      </c>
    </row>
    <row r="18" spans="1:10" x14ac:dyDescent="0.25">
      <c r="B18" s="11"/>
      <c r="C18" s="11"/>
      <c r="D18" s="10" t="s">
        <v>13</v>
      </c>
    </row>
    <row r="19" spans="1:10" ht="15.75" thickBot="1" x14ac:dyDescent="0.3">
      <c r="A19" s="9" t="s">
        <v>12</v>
      </c>
      <c r="B19" s="8" t="s">
        <v>11</v>
      </c>
      <c r="C19" s="8" t="s">
        <v>10</v>
      </c>
      <c r="D19" s="8" t="s">
        <v>9</v>
      </c>
    </row>
    <row r="20" spans="1:10" x14ac:dyDescent="0.25">
      <c r="A20" t="s">
        <v>24</v>
      </c>
      <c r="B20" s="7">
        <v>3.9242711108258103E-2</v>
      </c>
      <c r="C20" s="60">
        <v>8.1541833333333251E-3</v>
      </c>
      <c r="D20" s="7">
        <f>B20*C20</f>
        <v>3.1999226087377279E-4</v>
      </c>
      <c r="F20" s="3">
        <v>99636334.037396476</v>
      </c>
      <c r="G20" s="72">
        <f>F20*C20</f>
        <v>812452.93440217024</v>
      </c>
      <c r="H20" s="72"/>
    </row>
    <row r="21" spans="1:10" x14ac:dyDescent="0.25">
      <c r="A21" t="s">
        <v>25</v>
      </c>
      <c r="B21" s="7">
        <v>0.42685402755622764</v>
      </c>
      <c r="C21" s="60">
        <v>4.068876681474283E-2</v>
      </c>
      <c r="D21" s="7">
        <f>B21*C21</f>
        <v>1.7368163991169156E-2</v>
      </c>
      <c r="F21" s="3">
        <v>1081755388.0828714</v>
      </c>
      <c r="G21" s="72">
        <f t="shared" ref="G21:G22" si="1">F21*C21</f>
        <v>44015292.736295588</v>
      </c>
      <c r="H21" s="72"/>
    </row>
    <row r="22" spans="1:10" ht="15.75" thickBot="1" x14ac:dyDescent="0.3">
      <c r="A22" t="s">
        <v>8</v>
      </c>
      <c r="B22" s="6">
        <v>0.53390326133551425</v>
      </c>
      <c r="C22" s="61">
        <v>0.1023</v>
      </c>
      <c r="D22" s="6">
        <f>B22*C22</f>
        <v>5.4618303634623111E-2</v>
      </c>
      <c r="F22" s="3">
        <v>1353036782.9686825</v>
      </c>
      <c r="G22" s="72">
        <f t="shared" si="1"/>
        <v>138415662.89769623</v>
      </c>
      <c r="H22" s="72"/>
    </row>
    <row r="23" spans="1:10" x14ac:dyDescent="0.25">
      <c r="D23" s="5">
        <f>SUM(D20:D22)</f>
        <v>7.2306459886666036E-2</v>
      </c>
      <c r="F23" s="13">
        <f>SUM(F20:F22)</f>
        <v>2534428505.0889502</v>
      </c>
      <c r="G23">
        <f>((F23)/($F$13+$F$23))*D23</f>
        <v>2.968552536561021E-2</v>
      </c>
      <c r="H23">
        <f>((F22)/($F$12+$F$22))*B36</f>
        <v>0.15882454458933717</v>
      </c>
    </row>
    <row r="24" spans="1:10" x14ac:dyDescent="0.25">
      <c r="G24" s="23">
        <f>SUM(G13:G23)</f>
        <v>183243408.64105761</v>
      </c>
    </row>
    <row r="25" spans="1:10" ht="15.75" thickBot="1" x14ac:dyDescent="0.3"/>
    <row r="26" spans="1:10" ht="15.75" thickBot="1" x14ac:dyDescent="0.3">
      <c r="A26" s="98" t="s">
        <v>104</v>
      </c>
      <c r="B26" s="99"/>
      <c r="C26" s="99"/>
      <c r="D26" s="100"/>
    </row>
    <row r="27" spans="1:10" x14ac:dyDescent="0.25">
      <c r="A27" s="11"/>
      <c r="D27" s="10" t="s">
        <v>14</v>
      </c>
    </row>
    <row r="28" spans="1:10" x14ac:dyDescent="0.25">
      <c r="B28" s="11"/>
      <c r="C28" s="11"/>
      <c r="D28" s="10" t="s">
        <v>13</v>
      </c>
    </row>
    <row r="29" spans="1:10" ht="15.75" thickBot="1" x14ac:dyDescent="0.3">
      <c r="A29" s="9" t="s">
        <v>12</v>
      </c>
      <c r="B29" s="8" t="s">
        <v>11</v>
      </c>
      <c r="C29" s="8" t="s">
        <v>10</v>
      </c>
      <c r="D29" s="8" t="s">
        <v>9</v>
      </c>
    </row>
    <row r="30" spans="1:10" x14ac:dyDescent="0.25">
      <c r="A30" t="s">
        <v>24</v>
      </c>
      <c r="B30" s="23">
        <f>F30/$F$33</f>
        <v>3.0691390606356277E-2</v>
      </c>
      <c r="C30" s="23">
        <f>H30/F30</f>
        <v>7.7966118628294096E-3</v>
      </c>
      <c r="D30" s="7">
        <f>B30*C30</f>
        <v>2.3928886008824844E-4</v>
      </c>
      <c r="F30" s="13">
        <f>F20+F10</f>
        <v>189464989.74932921</v>
      </c>
      <c r="G30" s="28">
        <f>F30/$F$33</f>
        <v>3.0691390606356277E-2</v>
      </c>
      <c r="H30" s="72">
        <f>G10+G20</f>
        <v>1477184.9866704727</v>
      </c>
      <c r="I30">
        <f>H30/F30</f>
        <v>7.7966118628294096E-3</v>
      </c>
      <c r="J30">
        <f>G30*I30</f>
        <v>2.3928886008824844E-4</v>
      </c>
    </row>
    <row r="31" spans="1:10" x14ac:dyDescent="0.25">
      <c r="A31" t="s">
        <v>25</v>
      </c>
      <c r="B31" s="23">
        <f>F31/$F$33</f>
        <v>0.43608943727187777</v>
      </c>
      <c r="C31" s="23">
        <f>H31/F31</f>
        <v>4.0994571766165687E-2</v>
      </c>
      <c r="D31" s="7">
        <f>B31*C31</f>
        <v>1.7877299732708803E-2</v>
      </c>
      <c r="F31" s="13">
        <f t="shared" ref="F31:F32" si="2">F21+F11</f>
        <v>2692080063.1756144</v>
      </c>
      <c r="G31" s="28">
        <f t="shared" ref="G31:G32" si="3">F31/$F$33</f>
        <v>0.43608943727187777</v>
      </c>
      <c r="H31" s="72">
        <f t="shared" ref="H31:H32" si="4">G11+G21</f>
        <v>110360669.35011658</v>
      </c>
      <c r="I31">
        <f t="shared" ref="I31:I32" si="5">H31/F31</f>
        <v>4.0994571766165687E-2</v>
      </c>
      <c r="J31">
        <f t="shared" ref="J31:J32" si="6">G31*I31</f>
        <v>1.7877299732708803E-2</v>
      </c>
    </row>
    <row r="32" spans="1:10" ht="15.75" thickBot="1" x14ac:dyDescent="0.3">
      <c r="A32" t="s">
        <v>8</v>
      </c>
      <c r="B32" s="73">
        <f>F32/$F$33</f>
        <v>0.53321917212176606</v>
      </c>
      <c r="C32" s="73">
        <f>H32/F32</f>
        <v>0.10230000000000002</v>
      </c>
      <c r="D32" s="6">
        <f>B32*C32</f>
        <v>5.4548321308056674E-2</v>
      </c>
      <c r="F32" s="13">
        <f t="shared" si="2"/>
        <v>3291684181.9240789</v>
      </c>
      <c r="G32" s="28">
        <f t="shared" si="3"/>
        <v>0.53321917212176606</v>
      </c>
      <c r="H32" s="72">
        <f t="shared" si="4"/>
        <v>336739291.81083333</v>
      </c>
      <c r="I32">
        <f t="shared" si="5"/>
        <v>0.10230000000000002</v>
      </c>
      <c r="J32">
        <f t="shared" si="6"/>
        <v>5.4548321308056674E-2</v>
      </c>
    </row>
    <row r="33" spans="1:10" x14ac:dyDescent="0.25">
      <c r="B33" s="5">
        <f>SUM(B30:B32)</f>
        <v>1</v>
      </c>
      <c r="D33" s="5">
        <f>SUM(D30:D32)</f>
        <v>7.2664909900853725E-2</v>
      </c>
      <c r="F33" s="13">
        <f>SUM(F30:F32)</f>
        <v>6173229234.8490219</v>
      </c>
      <c r="G33">
        <f>SUM(G30:G32)</f>
        <v>1</v>
      </c>
      <c r="J33">
        <f>SUM(J30:J32)</f>
        <v>7.2664909900853725E-2</v>
      </c>
    </row>
    <row r="35" spans="1:10" x14ac:dyDescent="0.25">
      <c r="A35" t="s">
        <v>105</v>
      </c>
    </row>
    <row r="36" spans="1:10" x14ac:dyDescent="0.25">
      <c r="A36" t="s">
        <v>106</v>
      </c>
      <c r="B36" s="23">
        <v>0.38639026500000001</v>
      </c>
    </row>
    <row r="37" spans="1:10" x14ac:dyDescent="0.25">
      <c r="A37" t="s">
        <v>107</v>
      </c>
      <c r="B37" s="23">
        <v>0.385574631</v>
      </c>
    </row>
    <row r="38" spans="1:10" x14ac:dyDescent="0.25">
      <c r="A38" t="s">
        <v>108</v>
      </c>
      <c r="B38" s="23">
        <f>SUM(H13:H23)</f>
        <v>0.385909894877835</v>
      </c>
    </row>
  </sheetData>
  <mergeCells count="5">
    <mergeCell ref="A1:D1"/>
    <mergeCell ref="A2:D2"/>
    <mergeCell ref="A6:D6"/>
    <mergeCell ref="A16:D16"/>
    <mergeCell ref="A26:D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Overhead</vt:lpstr>
      <vt:lpstr>Underground</vt:lpstr>
      <vt:lpstr>CWC and Common</vt:lpstr>
      <vt:lpstr>WACOC</vt:lpstr>
      <vt:lpstr>Overhead!Print_Area</vt:lpstr>
      <vt:lpstr>Underground!Print_Area</vt:lpstr>
      <vt:lpstr>WACOC!Print_Area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 Blake</dc:creator>
  <cp:lastModifiedBy>Knoy, Jason</cp:lastModifiedBy>
  <cp:lastPrinted>2016-11-28T20:58:49Z</cp:lastPrinted>
  <dcterms:created xsi:type="dcterms:W3CDTF">2016-09-26T18:23:26Z</dcterms:created>
  <dcterms:modified xsi:type="dcterms:W3CDTF">2016-11-28T20:58:55Z</dcterms:modified>
</cp:coreProperties>
</file>