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20" yWindow="615" windowWidth="19440" windowHeight="9465"/>
  </bookViews>
  <sheets>
    <sheet name="Data" sheetId="1" r:id="rId1"/>
  </sheets>
  <definedNames>
    <definedName name="_xlnm._FilterDatabase" localSheetId="0" hidden="1">Data!$B$4:$K$26</definedName>
  </definedNames>
  <calcPr calcId="152511"/>
</workbook>
</file>

<file path=xl/calcChain.xml><?xml version="1.0" encoding="utf-8"?>
<calcChain xmlns="http://schemas.openxmlformats.org/spreadsheetml/2006/main">
  <c r="I43" i="1" l="1"/>
  <c r="H43" i="1"/>
  <c r="G43" i="1"/>
  <c r="F43" i="1"/>
  <c r="I42" i="1"/>
  <c r="H42" i="1"/>
  <c r="G42" i="1"/>
  <c r="F42" i="1"/>
  <c r="K29" i="1" l="1"/>
  <c r="J29" i="1"/>
  <c r="K28" i="1"/>
  <c r="J28" i="1"/>
  <c r="G36" i="1" l="1"/>
  <c r="G33" i="1"/>
  <c r="G34" i="1"/>
  <c r="G37" i="1"/>
  <c r="F37" i="1"/>
  <c r="G40" i="1"/>
  <c r="F40" i="1"/>
  <c r="G39" i="1"/>
  <c r="F39" i="1"/>
  <c r="F34" i="1"/>
  <c r="F30" i="1" l="1"/>
  <c r="F33" i="1" l="1"/>
  <c r="F36" i="1"/>
  <c r="H30" i="1"/>
  <c r="K30" i="1" l="1"/>
  <c r="J30" i="1"/>
  <c r="I36" i="1"/>
  <c r="K6" i="1" l="1"/>
  <c r="J6" i="1"/>
  <c r="K10" i="1"/>
  <c r="J10" i="1"/>
  <c r="K12" i="1"/>
  <c r="J12" i="1"/>
  <c r="K14" i="1"/>
  <c r="J14" i="1"/>
  <c r="K16" i="1"/>
  <c r="J16" i="1"/>
  <c r="K18" i="1"/>
  <c r="J18" i="1"/>
  <c r="K20" i="1"/>
  <c r="J20" i="1"/>
  <c r="K22" i="1"/>
  <c r="J22" i="1"/>
  <c r="K24" i="1"/>
  <c r="J24" i="1"/>
  <c r="K26" i="1"/>
  <c r="J26" i="1"/>
  <c r="K5" i="1"/>
  <c r="J5" i="1"/>
  <c r="K7" i="1"/>
  <c r="J7" i="1"/>
  <c r="K9" i="1"/>
  <c r="J9" i="1"/>
  <c r="K11" i="1"/>
  <c r="J11" i="1"/>
  <c r="K13" i="1"/>
  <c r="J13" i="1"/>
  <c r="H39" i="1"/>
  <c r="K15" i="1"/>
  <c r="J15" i="1"/>
  <c r="K17" i="1"/>
  <c r="J17" i="1"/>
  <c r="K19" i="1"/>
  <c r="J19" i="1"/>
  <c r="K21" i="1"/>
  <c r="J21" i="1"/>
  <c r="K23" i="1"/>
  <c r="J23" i="1"/>
  <c r="K25" i="1"/>
  <c r="J25" i="1"/>
  <c r="I39" i="1"/>
  <c r="K8" i="1"/>
  <c r="J8" i="1"/>
  <c r="H36" i="1"/>
  <c r="J36" i="1" s="1"/>
  <c r="H33" i="1"/>
  <c r="I33" i="1"/>
  <c r="I40" i="1"/>
  <c r="H40" i="1"/>
  <c r="I37" i="1"/>
  <c r="H37" i="1"/>
  <c r="I34" i="1"/>
  <c r="H34" i="1"/>
  <c r="J39" i="1" l="1"/>
  <c r="K43" i="1"/>
  <c r="J43" i="1"/>
  <c r="K42" i="1"/>
  <c r="J42" i="1"/>
  <c r="J33" i="1"/>
  <c r="K36" i="1"/>
  <c r="K34" i="1"/>
  <c r="K33" i="1"/>
  <c r="K39" i="1"/>
  <c r="K37" i="1"/>
  <c r="K40" i="1"/>
  <c r="J34" i="1"/>
  <c r="J37" i="1"/>
  <c r="J40" i="1"/>
</calcChain>
</file>

<file path=xl/sharedStrings.xml><?xml version="1.0" encoding="utf-8"?>
<sst xmlns="http://schemas.openxmlformats.org/spreadsheetml/2006/main" count="136" uniqueCount="42">
  <si>
    <t>Rate</t>
  </si>
  <si>
    <t>Category</t>
  </si>
  <si>
    <t>Values</t>
  </si>
  <si>
    <t>Delta</t>
  </si>
  <si>
    <t>% Delta</t>
  </si>
  <si>
    <t>As-Available Gas Service, Commercial</t>
  </si>
  <si>
    <t>Sales</t>
  </si>
  <si>
    <t>Volume (Mcf)</t>
  </si>
  <si>
    <t>Customers</t>
  </si>
  <si>
    <t>Average Number of Customers</t>
  </si>
  <si>
    <t>As-Available Gas Service, Industrial</t>
  </si>
  <si>
    <t>Transport</t>
  </si>
  <si>
    <t>Firm Commercial Gas Service</t>
  </si>
  <si>
    <t>Firm Industrial Gas Service</t>
  </si>
  <si>
    <t>Gas Transport Service, FT Commercial</t>
  </si>
  <si>
    <t>Gas Transport Service, FT Industrial</t>
  </si>
  <si>
    <t>Gas Transport Service, Paddy's Run</t>
  </si>
  <si>
    <t>Residential Gas Service</t>
  </si>
  <si>
    <t>TS-2: Gas Trans/Firm Balancing (AAGS In)</t>
  </si>
  <si>
    <t>TS-2: Gas Transport/Firm Balancing (IGS)</t>
  </si>
  <si>
    <t>Total Customers</t>
  </si>
  <si>
    <t>Residential</t>
  </si>
  <si>
    <t>Total LGE Gas Unbilled</t>
  </si>
  <si>
    <t>Gas Volumes</t>
  </si>
  <si>
    <t>Comparison of LG&amp;E Gas Customers, and Volumes by Rate Classes: Base Period vs Test Period</t>
  </si>
  <si>
    <t>Test Period
(Jul '17 - Jun '18)</t>
  </si>
  <si>
    <t>Other</t>
  </si>
  <si>
    <t>Total</t>
  </si>
  <si>
    <t>Total Transport Volumes</t>
  </si>
  <si>
    <t>Total Sales Volumes - Calendar Adjusted</t>
  </si>
  <si>
    <t>LG&amp;E Gas Unbilled Adjustment**</t>
  </si>
  <si>
    <t xml:space="preserve">*All customers are assigned to one of twenty billing cycles.  Because the beginning and end of most billing cycles do not coincide directly with the beginning and end of calendar months, most customers' monthly bills include energy that was consumed in more than one calendar month.  </t>
  </si>
  <si>
    <t>**Billed sales in March include a portion of the energy consumed in March and a portion of the energy consumed in February.  Likewise, billed sales for August include a portion of the energy consumed in August and a portion of the energy consumed in July.  The portion of the energy consumed in August but not included in August billed sales is the "unbilled" portion of calendar-month ("calendar") sales for August.  To properly compare the Base Period to the Forecasted Test Period (which includes twelve months of calendar sales), unbilled sales for August must be added to the Base Period and unbilled sales for February (which are included in March billed sales) must be subtracted from the Base Period.  Because August unbilled sales are greater than February unbilled sales, the total unbilled energy adjustment is positive.</t>
  </si>
  <si>
    <t>Base Period</t>
  </si>
  <si>
    <t>Total
(Mar '16 - Feb '17)</t>
  </si>
  <si>
    <t>Billed Actual
(Mar '16 - Aug '16)*</t>
  </si>
  <si>
    <t xml:space="preserve"> Calendar Forecasted
(Sep '16 - Feb '17)</t>
  </si>
  <si>
    <t>Total Volumes - Calendar Adjusted</t>
  </si>
  <si>
    <t>Volume Type</t>
  </si>
  <si>
    <t>Gas Special Contracts - LG&amp;E Generation</t>
  </si>
  <si>
    <t>Generation</t>
  </si>
  <si>
    <t>Total Generation Volumes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</si>
</sst>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0" fillId="0" borderId="1" xfId="0" applyBorder="1"/>
    <xf numFmtId="164" fontId="0" fillId="0" borderId="1" xfId="1" applyNumberFormat="1" applyFont="1" applyBorder="1"/>
    <xf numFmtId="0" fontId="0" fillId="0" borderId="3" xfId="0" applyBorder="1"/>
    <xf numFmtId="164" fontId="0" fillId="0" borderId="3" xfId="1" applyNumberFormat="1" applyFont="1" applyBorder="1"/>
    <xf numFmtId="164" fontId="0" fillId="0" borderId="5" xfId="1" applyNumberFormat="1" applyFont="1" applyBorder="1"/>
    <xf numFmtId="164" fontId="0" fillId="0" borderId="6" xfId="1" applyNumberFormat="1" applyFont="1" applyBorder="1"/>
    <xf numFmtId="0" fontId="0" fillId="0" borderId="7" xfId="0" applyBorder="1"/>
    <xf numFmtId="165" fontId="0" fillId="0" borderId="2" xfId="2" applyNumberFormat="1" applyFont="1" applyBorder="1"/>
    <xf numFmtId="165" fontId="0" fillId="0" borderId="4" xfId="2" applyNumberFormat="1" applyFont="1" applyBorder="1"/>
    <xf numFmtId="0" fontId="0" fillId="0" borderId="0" xfId="0" applyBorder="1"/>
    <xf numFmtId="164" fontId="0" fillId="0" borderId="0" xfId="1" applyNumberFormat="1" applyFont="1" applyBorder="1"/>
    <xf numFmtId="165" fontId="0" fillId="0" borderId="0" xfId="2" applyNumberFormat="1" applyFont="1" applyBorder="1"/>
    <xf numFmtId="0" fontId="0" fillId="0" borderId="8" xfId="0" applyBorder="1"/>
    <xf numFmtId="164" fontId="0" fillId="0" borderId="8" xfId="1" applyNumberFormat="1" applyFont="1" applyBorder="1"/>
    <xf numFmtId="164" fontId="0" fillId="0" borderId="8" xfId="1" applyNumberFormat="1" applyFont="1" applyFill="1" applyBorder="1"/>
    <xf numFmtId="0" fontId="0" fillId="0" borderId="6" xfId="0" applyFill="1" applyBorder="1" applyAlignment="1">
      <alignment horizontal="left" indent="1"/>
    </xf>
    <xf numFmtId="0" fontId="0" fillId="0" borderId="6" xfId="0" applyBorder="1"/>
    <xf numFmtId="164" fontId="0" fillId="0" borderId="6" xfId="1" applyNumberFormat="1" applyFont="1" applyFill="1" applyBorder="1"/>
    <xf numFmtId="0" fontId="0" fillId="0" borderId="0" xfId="0" applyFont="1"/>
    <xf numFmtId="0" fontId="0" fillId="0" borderId="0" xfId="0" applyBorder="1" applyAlignment="1">
      <alignment horizontal="left"/>
    </xf>
    <xf numFmtId="164" fontId="0" fillId="0" borderId="0" xfId="0" applyNumberFormat="1" applyBorder="1"/>
    <xf numFmtId="0" fontId="3" fillId="0" borderId="0" xfId="0" applyFont="1"/>
    <xf numFmtId="3" fontId="0" fillId="0" borderId="0" xfId="0" applyNumberFormat="1"/>
    <xf numFmtId="0" fontId="0" fillId="0" borderId="1" xfId="0" applyFill="1" applyBorder="1" applyAlignment="1">
      <alignment horizontal="left"/>
    </xf>
    <xf numFmtId="164" fontId="0" fillId="0" borderId="0" xfId="1" applyNumberFormat="1" applyFont="1" applyFill="1" applyBorder="1"/>
    <xf numFmtId="165" fontId="0" fillId="0" borderId="0" xfId="2" applyNumberFormat="1" applyFont="1" applyFill="1" applyBorder="1"/>
    <xf numFmtId="0" fontId="0" fillId="0" borderId="0" xfId="0" applyFill="1" applyBorder="1" applyAlignment="1">
      <alignment horizontal="left" indent="1"/>
    </xf>
    <xf numFmtId="9" fontId="0" fillId="0" borderId="0" xfId="2" applyNumberFormat="1" applyFont="1" applyFill="1" applyBorder="1"/>
    <xf numFmtId="0" fontId="0" fillId="0" borderId="0" xfId="0" applyBorder="1" applyAlignment="1">
      <alignment horizontal="left" wrapText="1"/>
    </xf>
    <xf numFmtId="0" fontId="0" fillId="0" borderId="0" xfId="0" applyAlignment="1">
      <alignment horizontal="left"/>
    </xf>
    <xf numFmtId="0" fontId="0" fillId="0" borderId="0" xfId="0" applyBorder="1" applyAlignment="1">
      <alignment horizontal="left" vertical="top" wrapText="1"/>
    </xf>
    <xf numFmtId="0" fontId="0" fillId="0" borderId="10"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xf>
    <xf numFmtId="0" fontId="0" fillId="0" borderId="1" xfId="0" applyFont="1" applyBorder="1"/>
    <xf numFmtId="164" fontId="0" fillId="0" borderId="1" xfId="0" applyNumberFormat="1" applyBorder="1"/>
    <xf numFmtId="3" fontId="2" fillId="0" borderId="6" xfId="0" applyNumberFormat="1" applyFont="1" applyBorder="1" applyAlignment="1">
      <alignment horizontal="center" wrapText="1"/>
    </xf>
    <xf numFmtId="165" fontId="0" fillId="0" borderId="9" xfId="2" applyNumberFormat="1" applyFont="1" applyFill="1" applyBorder="1"/>
    <xf numFmtId="165" fontId="0" fillId="0" borderId="6" xfId="2" applyNumberFormat="1" applyFont="1" applyFill="1" applyBorder="1"/>
    <xf numFmtId="0" fontId="2" fillId="0" borderId="3" xfId="0" applyFont="1" applyBorder="1" applyAlignment="1">
      <alignment horizontal="left"/>
    </xf>
    <xf numFmtId="0" fontId="2" fillId="0" borderId="6" xfId="0" applyFont="1" applyBorder="1" applyAlignment="1">
      <alignment horizontal="center"/>
    </xf>
    <xf numFmtId="0" fontId="0" fillId="0" borderId="0" xfId="0"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55"/>
  <sheetViews>
    <sheetView showGridLines="0" tabSelected="1" zoomScaleNormal="100" workbookViewId="0"/>
  </sheetViews>
  <sheetFormatPr defaultRowHeight="15" x14ac:dyDescent="0.25"/>
  <cols>
    <col min="1" max="1" width="2.42578125" customWidth="1"/>
    <col min="2" max="2" width="39.140625" customWidth="1"/>
    <col min="3" max="3" width="14.7109375" customWidth="1"/>
    <col min="4" max="4" width="19.7109375" customWidth="1"/>
    <col min="5" max="5" width="28.7109375" bestFit="1" customWidth="1"/>
    <col min="6" max="6" width="17.7109375" bestFit="1" customWidth="1"/>
    <col min="7" max="7" width="19.5703125" bestFit="1" customWidth="1"/>
    <col min="8" max="8" width="17" bestFit="1" customWidth="1"/>
    <col min="9" max="10" width="15.5703125" bestFit="1" customWidth="1"/>
    <col min="11" max="11" width="9.28515625" customWidth="1"/>
    <col min="13" max="13" width="9.7109375" bestFit="1" customWidth="1"/>
  </cols>
  <sheetData>
    <row r="1" spans="2:13" ht="15.75" x14ac:dyDescent="0.25">
      <c r="B1" s="22" t="s">
        <v>24</v>
      </c>
    </row>
    <row r="2" spans="2:13" x14ac:dyDescent="0.25">
      <c r="B2" s="19"/>
    </row>
    <row r="3" spans="2:13" x14ac:dyDescent="0.25">
      <c r="B3" s="32"/>
      <c r="C3" s="1"/>
      <c r="D3" s="1"/>
      <c r="E3" s="1"/>
      <c r="F3" s="42" t="s">
        <v>33</v>
      </c>
      <c r="G3" s="42"/>
      <c r="H3" s="42"/>
      <c r="I3" s="1"/>
      <c r="J3" s="1"/>
      <c r="K3" s="1"/>
    </row>
    <row r="4" spans="2:13" ht="30" customHeight="1" x14ac:dyDescent="0.25">
      <c r="B4" s="41" t="s">
        <v>0</v>
      </c>
      <c r="C4" s="41" t="s">
        <v>1</v>
      </c>
      <c r="D4" s="41" t="s">
        <v>38</v>
      </c>
      <c r="E4" s="41" t="s">
        <v>2</v>
      </c>
      <c r="F4" s="38" t="s">
        <v>35</v>
      </c>
      <c r="G4" s="38" t="s">
        <v>36</v>
      </c>
      <c r="H4" s="34" t="s">
        <v>34</v>
      </c>
      <c r="I4" s="34" t="s">
        <v>25</v>
      </c>
      <c r="J4" s="33" t="s">
        <v>3</v>
      </c>
      <c r="K4" s="35" t="s">
        <v>4</v>
      </c>
    </row>
    <row r="5" spans="2:13" x14ac:dyDescent="0.25">
      <c r="B5" s="1" t="s">
        <v>5</v>
      </c>
      <c r="C5" s="1" t="s">
        <v>23</v>
      </c>
      <c r="D5" s="1" t="s">
        <v>6</v>
      </c>
      <c r="E5" s="1" t="s">
        <v>7</v>
      </c>
      <c r="F5" s="2">
        <v>21862.3</v>
      </c>
      <c r="G5" s="2">
        <v>37971.030186380376</v>
      </c>
      <c r="H5" s="2">
        <v>59833.330186380379</v>
      </c>
      <c r="I5" s="2">
        <v>57567.428634480857</v>
      </c>
      <c r="J5" s="2">
        <f t="shared" ref="J5" si="0">IF(H5="","",I5-H5)</f>
        <v>-2265.901551899522</v>
      </c>
      <c r="K5" s="8">
        <f t="shared" ref="K5" si="1">IF(H5="","",I5/H5-1)</f>
        <v>-3.7870222914908047E-2</v>
      </c>
    </row>
    <row r="6" spans="2:13" x14ac:dyDescent="0.25">
      <c r="B6" s="3"/>
      <c r="C6" s="3" t="s">
        <v>8</v>
      </c>
      <c r="D6" s="3" t="s">
        <v>6</v>
      </c>
      <c r="E6" s="3" t="s">
        <v>9</v>
      </c>
      <c r="F6" s="4">
        <v>2</v>
      </c>
      <c r="G6" s="4">
        <v>2</v>
      </c>
      <c r="H6" s="4">
        <v>2</v>
      </c>
      <c r="I6" s="4">
        <v>2</v>
      </c>
      <c r="J6" s="4">
        <f t="shared" ref="J6:J26" si="2">IF(H6="","",I6-H6)</f>
        <v>0</v>
      </c>
      <c r="K6" s="9">
        <f t="shared" ref="K6:K26" si="3">IF(H6="","",I6/H6-1)</f>
        <v>0</v>
      </c>
      <c r="M6" s="23"/>
    </row>
    <row r="7" spans="2:13" x14ac:dyDescent="0.25">
      <c r="B7" s="1" t="s">
        <v>10</v>
      </c>
      <c r="C7" s="1" t="s">
        <v>23</v>
      </c>
      <c r="D7" s="1" t="s">
        <v>6</v>
      </c>
      <c r="E7" s="1" t="s">
        <v>7</v>
      </c>
      <c r="F7" s="2">
        <v>32342.599999999995</v>
      </c>
      <c r="G7" s="2">
        <v>40693.919737466938</v>
      </c>
      <c r="H7" s="2">
        <v>73036.519737466937</v>
      </c>
      <c r="I7" s="2">
        <v>70865.951589981065</v>
      </c>
      <c r="J7" s="2">
        <f t="shared" si="2"/>
        <v>-2170.568147485872</v>
      </c>
      <c r="K7" s="8">
        <f t="shared" si="3"/>
        <v>-2.9718942732869458E-2</v>
      </c>
    </row>
    <row r="8" spans="2:13" x14ac:dyDescent="0.25">
      <c r="B8" s="3"/>
      <c r="C8" s="3" t="s">
        <v>8</v>
      </c>
      <c r="D8" s="3" t="s">
        <v>6</v>
      </c>
      <c r="E8" s="3" t="s">
        <v>9</v>
      </c>
      <c r="F8" s="4">
        <v>2</v>
      </c>
      <c r="G8" s="4">
        <v>2</v>
      </c>
      <c r="H8" s="4">
        <v>2</v>
      </c>
      <c r="I8" s="4">
        <v>2</v>
      </c>
      <c r="J8" s="4">
        <f t="shared" si="2"/>
        <v>0</v>
      </c>
      <c r="K8" s="9">
        <f t="shared" si="3"/>
        <v>0</v>
      </c>
      <c r="M8" s="23"/>
    </row>
    <row r="9" spans="2:13" x14ac:dyDescent="0.25">
      <c r="B9" s="1" t="s">
        <v>12</v>
      </c>
      <c r="C9" s="1" t="s">
        <v>23</v>
      </c>
      <c r="D9" s="1" t="s">
        <v>6</v>
      </c>
      <c r="E9" s="1" t="s">
        <v>7</v>
      </c>
      <c r="F9" s="2">
        <v>3285509.3</v>
      </c>
      <c r="G9" s="2">
        <v>7088199.5215825532</v>
      </c>
      <c r="H9" s="2">
        <v>10373708.821582552</v>
      </c>
      <c r="I9" s="2">
        <v>10137905.826085169</v>
      </c>
      <c r="J9" s="2">
        <f t="shared" si="2"/>
        <v>-235802.99549738318</v>
      </c>
      <c r="K9" s="8">
        <f t="shared" si="3"/>
        <v>-2.2730828438792705E-2</v>
      </c>
    </row>
    <row r="10" spans="2:13" x14ac:dyDescent="0.25">
      <c r="B10" s="3"/>
      <c r="C10" s="3" t="s">
        <v>8</v>
      </c>
      <c r="D10" s="3" t="s">
        <v>6</v>
      </c>
      <c r="E10" s="3" t="s">
        <v>9</v>
      </c>
      <c r="F10" s="4">
        <v>25001.833333333332</v>
      </c>
      <c r="G10" s="4">
        <v>25080.513259982006</v>
      </c>
      <c r="H10" s="4">
        <v>25041.173296657667</v>
      </c>
      <c r="I10" s="4">
        <v>24946.745929156983</v>
      </c>
      <c r="J10" s="4">
        <f t="shared" si="2"/>
        <v>-94.42736750068434</v>
      </c>
      <c r="K10" s="9">
        <f t="shared" si="3"/>
        <v>-3.7708843104922174E-3</v>
      </c>
      <c r="M10" s="23"/>
    </row>
    <row r="11" spans="2:13" x14ac:dyDescent="0.25">
      <c r="B11" s="1" t="s">
        <v>13</v>
      </c>
      <c r="C11" s="1" t="s">
        <v>23</v>
      </c>
      <c r="D11" s="1" t="s">
        <v>6</v>
      </c>
      <c r="E11" s="1" t="s">
        <v>7</v>
      </c>
      <c r="F11" s="2">
        <v>496936.39999999997</v>
      </c>
      <c r="G11" s="2">
        <v>901621.63742888137</v>
      </c>
      <c r="H11" s="2">
        <v>1398558.0374288813</v>
      </c>
      <c r="I11" s="2">
        <v>1488806.1080976345</v>
      </c>
      <c r="J11" s="2">
        <f t="shared" si="2"/>
        <v>90248.070668753237</v>
      </c>
      <c r="K11" s="8">
        <f t="shared" si="3"/>
        <v>6.4529371147632908E-2</v>
      </c>
    </row>
    <row r="12" spans="2:13" x14ac:dyDescent="0.25">
      <c r="B12" s="3"/>
      <c r="C12" s="3" t="s">
        <v>8</v>
      </c>
      <c r="D12" s="3" t="s">
        <v>6</v>
      </c>
      <c r="E12" s="3" t="s">
        <v>9</v>
      </c>
      <c r="F12" s="4">
        <v>240.33333333333334</v>
      </c>
      <c r="G12" s="4">
        <v>255.5</v>
      </c>
      <c r="H12" s="4">
        <v>247.91666666666666</v>
      </c>
      <c r="I12" s="4">
        <v>262</v>
      </c>
      <c r="J12" s="4">
        <f t="shared" si="2"/>
        <v>14.083333333333343</v>
      </c>
      <c r="K12" s="9">
        <f t="shared" si="3"/>
        <v>5.6806722689075606E-2</v>
      </c>
      <c r="M12" s="23"/>
    </row>
    <row r="13" spans="2:13" x14ac:dyDescent="0.25">
      <c r="B13" s="1" t="s">
        <v>39</v>
      </c>
      <c r="C13" s="1" t="s">
        <v>23</v>
      </c>
      <c r="D13" s="1" t="s">
        <v>40</v>
      </c>
      <c r="E13" s="1" t="s">
        <v>7</v>
      </c>
      <c r="F13" s="2">
        <v>159193</v>
      </c>
      <c r="G13" s="2">
        <v>71836.899999999994</v>
      </c>
      <c r="H13" s="2">
        <v>231029.9</v>
      </c>
      <c r="I13" s="2">
        <v>154579.79999999996</v>
      </c>
      <c r="J13" s="2">
        <f t="shared" si="2"/>
        <v>-76450.100000000035</v>
      </c>
      <c r="K13" s="8">
        <f t="shared" si="3"/>
        <v>-0.33090998178157904</v>
      </c>
    </row>
    <row r="14" spans="2:13" x14ac:dyDescent="0.25">
      <c r="B14" s="3"/>
      <c r="C14" s="3" t="s">
        <v>8</v>
      </c>
      <c r="D14" s="3" t="s">
        <v>40</v>
      </c>
      <c r="E14" s="3" t="s">
        <v>9</v>
      </c>
      <c r="F14" s="4">
        <v>1</v>
      </c>
      <c r="G14" s="4">
        <v>1</v>
      </c>
      <c r="H14" s="4">
        <v>1</v>
      </c>
      <c r="I14" s="4">
        <v>1</v>
      </c>
      <c r="J14" s="4">
        <f t="shared" si="2"/>
        <v>0</v>
      </c>
      <c r="K14" s="9">
        <f t="shared" si="3"/>
        <v>0</v>
      </c>
      <c r="M14" s="23"/>
    </row>
    <row r="15" spans="2:13" x14ac:dyDescent="0.25">
      <c r="B15" s="1" t="s">
        <v>14</v>
      </c>
      <c r="C15" s="1" t="s">
        <v>23</v>
      </c>
      <c r="D15" s="1" t="s">
        <v>11</v>
      </c>
      <c r="E15" s="1" t="s">
        <v>7</v>
      </c>
      <c r="F15" s="2">
        <v>291291.40000000002</v>
      </c>
      <c r="G15" s="2">
        <v>441481.01771339937</v>
      </c>
      <c r="H15" s="2">
        <v>732772.41771339939</v>
      </c>
      <c r="I15" s="2">
        <v>688457.09170753264</v>
      </c>
      <c r="J15" s="2">
        <f t="shared" si="2"/>
        <v>-44315.326005866751</v>
      </c>
      <c r="K15" s="8">
        <f t="shared" si="3"/>
        <v>-6.0476247378622339E-2</v>
      </c>
    </row>
    <row r="16" spans="2:13" x14ac:dyDescent="0.25">
      <c r="B16" s="3"/>
      <c r="C16" s="3" t="s">
        <v>8</v>
      </c>
      <c r="D16" s="3" t="s">
        <v>11</v>
      </c>
      <c r="E16" s="3" t="s">
        <v>9</v>
      </c>
      <c r="F16" s="4">
        <v>10</v>
      </c>
      <c r="G16" s="4">
        <v>10</v>
      </c>
      <c r="H16" s="4">
        <v>10</v>
      </c>
      <c r="I16" s="4">
        <v>10</v>
      </c>
      <c r="J16" s="4">
        <f t="shared" si="2"/>
        <v>0</v>
      </c>
      <c r="K16" s="9">
        <f t="shared" si="3"/>
        <v>0</v>
      </c>
      <c r="M16" s="23"/>
    </row>
    <row r="17" spans="2:13" x14ac:dyDescent="0.25">
      <c r="B17" s="1" t="s">
        <v>15</v>
      </c>
      <c r="C17" s="1" t="s">
        <v>23</v>
      </c>
      <c r="D17" s="1" t="s">
        <v>11</v>
      </c>
      <c r="E17" s="1" t="s">
        <v>7</v>
      </c>
      <c r="F17" s="2">
        <v>4861779.4000000004</v>
      </c>
      <c r="G17" s="2">
        <v>7240105.296969166</v>
      </c>
      <c r="H17" s="2">
        <v>12101884.696969166</v>
      </c>
      <c r="I17" s="2">
        <v>11625431.40547177</v>
      </c>
      <c r="J17" s="2">
        <f t="shared" si="2"/>
        <v>-476453.29149739631</v>
      </c>
      <c r="K17" s="8">
        <f t="shared" si="3"/>
        <v>-3.9370172781163615E-2</v>
      </c>
    </row>
    <row r="18" spans="2:13" x14ac:dyDescent="0.25">
      <c r="B18" s="3"/>
      <c r="C18" s="3" t="s">
        <v>8</v>
      </c>
      <c r="D18" s="3" t="s">
        <v>11</v>
      </c>
      <c r="E18" s="3" t="s">
        <v>9</v>
      </c>
      <c r="F18" s="4">
        <v>68.833333333333329</v>
      </c>
      <c r="G18" s="4">
        <v>63</v>
      </c>
      <c r="H18" s="4">
        <v>65.916666666666671</v>
      </c>
      <c r="I18" s="4">
        <v>63</v>
      </c>
      <c r="J18" s="4">
        <f t="shared" si="2"/>
        <v>-2.9166666666666714</v>
      </c>
      <c r="K18" s="9">
        <f t="shared" si="3"/>
        <v>-4.4247787610619538E-2</v>
      </c>
      <c r="M18" s="23"/>
    </row>
    <row r="19" spans="2:13" x14ac:dyDescent="0.25">
      <c r="B19" s="1" t="s">
        <v>16</v>
      </c>
      <c r="C19" s="1" t="s">
        <v>23</v>
      </c>
      <c r="D19" s="1" t="s">
        <v>40</v>
      </c>
      <c r="E19" s="1" t="s">
        <v>7</v>
      </c>
      <c r="F19" s="2">
        <v>777905.99999999988</v>
      </c>
      <c r="G19" s="2">
        <v>58774.899999999987</v>
      </c>
      <c r="H19" s="2">
        <v>836680.89999999991</v>
      </c>
      <c r="I19" s="2">
        <v>0</v>
      </c>
      <c r="J19" s="2">
        <f t="shared" si="2"/>
        <v>-836680.89999999991</v>
      </c>
      <c r="K19" s="8">
        <f t="shared" si="3"/>
        <v>-1</v>
      </c>
    </row>
    <row r="20" spans="2:13" x14ac:dyDescent="0.25">
      <c r="B20" s="3"/>
      <c r="C20" s="3" t="s">
        <v>8</v>
      </c>
      <c r="D20" s="3" t="s">
        <v>40</v>
      </c>
      <c r="E20" s="3" t="s">
        <v>9</v>
      </c>
      <c r="F20" s="4">
        <v>1</v>
      </c>
      <c r="G20" s="4">
        <v>0.16666666666666666</v>
      </c>
      <c r="H20" s="4">
        <v>0.58333333333333337</v>
      </c>
      <c r="I20" s="4">
        <v>0</v>
      </c>
      <c r="J20" s="4">
        <f t="shared" si="2"/>
        <v>-0.58333333333333337</v>
      </c>
      <c r="K20" s="9">
        <f t="shared" si="3"/>
        <v>-1</v>
      </c>
      <c r="M20" s="23"/>
    </row>
    <row r="21" spans="2:13" x14ac:dyDescent="0.25">
      <c r="B21" s="1" t="s">
        <v>17</v>
      </c>
      <c r="C21" s="1" t="s">
        <v>23</v>
      </c>
      <c r="D21" s="1" t="s">
        <v>6</v>
      </c>
      <c r="E21" s="1" t="s">
        <v>7</v>
      </c>
      <c r="F21" s="2">
        <v>5807308.2999999998</v>
      </c>
      <c r="G21" s="2">
        <v>14414085.048166735</v>
      </c>
      <c r="H21" s="2">
        <v>20221393.348166734</v>
      </c>
      <c r="I21" s="2">
        <v>19516321.910371594</v>
      </c>
      <c r="J21" s="2">
        <f t="shared" si="2"/>
        <v>-705071.43779513985</v>
      </c>
      <c r="K21" s="8">
        <f t="shared" si="3"/>
        <v>-3.4867599163687757E-2</v>
      </c>
    </row>
    <row r="22" spans="2:13" x14ac:dyDescent="0.25">
      <c r="B22" s="3"/>
      <c r="C22" s="3" t="s">
        <v>8</v>
      </c>
      <c r="D22" s="3" t="s">
        <v>6</v>
      </c>
      <c r="E22" s="3" t="s">
        <v>9</v>
      </c>
      <c r="F22" s="4">
        <v>295993.5</v>
      </c>
      <c r="G22" s="4">
        <v>295583.61613206792</v>
      </c>
      <c r="H22" s="4">
        <v>295788.55806603393</v>
      </c>
      <c r="I22" s="4">
        <v>296376.17352874647</v>
      </c>
      <c r="J22" s="4">
        <f t="shared" si="2"/>
        <v>587.6154627125361</v>
      </c>
      <c r="K22" s="9">
        <f t="shared" si="3"/>
        <v>1.9866064683318196E-3</v>
      </c>
      <c r="M22" s="23"/>
    </row>
    <row r="23" spans="2:13" x14ac:dyDescent="0.25">
      <c r="B23" s="1" t="s">
        <v>18</v>
      </c>
      <c r="C23" s="1" t="s">
        <v>23</v>
      </c>
      <c r="D23" s="1" t="s">
        <v>11</v>
      </c>
      <c r="E23" s="1" t="s">
        <v>7</v>
      </c>
      <c r="F23" s="2">
        <v>110110.10000000002</v>
      </c>
      <c r="G23" s="2">
        <v>154783.53279322502</v>
      </c>
      <c r="H23" s="2">
        <v>264893.63279322506</v>
      </c>
      <c r="I23" s="2">
        <v>255682.92084060452</v>
      </c>
      <c r="J23" s="2">
        <f t="shared" si="2"/>
        <v>-9210.7119526205352</v>
      </c>
      <c r="K23" s="8">
        <f t="shared" si="3"/>
        <v>-3.4771360321108169E-2</v>
      </c>
    </row>
    <row r="24" spans="2:13" x14ac:dyDescent="0.25">
      <c r="B24" s="3"/>
      <c r="C24" s="3" t="s">
        <v>8</v>
      </c>
      <c r="D24" s="3" t="s">
        <v>11</v>
      </c>
      <c r="E24" s="3" t="s">
        <v>9</v>
      </c>
      <c r="F24" s="4">
        <v>2</v>
      </c>
      <c r="G24" s="4">
        <v>2</v>
      </c>
      <c r="H24" s="4">
        <v>2</v>
      </c>
      <c r="I24" s="4">
        <v>2</v>
      </c>
      <c r="J24" s="4">
        <f t="shared" si="2"/>
        <v>0</v>
      </c>
      <c r="K24" s="9">
        <f t="shared" si="3"/>
        <v>0</v>
      </c>
      <c r="M24" s="23"/>
    </row>
    <row r="25" spans="2:13" x14ac:dyDescent="0.25">
      <c r="B25" s="1" t="s">
        <v>19</v>
      </c>
      <c r="C25" s="1" t="s">
        <v>23</v>
      </c>
      <c r="D25" s="1" t="s">
        <v>11</v>
      </c>
      <c r="E25" s="1" t="s">
        <v>7</v>
      </c>
      <c r="F25" s="2">
        <v>259229</v>
      </c>
      <c r="G25" s="2">
        <v>226031.06565011965</v>
      </c>
      <c r="H25" s="2">
        <v>485260.06565011968</v>
      </c>
      <c r="I25" s="2">
        <v>459927.3037679554</v>
      </c>
      <c r="J25" s="2">
        <f t="shared" si="2"/>
        <v>-25332.761882164283</v>
      </c>
      <c r="K25" s="8">
        <f t="shared" si="3"/>
        <v>-5.2204505739051665E-2</v>
      </c>
    </row>
    <row r="26" spans="2:13" x14ac:dyDescent="0.25">
      <c r="B26" s="3"/>
      <c r="C26" s="3" t="s">
        <v>8</v>
      </c>
      <c r="D26" s="3" t="s">
        <v>11</v>
      </c>
      <c r="E26" s="3" t="s">
        <v>9</v>
      </c>
      <c r="F26" s="4">
        <v>7</v>
      </c>
      <c r="G26" s="4">
        <v>5</v>
      </c>
      <c r="H26" s="4">
        <v>6</v>
      </c>
      <c r="I26" s="5">
        <v>5</v>
      </c>
      <c r="J26" s="4">
        <f t="shared" si="2"/>
        <v>-1</v>
      </c>
      <c r="K26" s="9">
        <f t="shared" si="3"/>
        <v>-0.16666666666666663</v>
      </c>
      <c r="M26" s="23"/>
    </row>
    <row r="27" spans="2:13" x14ac:dyDescent="0.25">
      <c r="B27" s="36" t="s">
        <v>30</v>
      </c>
      <c r="C27" s="1"/>
      <c r="D27" s="1"/>
      <c r="E27" s="1"/>
      <c r="F27" s="1"/>
      <c r="G27" s="1"/>
      <c r="H27" s="37"/>
      <c r="I27" s="1"/>
      <c r="J27" s="1"/>
      <c r="K27" s="1"/>
    </row>
    <row r="28" spans="2:13" s="10" customFormat="1" x14ac:dyDescent="0.25">
      <c r="B28" s="13" t="s">
        <v>21</v>
      </c>
      <c r="C28" s="13" t="s">
        <v>23</v>
      </c>
      <c r="D28" s="13" t="s">
        <v>6</v>
      </c>
      <c r="E28" s="13" t="s">
        <v>7</v>
      </c>
      <c r="F28" s="14">
        <v>-1353218</v>
      </c>
      <c r="G28" s="13"/>
      <c r="H28" s="14">
        <v>-1353218</v>
      </c>
      <c r="I28" s="14"/>
      <c r="J28" s="15">
        <f t="shared" ref="J28:J29" si="4">IF(H28="","",I28-H28)</f>
        <v>1353218</v>
      </c>
      <c r="K28" s="39">
        <f t="shared" ref="K28:K29" si="5">IF(H28="","",I28/H28-1)</f>
        <v>-1</v>
      </c>
    </row>
    <row r="29" spans="2:13" s="10" customFormat="1" x14ac:dyDescent="0.25">
      <c r="B29" s="7" t="s">
        <v>26</v>
      </c>
      <c r="C29" s="3" t="s">
        <v>23</v>
      </c>
      <c r="D29" s="3" t="s">
        <v>6</v>
      </c>
      <c r="E29" s="3" t="s">
        <v>7</v>
      </c>
      <c r="F29" s="14">
        <v>-618927</v>
      </c>
      <c r="G29" s="13"/>
      <c r="H29" s="14">
        <v>-618927</v>
      </c>
      <c r="I29" s="14"/>
      <c r="J29" s="15">
        <f t="shared" si="4"/>
        <v>618927</v>
      </c>
      <c r="K29" s="39">
        <f t="shared" si="5"/>
        <v>-1</v>
      </c>
      <c r="M29" s="21"/>
    </row>
    <row r="30" spans="2:13" s="10" customFormat="1" x14ac:dyDescent="0.25">
      <c r="B30" s="16" t="s">
        <v>22</v>
      </c>
      <c r="C30" s="17" t="s">
        <v>23</v>
      </c>
      <c r="D30" s="17" t="s">
        <v>6</v>
      </c>
      <c r="E30" s="17" t="s">
        <v>7</v>
      </c>
      <c r="F30" s="6">
        <f>+SUM(F28:F29)</f>
        <v>-1972145</v>
      </c>
      <c r="G30" s="17"/>
      <c r="H30" s="6">
        <f>+SUM(H28:H29)</f>
        <v>-1972145</v>
      </c>
      <c r="I30" s="6"/>
      <c r="J30" s="18">
        <f t="shared" ref="J30" si="6">IF(H30="","",I30-H30)</f>
        <v>1972145</v>
      </c>
      <c r="K30" s="40">
        <f t="shared" ref="K30" si="7">IF(H30="","",I30/H30-1)</f>
        <v>-1</v>
      </c>
    </row>
    <row r="31" spans="2:13" s="10" customFormat="1" x14ac:dyDescent="0.25">
      <c r="B31" s="27"/>
      <c r="F31" s="11"/>
      <c r="H31" s="11"/>
      <c r="I31" s="11"/>
      <c r="J31" s="25"/>
      <c r="K31" s="28"/>
    </row>
    <row r="32" spans="2:13" s="10" customFormat="1" x14ac:dyDescent="0.25">
      <c r="B32" s="27"/>
      <c r="F32" s="11"/>
      <c r="H32" s="11"/>
      <c r="I32" s="11"/>
      <c r="J32" s="25"/>
      <c r="K32" s="28"/>
    </row>
    <row r="33" spans="2:12" x14ac:dyDescent="0.25">
      <c r="B33" s="1" t="s">
        <v>37</v>
      </c>
      <c r="C33" s="1" t="s">
        <v>23</v>
      </c>
      <c r="D33" s="1" t="s">
        <v>27</v>
      </c>
      <c r="E33" s="1" t="s">
        <v>7</v>
      </c>
      <c r="F33" s="2">
        <f>SUMIF($C$5:$C$26,"Gas Volumes",$F$5:$F$26)+F30</f>
        <v>14131322.799999999</v>
      </c>
      <c r="G33" s="2">
        <f>SUMIF($C$5:$C$26,"Gas Volumes",$G$5:$G$26)</f>
        <v>30675583.870227925</v>
      </c>
      <c r="H33" s="2">
        <f>SUMIF($C$5:$C$26,"Gas Volumes",$H$5:$H$26)+H30</f>
        <v>44806906.670227922</v>
      </c>
      <c r="I33" s="2">
        <f>SUMIF($C$5:$C$26,"Gas Volumes",$I$5:$I$26)</f>
        <v>44455545.746566728</v>
      </c>
      <c r="J33" s="2">
        <f>IF(H33="","",I33-H33)</f>
        <v>-351360.92366119474</v>
      </c>
      <c r="K33" s="8">
        <f>IF(H33="","",I33/H33-1)</f>
        <v>-7.8416688357256792E-3</v>
      </c>
    </row>
    <row r="34" spans="2:12" x14ac:dyDescent="0.25">
      <c r="B34" s="7" t="s">
        <v>20</v>
      </c>
      <c r="C34" s="3" t="s">
        <v>8</v>
      </c>
      <c r="D34" s="3" t="s">
        <v>27</v>
      </c>
      <c r="E34" s="3" t="s">
        <v>9</v>
      </c>
      <c r="F34" s="4">
        <f>SUMIF($C$5:$C$26,"Customers",$F$5:$F$26)</f>
        <v>321329.5</v>
      </c>
      <c r="G34" s="4">
        <f>SUMIF($C$5:$C$26,"Customers",$G$5:$G$26)</f>
        <v>321004.7960587166</v>
      </c>
      <c r="H34" s="4">
        <f>SUMIF($C$5:$C$26,"Customers",$H$5:$H$26)</f>
        <v>321167.14802935824</v>
      </c>
      <c r="I34" s="5">
        <f>SUMIF($C$5:$C$26,"Customers",$I$5:$I$26)</f>
        <v>321669.91945790348</v>
      </c>
      <c r="J34" s="4">
        <f>IF(H34="","",I34-H34)</f>
        <v>502.77142854523845</v>
      </c>
      <c r="K34" s="9">
        <f>IF(H34="","",I34/H34-1)</f>
        <v>1.5654509859746035E-3</v>
      </c>
    </row>
    <row r="35" spans="2:12" x14ac:dyDescent="0.25">
      <c r="B35" s="10"/>
      <c r="C35" s="10"/>
      <c r="D35" s="10"/>
      <c r="E35" s="10"/>
      <c r="F35" s="11"/>
      <c r="G35" s="11"/>
      <c r="H35" s="11"/>
      <c r="I35" s="11"/>
      <c r="J35" s="11"/>
      <c r="K35" s="12"/>
    </row>
    <row r="36" spans="2:12" x14ac:dyDescent="0.25">
      <c r="B36" s="24" t="s">
        <v>29</v>
      </c>
      <c r="C36" s="1" t="s">
        <v>23</v>
      </c>
      <c r="D36" s="1" t="s">
        <v>6</v>
      </c>
      <c r="E36" s="1" t="s">
        <v>7</v>
      </c>
      <c r="F36" s="2">
        <f>+SUMIFS(F$5:F$26,$C$5:$C$26,"Gas Volumes",$D$5:$D$26,$D36)+F30</f>
        <v>7671813.8999999985</v>
      </c>
      <c r="G36" s="2">
        <f>+SUMIFS(G$5:G$26,$C$5:$C$26,"Gas Volumes",$D$5:$D$26,$D36)</f>
        <v>22482571.157102019</v>
      </c>
      <c r="H36" s="2">
        <f>+SUMIFS(H$5:H$26,$C$5:$C$26,"Gas Volumes",$D$5:$D$26,$D36)+H30</f>
        <v>30154385.057102017</v>
      </c>
      <c r="I36" s="2">
        <f>+SUMIFS(I$5:I$26,$C$5:$C$26,"Gas Volumes",$D$5:$D$26,$D36)</f>
        <v>31271467.224778861</v>
      </c>
      <c r="J36" s="2">
        <f>IF(H36="","",I36-H36)</f>
        <v>1117082.1676768437</v>
      </c>
      <c r="K36" s="8">
        <f t="shared" ref="K36" si="8">IF(H36="","",I36/H36-1)</f>
        <v>3.7045430227194975E-2</v>
      </c>
    </row>
    <row r="37" spans="2:12" x14ac:dyDescent="0.25">
      <c r="B37" s="7" t="s">
        <v>20</v>
      </c>
      <c r="C37" s="3" t="s">
        <v>8</v>
      </c>
      <c r="D37" s="3" t="s">
        <v>6</v>
      </c>
      <c r="E37" s="3" t="s">
        <v>9</v>
      </c>
      <c r="F37" s="4">
        <f>+SUMIFS(F$5:F$26,$C$5:$C$26,"Customers",$D$5:$D$26,$D37)</f>
        <v>321239.66666666669</v>
      </c>
      <c r="G37" s="4">
        <f>+SUMIFS(G$5:G$26,$C$5:$C$26,"Customers",$D$5:$D$26,$D37)</f>
        <v>320923.62939204992</v>
      </c>
      <c r="H37" s="4">
        <f>+SUMIFS(H$5:H$26,$C$5:$C$26,"Customers",$D$5:$D$26,$D37)</f>
        <v>321081.64802935824</v>
      </c>
      <c r="I37" s="5">
        <f>+SUMIFS(I$5:I$26,$C$5:$C$26,"Customers",$D$5:$D$26,$D37)</f>
        <v>321588.91945790348</v>
      </c>
      <c r="J37" s="4">
        <f>IF(H37="","",I37-H37)</f>
        <v>507.27142854523845</v>
      </c>
      <c r="K37" s="9">
        <f>IF(H37="","",I37/H37-1)</f>
        <v>1.5798829726290098E-3</v>
      </c>
    </row>
    <row r="38" spans="2:12" x14ac:dyDescent="0.25">
      <c r="B38" s="10"/>
      <c r="C38" s="10"/>
      <c r="D38" s="10"/>
      <c r="E38" s="10"/>
      <c r="F38" s="11"/>
      <c r="G38" s="11"/>
      <c r="H38" s="11"/>
      <c r="I38" s="11"/>
      <c r="J38" s="11"/>
      <c r="K38" s="12"/>
    </row>
    <row r="39" spans="2:12" x14ac:dyDescent="0.25">
      <c r="B39" s="1" t="s">
        <v>28</v>
      </c>
      <c r="C39" s="1" t="s">
        <v>23</v>
      </c>
      <c r="D39" s="1" t="s">
        <v>11</v>
      </c>
      <c r="E39" s="1" t="s">
        <v>7</v>
      </c>
      <c r="F39" s="2">
        <f>+SUMIFS(F$5:F$26,$C$5:$C$26,"Gas Volumes",$D$5:$D$26,$D39)</f>
        <v>5522409.9000000004</v>
      </c>
      <c r="G39" s="2">
        <f>+SUMIFS(G$5:G$26,$C$5:$C$26,"Gas Volumes",$D$5:$D$26,$D39)</f>
        <v>8062400.9131259099</v>
      </c>
      <c r="H39" s="2">
        <f>+SUMIFS(H$5:H$26,$C$5:$C$26,"Gas Volumes",$D$5:$D$26,$D39)</f>
        <v>13584810.813125912</v>
      </c>
      <c r="I39" s="2">
        <f>+SUMIFS(I$5:I$26,$C$5:$C$26,"Gas Volumes",$D$5:$D$26,$D39)</f>
        <v>13029498.721787862</v>
      </c>
      <c r="J39" s="2">
        <f>IF(H39="","",I39-H39)</f>
        <v>-555312.09133804962</v>
      </c>
      <c r="K39" s="8">
        <f t="shared" ref="K39:K40" si="9">IF(H39="","",I39/H39-1)</f>
        <v>-4.0877425455310479E-2</v>
      </c>
    </row>
    <row r="40" spans="2:12" x14ac:dyDescent="0.25">
      <c r="B40" s="7" t="s">
        <v>20</v>
      </c>
      <c r="C40" s="3" t="s">
        <v>8</v>
      </c>
      <c r="D40" s="3" t="s">
        <v>11</v>
      </c>
      <c r="E40" s="3" t="s">
        <v>9</v>
      </c>
      <c r="F40" s="4">
        <f>+SUMIFS(F$5:F$26,$C$5:$C$26,"Customers",$D$5:$D$26,$D40)</f>
        <v>87.833333333333329</v>
      </c>
      <c r="G40" s="4">
        <f>+SUMIFS(G$5:G$26,$C$5:$C$26,"Customers",$D$5:$D$26,$D40)</f>
        <v>80</v>
      </c>
      <c r="H40" s="4">
        <f>+SUMIFS(H$5:H$26,$C$5:$C$26,"Customers",$D$5:$D$26,$D40)</f>
        <v>83.916666666666671</v>
      </c>
      <c r="I40" s="5">
        <f>+SUMIFS(I$5:I$26,$C$5:$C$26,"Customers",$D$5:$D$26,$D40)</f>
        <v>80</v>
      </c>
      <c r="J40" s="4">
        <f t="shared" ref="J40" si="10">IF(H40="","",I40-H40)</f>
        <v>-3.9166666666666714</v>
      </c>
      <c r="K40" s="9">
        <f t="shared" si="9"/>
        <v>-4.6673286991062657E-2</v>
      </c>
    </row>
    <row r="41" spans="2:12" x14ac:dyDescent="0.25">
      <c r="B41" s="29"/>
      <c r="C41" s="30"/>
      <c r="D41" s="30"/>
      <c r="E41" s="30"/>
      <c r="F41" s="30"/>
      <c r="G41" s="30"/>
      <c r="H41" s="30"/>
      <c r="I41" s="30"/>
      <c r="J41" s="30"/>
      <c r="K41" s="30"/>
      <c r="L41" s="20"/>
    </row>
    <row r="42" spans="2:12" x14ac:dyDescent="0.25">
      <c r="B42" s="1" t="s">
        <v>41</v>
      </c>
      <c r="C42" s="1" t="s">
        <v>23</v>
      </c>
      <c r="D42" s="1" t="s">
        <v>40</v>
      </c>
      <c r="E42" s="1" t="s">
        <v>7</v>
      </c>
      <c r="F42" s="2">
        <f>+SUMIFS(F$5:F$26,$C$5:$C$26,"Gas Volumes",$D$5:$D$26,"Generation")</f>
        <v>937098.99999999988</v>
      </c>
      <c r="G42" s="2">
        <f t="shared" ref="G42:I42" si="11">+SUMIFS(G$5:G$26,$C$5:$C$26,"Gas Volumes",$D$5:$D$26,"Generation")</f>
        <v>130611.79999999999</v>
      </c>
      <c r="H42" s="2">
        <f t="shared" si="11"/>
        <v>1067710.7999999998</v>
      </c>
      <c r="I42" s="2">
        <f t="shared" si="11"/>
        <v>154579.79999999996</v>
      </c>
      <c r="J42" s="2">
        <f>IF(H42="","",I42-H42)</f>
        <v>-913130.99999999988</v>
      </c>
      <c r="K42" s="8">
        <f t="shared" ref="K42:K43" si="12">IF(H42="","",I42/H42-1)</f>
        <v>-0.85522315593323583</v>
      </c>
    </row>
    <row r="43" spans="2:12" x14ac:dyDescent="0.25">
      <c r="B43" s="7" t="s">
        <v>20</v>
      </c>
      <c r="C43" s="3" t="s">
        <v>8</v>
      </c>
      <c r="D43" s="3" t="s">
        <v>40</v>
      </c>
      <c r="E43" s="3" t="s">
        <v>9</v>
      </c>
      <c r="F43" s="4">
        <f>+SUMIFS(F$5:F$26,$C$5:$C$26,"Customers",$D$5:$D$26,"Generation")</f>
        <v>2</v>
      </c>
      <c r="G43" s="4">
        <f t="shared" ref="G43:I43" si="13">+SUMIFS(G$5:G$26,$C$5:$C$26,"Customers",$D$5:$D$26,"Generation")</f>
        <v>1.1666666666666667</v>
      </c>
      <c r="H43" s="4">
        <f t="shared" si="13"/>
        <v>1.5833333333333335</v>
      </c>
      <c r="I43" s="5">
        <f t="shared" si="13"/>
        <v>1</v>
      </c>
      <c r="J43" s="4">
        <f t="shared" ref="J43" si="14">IF(H43="","",I43-H43)</f>
        <v>-0.58333333333333348</v>
      </c>
      <c r="K43" s="9">
        <f t="shared" si="12"/>
        <v>-0.36842105263157898</v>
      </c>
    </row>
    <row r="44" spans="2:12" x14ac:dyDescent="0.25">
      <c r="B44" s="29"/>
      <c r="C44" s="30"/>
      <c r="D44" s="30"/>
      <c r="E44" s="30"/>
      <c r="F44" s="30"/>
      <c r="G44" s="30"/>
      <c r="H44" s="30"/>
      <c r="I44" s="30"/>
      <c r="J44" s="30"/>
      <c r="K44" s="30"/>
      <c r="L44" s="20"/>
    </row>
    <row r="45" spans="2:12" ht="24.95" customHeight="1" x14ac:dyDescent="0.25">
      <c r="B45" s="43" t="s">
        <v>31</v>
      </c>
      <c r="C45" s="43"/>
      <c r="D45" s="43"/>
      <c r="E45" s="43"/>
      <c r="F45" s="43"/>
      <c r="G45" s="43"/>
      <c r="H45" s="43"/>
      <c r="I45" s="43"/>
      <c r="J45" s="43"/>
      <c r="K45" s="43"/>
      <c r="L45" s="31"/>
    </row>
    <row r="46" spans="2:12" x14ac:dyDescent="0.25">
      <c r="B46" s="43"/>
      <c r="C46" s="43"/>
      <c r="D46" s="43"/>
      <c r="E46" s="43"/>
      <c r="F46" s="43"/>
      <c r="G46" s="43"/>
      <c r="H46" s="43"/>
      <c r="I46" s="43"/>
      <c r="J46" s="43"/>
      <c r="K46" s="43"/>
      <c r="L46" s="31"/>
    </row>
    <row r="47" spans="2:12" ht="86.25" customHeight="1" x14ac:dyDescent="0.25">
      <c r="B47" s="43" t="s">
        <v>32</v>
      </c>
      <c r="C47" s="43"/>
      <c r="D47" s="43"/>
      <c r="E47" s="43"/>
      <c r="F47" s="43"/>
      <c r="G47" s="43"/>
      <c r="H47" s="43"/>
      <c r="I47" s="43"/>
      <c r="J47" s="43"/>
      <c r="K47" s="43"/>
      <c r="L47" s="31"/>
    </row>
    <row r="48" spans="2:12" s="10" customFormat="1" x14ac:dyDescent="0.25">
      <c r="H48" s="11"/>
      <c r="I48" s="11"/>
      <c r="J48" s="25"/>
      <c r="K48" s="26"/>
    </row>
    <row r="49" spans="2:11" s="10" customFormat="1" x14ac:dyDescent="0.25">
      <c r="H49" s="11"/>
      <c r="I49" s="11"/>
      <c r="J49" s="25"/>
      <c r="K49" s="26"/>
    </row>
    <row r="50" spans="2:11" s="10" customFormat="1" x14ac:dyDescent="0.25">
      <c r="H50" s="11"/>
      <c r="I50" s="11"/>
      <c r="J50" s="25"/>
      <c r="K50" s="26"/>
    </row>
    <row r="51" spans="2:11" s="10" customFormat="1" x14ac:dyDescent="0.25">
      <c r="B51" s="27"/>
      <c r="H51" s="11"/>
      <c r="I51" s="11"/>
      <c r="J51" s="11"/>
      <c r="K51" s="26"/>
    </row>
    <row r="52" spans="2:11" s="10" customFormat="1" x14ac:dyDescent="0.25"/>
    <row r="53" spans="2:11" s="10" customFormat="1" x14ac:dyDescent="0.25"/>
    <row r="54" spans="2:11" s="10" customFormat="1" x14ac:dyDescent="0.25"/>
    <row r="55" spans="2:11" s="10" customFormat="1" x14ac:dyDescent="0.25"/>
  </sheetData>
  <mergeCells count="3">
    <mergeCell ref="F3:H3"/>
    <mergeCell ref="B45:K46"/>
    <mergeCell ref="B47:K47"/>
  </mergeCells>
  <pageMargins left="0.7" right="0.7" top="0.75" bottom="0.75" header="0.3" footer="0.3"/>
  <pageSetup scale="61" fitToHeight="0" orientation="landscape" r:id="rId1"/>
  <headerFooter>
    <oddHeader>&amp;R&amp;"-,Bold"&amp;14Exhibit DSS-3
Page &amp;P of &amp;N</oddHeader>
  </headerFooter>
  <ignoredErrors>
    <ignoredError sqref="G3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2016-12-01T14:34:05Z</dcterms:created>
  <dcterms:modified xsi:type="dcterms:W3CDTF">2016-12-01T14:34:21Z</dcterms:modified>
</cp:coreProperties>
</file>