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 tabRatio="931"/>
  </bookViews>
  <sheets>
    <sheet name="Class Allocation" sheetId="52" r:id="rId1"/>
    <sheet name="Rev Req 2017-Distr" sheetId="91" r:id="rId2"/>
    <sheet name="Rev Req 2017-Trans" sheetId="111" r:id="rId3"/>
    <sheet name="ROR" sheetId="8" r:id="rId4"/>
    <sheet name="Cap&amp;OpEx 2017" sheetId="92" r:id="rId5"/>
    <sheet name="201707 Bk Depr" sheetId="99" r:id="rId6"/>
    <sheet name="201708 Bk Depr" sheetId="100" r:id="rId7"/>
    <sheet name="201709 Bk Depr" sheetId="101" r:id="rId8"/>
    <sheet name="201710 Bk Depr" sheetId="102" r:id="rId9"/>
    <sheet name="201711 Bk Depr" sheetId="103" r:id="rId10"/>
    <sheet name="201712 Bk Depr" sheetId="104" r:id="rId11"/>
    <sheet name="Tax Depr 2017" sheetId="108" r:id="rId12"/>
    <sheet name="Capital Budget 2017" sheetId="110" r:id="rId13"/>
    <sheet name="COS Budget 2017" sheetId="109" r:id="rId14"/>
  </sheets>
  <definedNames>
    <definedName name="_xlnm.Print_Area" localSheetId="12">'Capital Budget 2017'!$A$1:$S$72</definedName>
    <definedName name="_xlnm.Print_Area" localSheetId="1">'Rev Req 2017-Distr'!$A$1:$AF$31</definedName>
    <definedName name="_xlnm.Print_Area" localSheetId="2">'Rev Req 2017-Trans'!$A$1:$AF$31</definedName>
  </definedNames>
  <calcPr calcId="152511" calcMode="manual"/>
</workbook>
</file>

<file path=xl/calcChain.xml><?xml version="1.0" encoding="utf-8"?>
<calcChain xmlns="http://schemas.openxmlformats.org/spreadsheetml/2006/main">
  <c r="C28" i="52" l="1"/>
  <c r="C25" i="52"/>
  <c r="C12" i="52" l="1"/>
  <c r="C27" i="52" s="1"/>
  <c r="C11" i="52"/>
  <c r="C26" i="52" s="1"/>
  <c r="C11" i="92" l="1"/>
  <c r="H22" i="104" l="1"/>
  <c r="H21" i="104"/>
  <c r="H20" i="104"/>
  <c r="H16" i="104"/>
  <c r="H15" i="104"/>
  <c r="H14" i="104"/>
  <c r="H13" i="104"/>
  <c r="H22" i="103"/>
  <c r="H21" i="103"/>
  <c r="H20" i="103"/>
  <c r="H16" i="103"/>
  <c r="H15" i="103"/>
  <c r="H14" i="103"/>
  <c r="H13" i="103"/>
  <c r="H22" i="102"/>
  <c r="H21" i="102"/>
  <c r="H20" i="102"/>
  <c r="H16" i="102"/>
  <c r="H15" i="102"/>
  <c r="H14" i="102"/>
  <c r="H13" i="102"/>
  <c r="H22" i="101"/>
  <c r="H21" i="101"/>
  <c r="H20" i="101"/>
  <c r="H16" i="101"/>
  <c r="H15" i="101"/>
  <c r="H14" i="101"/>
  <c r="H13" i="101"/>
  <c r="H22" i="100"/>
  <c r="H21" i="100"/>
  <c r="H20" i="100"/>
  <c r="H16" i="100"/>
  <c r="H15" i="100"/>
  <c r="H14" i="100"/>
  <c r="H13" i="100"/>
  <c r="H22" i="99"/>
  <c r="H21" i="99"/>
  <c r="H20" i="99"/>
  <c r="H16" i="99"/>
  <c r="H15" i="99"/>
  <c r="H14" i="99"/>
  <c r="H13" i="99"/>
  <c r="R13" i="108" l="1"/>
  <c r="R12" i="108"/>
  <c r="R60" i="108" s="1"/>
  <c r="AE16" i="111"/>
  <c r="AE13" i="111"/>
  <c r="AE12" i="111"/>
  <c r="AC27" i="91" l="1"/>
  <c r="AA27" i="91"/>
  <c r="Y27" i="91"/>
  <c r="W27" i="91"/>
  <c r="U27" i="91"/>
  <c r="S27" i="91"/>
  <c r="P92" i="108" l="1"/>
  <c r="N92" i="108"/>
  <c r="L92" i="108"/>
  <c r="J92" i="108"/>
  <c r="H92" i="108"/>
  <c r="Z91" i="108"/>
  <c r="AB91" i="108" s="1"/>
  <c r="AJ91" i="108" s="1"/>
  <c r="Z90" i="108"/>
  <c r="AB90" i="108" s="1"/>
  <c r="AJ90" i="108" s="1"/>
  <c r="Z89" i="108"/>
  <c r="AB89" i="108" s="1"/>
  <c r="AJ89" i="108" s="1"/>
  <c r="Z88" i="108"/>
  <c r="AB88" i="108" s="1"/>
  <c r="AJ88" i="108" s="1"/>
  <c r="Z87" i="108"/>
  <c r="AB87" i="108" s="1"/>
  <c r="AJ87" i="108" s="1"/>
  <c r="Z86" i="108"/>
  <c r="AB86" i="108" s="1"/>
  <c r="AJ86" i="108" s="1"/>
  <c r="Z85" i="108"/>
  <c r="AB85" i="108" s="1"/>
  <c r="AJ85" i="108" s="1"/>
  <c r="Z84" i="108"/>
  <c r="AB84" i="108" s="1"/>
  <c r="AJ84" i="108" s="1"/>
  <c r="Z83" i="108"/>
  <c r="AB83" i="108" s="1"/>
  <c r="AJ83" i="108" s="1"/>
  <c r="Z82" i="108"/>
  <c r="AB82" i="108" s="1"/>
  <c r="AJ82" i="108" s="1"/>
  <c r="Z81" i="108"/>
  <c r="AB81" i="108" s="1"/>
  <c r="AJ81" i="108" s="1"/>
  <c r="Z80" i="108"/>
  <c r="AB80" i="108" s="1"/>
  <c r="AJ80" i="108" s="1"/>
  <c r="Z79" i="108"/>
  <c r="AB79" i="108" s="1"/>
  <c r="AJ79" i="108" s="1"/>
  <c r="Z78" i="108"/>
  <c r="AB78" i="108" s="1"/>
  <c r="AJ78" i="108" s="1"/>
  <c r="Z77" i="108"/>
  <c r="AB77" i="108" s="1"/>
  <c r="AJ77" i="108" s="1"/>
  <c r="A65" i="108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AJ43" i="108"/>
  <c r="AH43" i="108"/>
  <c r="AJ42" i="108"/>
  <c r="AH42" i="108"/>
  <c r="AJ41" i="108"/>
  <c r="AH41" i="108"/>
  <c r="AJ40" i="108"/>
  <c r="AH40" i="108"/>
  <c r="AJ39" i="108"/>
  <c r="AH39" i="108"/>
  <c r="AJ38" i="108"/>
  <c r="AH38" i="108"/>
  <c r="AJ37" i="108"/>
  <c r="AH37" i="108"/>
  <c r="AJ36" i="108"/>
  <c r="AH36" i="108"/>
  <c r="AJ35" i="108"/>
  <c r="AH35" i="108"/>
  <c r="AJ34" i="108"/>
  <c r="AH34" i="108"/>
  <c r="AJ33" i="108"/>
  <c r="AH33" i="108"/>
  <c r="AJ32" i="108"/>
  <c r="AH32" i="108"/>
  <c r="AJ31" i="108"/>
  <c r="AH31" i="108"/>
  <c r="AJ30" i="108"/>
  <c r="AH30" i="108"/>
  <c r="AH29" i="108"/>
  <c r="AL22" i="108"/>
  <c r="AL21" i="108"/>
  <c r="AL20" i="108"/>
  <c r="AL19" i="108"/>
  <c r="AL18" i="108"/>
  <c r="AL17" i="108"/>
  <c r="A17" i="108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P16" i="108"/>
  <c r="P31" i="104"/>
  <c r="N31" i="104"/>
  <c r="J31" i="104"/>
  <c r="L30" i="104"/>
  <c r="L22" i="104"/>
  <c r="A14" i="104"/>
  <c r="A15" i="104" s="1"/>
  <c r="A16" i="104" s="1"/>
  <c r="A17" i="104" s="1"/>
  <c r="A20" i="104" s="1"/>
  <c r="A21" i="104" s="1"/>
  <c r="A22" i="104" s="1"/>
  <c r="A23" i="104" s="1"/>
  <c r="A25" i="104" s="1"/>
  <c r="A28" i="104" s="1"/>
  <c r="A29" i="104" s="1"/>
  <c r="A30" i="104" s="1"/>
  <c r="A31" i="104" s="1"/>
  <c r="P31" i="103"/>
  <c r="N31" i="103"/>
  <c r="J31" i="103"/>
  <c r="L30" i="103"/>
  <c r="A14" i="103"/>
  <c r="A15" i="103" s="1"/>
  <c r="A16" i="103" s="1"/>
  <c r="A17" i="103" s="1"/>
  <c r="A20" i="103" s="1"/>
  <c r="A21" i="103" s="1"/>
  <c r="A22" i="103" s="1"/>
  <c r="A23" i="103" s="1"/>
  <c r="A25" i="103" s="1"/>
  <c r="A28" i="103" s="1"/>
  <c r="A29" i="103" s="1"/>
  <c r="A30" i="103" s="1"/>
  <c r="A31" i="103" s="1"/>
  <c r="P31" i="102"/>
  <c r="N31" i="102"/>
  <c r="J31" i="102"/>
  <c r="L30" i="102"/>
  <c r="L22" i="102"/>
  <c r="N22" i="102" s="1"/>
  <c r="A14" i="102"/>
  <c r="A15" i="102" s="1"/>
  <c r="A16" i="102" s="1"/>
  <c r="A17" i="102" s="1"/>
  <c r="A20" i="102" s="1"/>
  <c r="A21" i="102" s="1"/>
  <c r="A22" i="102" s="1"/>
  <c r="A23" i="102" s="1"/>
  <c r="A25" i="102" s="1"/>
  <c r="A28" i="102" s="1"/>
  <c r="A29" i="102" s="1"/>
  <c r="A30" i="102" s="1"/>
  <c r="A31" i="102" s="1"/>
  <c r="P31" i="101"/>
  <c r="N31" i="101"/>
  <c r="J31" i="101"/>
  <c r="L30" i="101"/>
  <c r="L22" i="101"/>
  <c r="N22" i="101" s="1"/>
  <c r="A14" i="101"/>
  <c r="A15" i="101" s="1"/>
  <c r="A16" i="101" s="1"/>
  <c r="A17" i="101" s="1"/>
  <c r="A20" i="101" s="1"/>
  <c r="A21" i="101" s="1"/>
  <c r="A22" i="101" s="1"/>
  <c r="A23" i="101" s="1"/>
  <c r="A25" i="101" s="1"/>
  <c r="A28" i="101" s="1"/>
  <c r="A29" i="101" s="1"/>
  <c r="A30" i="101" s="1"/>
  <c r="A31" i="101" s="1"/>
  <c r="P31" i="100"/>
  <c r="N31" i="100"/>
  <c r="J31" i="100"/>
  <c r="L30" i="100"/>
  <c r="L22" i="100"/>
  <c r="A14" i="100"/>
  <c r="A15" i="100" s="1"/>
  <c r="A16" i="100" s="1"/>
  <c r="A17" i="100" s="1"/>
  <c r="A20" i="100" s="1"/>
  <c r="A21" i="100" s="1"/>
  <c r="A22" i="100" s="1"/>
  <c r="A23" i="100" s="1"/>
  <c r="A25" i="100" s="1"/>
  <c r="A28" i="100" s="1"/>
  <c r="A29" i="100" s="1"/>
  <c r="A30" i="100" s="1"/>
  <c r="A31" i="100" s="1"/>
  <c r="P31" i="99"/>
  <c r="N31" i="99"/>
  <c r="J31" i="99"/>
  <c r="F31" i="99"/>
  <c r="L30" i="99"/>
  <c r="R30" i="99" s="1"/>
  <c r="F30" i="100" s="1"/>
  <c r="F23" i="99"/>
  <c r="L22" i="99"/>
  <c r="J22" i="99"/>
  <c r="J21" i="99"/>
  <c r="J20" i="99"/>
  <c r="F17" i="99"/>
  <c r="J16" i="99"/>
  <c r="J15" i="99"/>
  <c r="J14" i="99"/>
  <c r="A14" i="99"/>
  <c r="A15" i="99" s="1"/>
  <c r="A16" i="99" s="1"/>
  <c r="A17" i="99" s="1"/>
  <c r="A20" i="99" s="1"/>
  <c r="A21" i="99" s="1"/>
  <c r="A22" i="99" s="1"/>
  <c r="A23" i="99" s="1"/>
  <c r="A25" i="99" s="1"/>
  <c r="A28" i="99" s="1"/>
  <c r="A29" i="99" s="1"/>
  <c r="A30" i="99" s="1"/>
  <c r="A31" i="99" s="1"/>
  <c r="J13" i="99"/>
  <c r="I30" i="92"/>
  <c r="I26" i="92"/>
  <c r="H25" i="92"/>
  <c r="L29" i="104" s="1"/>
  <c r="G25" i="92"/>
  <c r="L29" i="103" s="1"/>
  <c r="F25" i="92"/>
  <c r="L29" i="102" s="1"/>
  <c r="E25" i="92"/>
  <c r="L29" i="101" s="1"/>
  <c r="D25" i="92"/>
  <c r="L29" i="100" s="1"/>
  <c r="C25" i="92"/>
  <c r="L29" i="99" s="1"/>
  <c r="R29" i="99" s="1"/>
  <c r="F29" i="100" s="1"/>
  <c r="H24" i="92"/>
  <c r="L28" i="104" s="1"/>
  <c r="G24" i="92"/>
  <c r="L28" i="103" s="1"/>
  <c r="F24" i="92"/>
  <c r="L28" i="102" s="1"/>
  <c r="E24" i="92"/>
  <c r="L28" i="101" s="1"/>
  <c r="D24" i="92"/>
  <c r="L28" i="100" s="1"/>
  <c r="C24" i="92"/>
  <c r="L28" i="99" s="1"/>
  <c r="G22" i="92"/>
  <c r="H14" i="92"/>
  <c r="L16" i="104" s="1"/>
  <c r="G14" i="92"/>
  <c r="L16" i="103" s="1"/>
  <c r="F14" i="92"/>
  <c r="L16" i="102" s="1"/>
  <c r="E14" i="92"/>
  <c r="L16" i="101" s="1"/>
  <c r="D14" i="92"/>
  <c r="L16" i="100" s="1"/>
  <c r="N16" i="100" s="1"/>
  <c r="C14" i="92"/>
  <c r="L16" i="99" s="1"/>
  <c r="H13" i="92"/>
  <c r="L15" i="104" s="1"/>
  <c r="N15" i="104" s="1"/>
  <c r="G13" i="92"/>
  <c r="L15" i="103" s="1"/>
  <c r="F13" i="92"/>
  <c r="L15" i="102" s="1"/>
  <c r="E13" i="92"/>
  <c r="L15" i="101" s="1"/>
  <c r="D13" i="92"/>
  <c r="L15" i="100" s="1"/>
  <c r="N15" i="100" s="1"/>
  <c r="C13" i="92"/>
  <c r="L15" i="99" s="1"/>
  <c r="N15" i="99" s="1"/>
  <c r="H12" i="92"/>
  <c r="L14" i="104" s="1"/>
  <c r="G12" i="92"/>
  <c r="L14" i="103" s="1"/>
  <c r="F12" i="92"/>
  <c r="L14" i="102" s="1"/>
  <c r="E12" i="92"/>
  <c r="D12" i="92"/>
  <c r="L14" i="100" s="1"/>
  <c r="N14" i="100" s="1"/>
  <c r="C12" i="92"/>
  <c r="L14" i="99" s="1"/>
  <c r="H11" i="92"/>
  <c r="G11" i="92"/>
  <c r="F11" i="92"/>
  <c r="E11" i="92"/>
  <c r="D11" i="92"/>
  <c r="S11" i="111"/>
  <c r="A11" i="92"/>
  <c r="A12" i="92" s="1"/>
  <c r="A13" i="92" s="1"/>
  <c r="A14" i="92" s="1"/>
  <c r="A15" i="92" s="1"/>
  <c r="A17" i="92" s="1"/>
  <c r="A18" i="92" s="1"/>
  <c r="A19" i="92" s="1"/>
  <c r="A20" i="92" s="1"/>
  <c r="A22" i="92" s="1"/>
  <c r="A24" i="92" s="1"/>
  <c r="A25" i="92" s="1"/>
  <c r="A26" i="92" s="1"/>
  <c r="A27" i="92" s="1"/>
  <c r="A29" i="92" s="1"/>
  <c r="A30" i="92" s="1"/>
  <c r="H10" i="92"/>
  <c r="G10" i="92"/>
  <c r="L13" i="103" s="1"/>
  <c r="F10" i="92"/>
  <c r="E10" i="92"/>
  <c r="D10" i="92"/>
  <c r="C10" i="92"/>
  <c r="L13" i="99" s="1"/>
  <c r="P70" i="110"/>
  <c r="O70" i="110"/>
  <c r="N70" i="110"/>
  <c r="M70" i="110"/>
  <c r="L70" i="110"/>
  <c r="K70" i="110"/>
  <c r="J70" i="110"/>
  <c r="I70" i="110"/>
  <c r="H70" i="110"/>
  <c r="G70" i="110"/>
  <c r="F70" i="110"/>
  <c r="E70" i="110"/>
  <c r="Q69" i="110"/>
  <c r="Q68" i="110"/>
  <c r="Q67" i="110"/>
  <c r="P65" i="110"/>
  <c r="O65" i="110"/>
  <c r="N65" i="110"/>
  <c r="M65" i="110"/>
  <c r="L65" i="110"/>
  <c r="K65" i="110"/>
  <c r="J65" i="110"/>
  <c r="I65" i="110"/>
  <c r="H65" i="110"/>
  <c r="G65" i="110"/>
  <c r="F65" i="110"/>
  <c r="E65" i="110"/>
  <c r="Q64" i="110"/>
  <c r="Q63" i="110"/>
  <c r="Q62" i="110"/>
  <c r="Q61" i="110"/>
  <c r="Q60" i="110"/>
  <c r="Q59" i="110"/>
  <c r="Q58" i="110"/>
  <c r="Q57" i="110"/>
  <c r="Q56" i="110"/>
  <c r="Q55" i="110"/>
  <c r="Q54" i="110"/>
  <c r="P49" i="110"/>
  <c r="O49" i="110"/>
  <c r="N49" i="110"/>
  <c r="M49" i="110"/>
  <c r="L49" i="110"/>
  <c r="K49" i="110"/>
  <c r="J49" i="110"/>
  <c r="I49" i="110"/>
  <c r="H49" i="110"/>
  <c r="G49" i="110"/>
  <c r="F49" i="110"/>
  <c r="E49" i="110"/>
  <c r="Q48" i="110"/>
  <c r="Q47" i="110"/>
  <c r="Q46" i="110"/>
  <c r="P44" i="110"/>
  <c r="O44" i="110"/>
  <c r="O51" i="110" s="1"/>
  <c r="N44" i="110"/>
  <c r="N51" i="110" s="1"/>
  <c r="M44" i="110"/>
  <c r="L44" i="110"/>
  <c r="K44" i="110"/>
  <c r="K51" i="110" s="1"/>
  <c r="J44" i="110"/>
  <c r="J51" i="110" s="1"/>
  <c r="I44" i="110"/>
  <c r="H44" i="110"/>
  <c r="G44" i="110"/>
  <c r="G51" i="110" s="1"/>
  <c r="F44" i="110"/>
  <c r="F51" i="110" s="1"/>
  <c r="E44" i="110"/>
  <c r="Q43" i="110"/>
  <c r="Q42" i="110"/>
  <c r="Q41" i="110"/>
  <c r="Q40" i="110"/>
  <c r="Q39" i="110"/>
  <c r="Q38" i="110"/>
  <c r="Q37" i="110"/>
  <c r="Q36" i="110"/>
  <c r="Q35" i="110"/>
  <c r="Q34" i="110"/>
  <c r="Q33" i="110"/>
  <c r="Q32" i="110"/>
  <c r="P27" i="110"/>
  <c r="O27" i="110"/>
  <c r="N27" i="110"/>
  <c r="M27" i="110"/>
  <c r="L27" i="110"/>
  <c r="K27" i="110"/>
  <c r="J27" i="110"/>
  <c r="I27" i="110"/>
  <c r="H27" i="110"/>
  <c r="G27" i="110"/>
  <c r="F27" i="110"/>
  <c r="E27" i="110"/>
  <c r="Q26" i="110"/>
  <c r="Q25" i="110"/>
  <c r="Q24" i="110"/>
  <c r="Q23" i="110"/>
  <c r="Q22" i="110"/>
  <c r="Q21" i="110"/>
  <c r="Q18" i="110"/>
  <c r="P15" i="110"/>
  <c r="O15" i="110"/>
  <c r="N15" i="110"/>
  <c r="M15" i="110"/>
  <c r="L15" i="110"/>
  <c r="K15" i="110"/>
  <c r="J15" i="110"/>
  <c r="I15" i="110"/>
  <c r="I29" i="110" s="1"/>
  <c r="H15" i="110"/>
  <c r="G15" i="110"/>
  <c r="F14" i="110"/>
  <c r="F15" i="110" s="1"/>
  <c r="F29" i="110" s="1"/>
  <c r="E14" i="110"/>
  <c r="Q13" i="110"/>
  <c r="Q12" i="110"/>
  <c r="Q11" i="110"/>
  <c r="Q10" i="110"/>
  <c r="Q9" i="110"/>
  <c r="Q8" i="110"/>
  <c r="Q7" i="110"/>
  <c r="Q6" i="110"/>
  <c r="Q5" i="110"/>
  <c r="Q4" i="110"/>
  <c r="Q3" i="110"/>
  <c r="S99" i="109"/>
  <c r="R99" i="109"/>
  <c r="Q99" i="109"/>
  <c r="P99" i="109"/>
  <c r="O99" i="109"/>
  <c r="N99" i="109"/>
  <c r="M99" i="109"/>
  <c r="L99" i="109"/>
  <c r="K99" i="109"/>
  <c r="J99" i="109"/>
  <c r="I99" i="109"/>
  <c r="H99" i="109"/>
  <c r="T98" i="109"/>
  <c r="T97" i="109"/>
  <c r="T96" i="109"/>
  <c r="T95" i="109"/>
  <c r="T94" i="109"/>
  <c r="T93" i="109"/>
  <c r="T92" i="109"/>
  <c r="T91" i="109"/>
  <c r="T90" i="109"/>
  <c r="T89" i="109"/>
  <c r="T88" i="109"/>
  <c r="T87" i="109"/>
  <c r="T86" i="109"/>
  <c r="T85" i="109"/>
  <c r="T84" i="109"/>
  <c r="T83" i="109"/>
  <c r="T82" i="109"/>
  <c r="T81" i="109"/>
  <c r="T80" i="109"/>
  <c r="T79" i="109"/>
  <c r="T78" i="109"/>
  <c r="T77" i="109"/>
  <c r="T76" i="109"/>
  <c r="T75" i="109"/>
  <c r="T74" i="109"/>
  <c r="T73" i="109"/>
  <c r="T72" i="109"/>
  <c r="T71" i="109"/>
  <c r="T70" i="109"/>
  <c r="T69" i="109"/>
  <c r="T68" i="109"/>
  <c r="S66" i="109"/>
  <c r="R66" i="109"/>
  <c r="Q66" i="109"/>
  <c r="P66" i="109"/>
  <c r="O66" i="109"/>
  <c r="N66" i="109"/>
  <c r="M66" i="109"/>
  <c r="L66" i="109"/>
  <c r="K66" i="109"/>
  <c r="J66" i="109"/>
  <c r="I66" i="109"/>
  <c r="H66" i="109"/>
  <c r="T65" i="109"/>
  <c r="T64" i="109"/>
  <c r="T63" i="109"/>
  <c r="T62" i="109"/>
  <c r="T61" i="109"/>
  <c r="T60" i="109"/>
  <c r="T59" i="109"/>
  <c r="T58" i="109"/>
  <c r="T57" i="109"/>
  <c r="T56" i="109"/>
  <c r="T55" i="109"/>
  <c r="T54" i="109"/>
  <c r="T53" i="109"/>
  <c r="T52" i="109"/>
  <c r="T51" i="109"/>
  <c r="T50" i="109"/>
  <c r="T49" i="109"/>
  <c r="T48" i="109"/>
  <c r="T47" i="109"/>
  <c r="T46" i="109"/>
  <c r="T45" i="109"/>
  <c r="T44" i="109"/>
  <c r="T43" i="109"/>
  <c r="T42" i="109"/>
  <c r="T41" i="109"/>
  <c r="T40" i="109"/>
  <c r="T39" i="109"/>
  <c r="T38" i="109"/>
  <c r="T37" i="109"/>
  <c r="T36" i="109"/>
  <c r="T35" i="109"/>
  <c r="S33" i="109"/>
  <c r="H29" i="92" s="1"/>
  <c r="AC26" i="91" s="1"/>
  <c r="R33" i="109"/>
  <c r="G29" i="92" s="1"/>
  <c r="AA26" i="91" s="1"/>
  <c r="Q33" i="109"/>
  <c r="F29" i="92" s="1"/>
  <c r="Y26" i="91" s="1"/>
  <c r="P33" i="109"/>
  <c r="E29" i="92" s="1"/>
  <c r="W26" i="91" s="1"/>
  <c r="O33" i="109"/>
  <c r="D29" i="92" s="1"/>
  <c r="U26" i="91" s="1"/>
  <c r="N33" i="109"/>
  <c r="C29" i="92" s="1"/>
  <c r="S26" i="91" s="1"/>
  <c r="M33" i="109"/>
  <c r="L33" i="109"/>
  <c r="K33" i="109"/>
  <c r="J33" i="109"/>
  <c r="I33" i="109"/>
  <c r="H33" i="109"/>
  <c r="T32" i="109"/>
  <c r="T31" i="109"/>
  <c r="T30" i="109"/>
  <c r="T29" i="109"/>
  <c r="T28" i="109"/>
  <c r="T27" i="109"/>
  <c r="T26" i="109"/>
  <c r="T25" i="109"/>
  <c r="T24" i="109"/>
  <c r="T23" i="109"/>
  <c r="T22" i="109"/>
  <c r="T21" i="109"/>
  <c r="T20" i="109"/>
  <c r="T19" i="109"/>
  <c r="T18" i="109"/>
  <c r="T17" i="109"/>
  <c r="T16" i="109"/>
  <c r="T15" i="109"/>
  <c r="T14" i="109"/>
  <c r="T13" i="109"/>
  <c r="T12" i="109"/>
  <c r="T11" i="109"/>
  <c r="T10" i="109"/>
  <c r="T9" i="109"/>
  <c r="T8" i="109"/>
  <c r="T7" i="109"/>
  <c r="T6" i="109"/>
  <c r="T5" i="109"/>
  <c r="T4" i="109"/>
  <c r="T3" i="109"/>
  <c r="T2" i="109"/>
  <c r="E14" i="8"/>
  <c r="I12" i="8"/>
  <c r="M12" i="8" s="1"/>
  <c r="I11" i="8"/>
  <c r="M11" i="8" s="1"/>
  <c r="I10" i="8"/>
  <c r="AH1048576" i="111"/>
  <c r="AC29" i="111"/>
  <c r="AA29" i="111"/>
  <c r="Y29" i="111"/>
  <c r="W29" i="111"/>
  <c r="U29" i="111"/>
  <c r="S29" i="111"/>
  <c r="Q29" i="111"/>
  <c r="O29" i="111"/>
  <c r="M29" i="111"/>
  <c r="K29" i="111"/>
  <c r="I29" i="111"/>
  <c r="G29" i="111"/>
  <c r="E29" i="111"/>
  <c r="AE27" i="111"/>
  <c r="AE26" i="111"/>
  <c r="AE25" i="111"/>
  <c r="E14" i="111"/>
  <c r="E18" i="111" s="1"/>
  <c r="E22" i="111" s="1"/>
  <c r="E31" i="111" s="1"/>
  <c r="Q14" i="111"/>
  <c r="Q18" i="111" s="1"/>
  <c r="Q22" i="111" s="1"/>
  <c r="O14" i="111"/>
  <c r="O18" i="111" s="1"/>
  <c r="O22" i="111" s="1"/>
  <c r="M14" i="111"/>
  <c r="M18" i="111" s="1"/>
  <c r="M22" i="111" s="1"/>
  <c r="K14" i="111"/>
  <c r="K18" i="111" s="1"/>
  <c r="K22" i="111" s="1"/>
  <c r="I14" i="111"/>
  <c r="I18" i="111" s="1"/>
  <c r="I22" i="111" s="1"/>
  <c r="G14" i="111"/>
  <c r="G18" i="111" s="1"/>
  <c r="G22" i="111" s="1"/>
  <c r="AE6" i="111"/>
  <c r="AC6" i="111"/>
  <c r="AA6" i="111"/>
  <c r="Y6" i="111"/>
  <c r="W6" i="111"/>
  <c r="U6" i="111"/>
  <c r="S6" i="111"/>
  <c r="Q6" i="111"/>
  <c r="O6" i="111"/>
  <c r="M6" i="111"/>
  <c r="K6" i="111"/>
  <c r="I6" i="111"/>
  <c r="AH1048576" i="91"/>
  <c r="AE27" i="91"/>
  <c r="AC6" i="91"/>
  <c r="AA6" i="91"/>
  <c r="Y6" i="91"/>
  <c r="W6" i="91"/>
  <c r="U6" i="91"/>
  <c r="S6" i="91"/>
  <c r="Q6" i="91"/>
  <c r="O6" i="91"/>
  <c r="M6" i="91"/>
  <c r="K6" i="91"/>
  <c r="I6" i="91"/>
  <c r="I46" i="52"/>
  <c r="C46" i="52"/>
  <c r="E44" i="52" s="1"/>
  <c r="G44" i="52" s="1"/>
  <c r="K44" i="52" s="1"/>
  <c r="I29" i="52"/>
  <c r="I13" i="52"/>
  <c r="A11" i="52"/>
  <c r="A12" i="52" s="1"/>
  <c r="A13" i="52" l="1"/>
  <c r="A25" i="52" s="1"/>
  <c r="A26" i="52" s="1"/>
  <c r="A27" i="52" s="1"/>
  <c r="G29" i="110"/>
  <c r="O29" i="110"/>
  <c r="F72" i="110"/>
  <c r="L29" i="110"/>
  <c r="U11" i="111"/>
  <c r="W11" i="111" s="1"/>
  <c r="Y11" i="111" s="1"/>
  <c r="AA11" i="111" s="1"/>
  <c r="AC11" i="111" s="1"/>
  <c r="AC14" i="111" s="1"/>
  <c r="AC18" i="111" s="1"/>
  <c r="Q14" i="110"/>
  <c r="M72" i="110"/>
  <c r="I31" i="111"/>
  <c r="Q31" i="111"/>
  <c r="K31" i="111"/>
  <c r="P15" i="99"/>
  <c r="H29" i="110"/>
  <c r="P29" i="110"/>
  <c r="E72" i="110"/>
  <c r="I72" i="110"/>
  <c r="M29" i="110"/>
  <c r="Q65" i="110"/>
  <c r="J72" i="110"/>
  <c r="N72" i="110"/>
  <c r="T99" i="109"/>
  <c r="C13" i="52"/>
  <c r="E11" i="52" s="1"/>
  <c r="F25" i="99"/>
  <c r="H51" i="110"/>
  <c r="P51" i="110"/>
  <c r="G72" i="110"/>
  <c r="O72" i="110"/>
  <c r="Q44" i="110"/>
  <c r="E51" i="110"/>
  <c r="I51" i="110"/>
  <c r="M51" i="110"/>
  <c r="H72" i="110"/>
  <c r="L72" i="110"/>
  <c r="P72" i="110"/>
  <c r="Q27" i="110"/>
  <c r="L51" i="110"/>
  <c r="K72" i="110"/>
  <c r="E15" i="110"/>
  <c r="E29" i="110" s="1"/>
  <c r="J29" i="110"/>
  <c r="N29" i="110"/>
  <c r="Q49" i="110"/>
  <c r="Q70" i="110"/>
  <c r="Q72" i="110" s="1"/>
  <c r="T66" i="109"/>
  <c r="T33" i="109"/>
  <c r="I14" i="8"/>
  <c r="M10" i="8"/>
  <c r="M14" i="8" s="1"/>
  <c r="G31" i="111"/>
  <c r="O31" i="111"/>
  <c r="C29" i="52"/>
  <c r="J23" i="99"/>
  <c r="J17" i="99"/>
  <c r="AP17" i="108"/>
  <c r="AP18" i="108" s="1"/>
  <c r="AP19" i="108" s="1"/>
  <c r="AP20" i="108" s="1"/>
  <c r="AP21" i="108" s="1"/>
  <c r="AP22" i="108" s="1"/>
  <c r="N14" i="104"/>
  <c r="N16" i="104"/>
  <c r="N13" i="99"/>
  <c r="P13" i="99" s="1"/>
  <c r="R11" i="108"/>
  <c r="R59" i="108" s="1"/>
  <c r="K29" i="110"/>
  <c r="K12" i="8"/>
  <c r="K14" i="8" s="1"/>
  <c r="AE29" i="111"/>
  <c r="M31" i="111"/>
  <c r="E45" i="52"/>
  <c r="E41" i="52"/>
  <c r="E42" i="52"/>
  <c r="G42" i="52" s="1"/>
  <c r="K42" i="52" s="1"/>
  <c r="E43" i="52"/>
  <c r="G43" i="52" s="1"/>
  <c r="K43" i="52" s="1"/>
  <c r="AH44" i="108"/>
  <c r="L44" i="108"/>
  <c r="N44" i="108"/>
  <c r="H44" i="108"/>
  <c r="P44" i="108"/>
  <c r="J44" i="108"/>
  <c r="E15" i="92"/>
  <c r="L31" i="101"/>
  <c r="V25" i="108" s="1"/>
  <c r="R29" i="100"/>
  <c r="F29" i="101" s="1"/>
  <c r="R29" i="101" s="1"/>
  <c r="F29" i="102" s="1"/>
  <c r="R29" i="102" s="1"/>
  <c r="F29" i="103" s="1"/>
  <c r="R29" i="103" s="1"/>
  <c r="F29" i="104" s="1"/>
  <c r="R29" i="104" s="1"/>
  <c r="L31" i="99"/>
  <c r="V23" i="108" s="1"/>
  <c r="I12" i="92"/>
  <c r="L14" i="101"/>
  <c r="N14" i="101" s="1"/>
  <c r="I11" i="92"/>
  <c r="C15" i="92"/>
  <c r="AE26" i="91"/>
  <c r="G15" i="92"/>
  <c r="I22" i="92"/>
  <c r="N16" i="101"/>
  <c r="N15" i="101"/>
  <c r="R16" i="99"/>
  <c r="F16" i="100" s="1"/>
  <c r="N16" i="99"/>
  <c r="P16" i="99" s="1"/>
  <c r="L31" i="100"/>
  <c r="L13" i="102"/>
  <c r="F15" i="92"/>
  <c r="L31" i="104"/>
  <c r="S14" i="111"/>
  <c r="S18" i="111" s="1"/>
  <c r="I10" i="92"/>
  <c r="I13" i="92"/>
  <c r="I14" i="92"/>
  <c r="D27" i="92"/>
  <c r="R15" i="99"/>
  <c r="F15" i="100" s="1"/>
  <c r="R22" i="99"/>
  <c r="F22" i="100" s="1"/>
  <c r="J22" i="100" s="1"/>
  <c r="N22" i="99"/>
  <c r="P22" i="99" s="1"/>
  <c r="N22" i="100"/>
  <c r="N14" i="102"/>
  <c r="H27" i="92"/>
  <c r="L17" i="99"/>
  <c r="R23" i="108" s="1"/>
  <c r="R13" i="99"/>
  <c r="L17" i="103"/>
  <c r="R27" i="108" s="1"/>
  <c r="N13" i="103"/>
  <c r="N14" i="99"/>
  <c r="P14" i="99" s="1"/>
  <c r="R14" i="99"/>
  <c r="F14" i="100" s="1"/>
  <c r="N14" i="103"/>
  <c r="N15" i="103"/>
  <c r="N16" i="103"/>
  <c r="R28" i="99"/>
  <c r="L13" i="101"/>
  <c r="N15" i="102"/>
  <c r="L13" i="100"/>
  <c r="D15" i="92"/>
  <c r="L13" i="104"/>
  <c r="H15" i="92"/>
  <c r="I29" i="92"/>
  <c r="R30" i="100"/>
  <c r="F30" i="101" s="1"/>
  <c r="R30" i="101" s="1"/>
  <c r="F30" i="102" s="1"/>
  <c r="R30" i="102" s="1"/>
  <c r="F30" i="103" s="1"/>
  <c r="R30" i="103" s="1"/>
  <c r="F30" i="104" s="1"/>
  <c r="R30" i="104" s="1"/>
  <c r="N16" i="102"/>
  <c r="I24" i="92"/>
  <c r="I25" i="92"/>
  <c r="E27" i="92"/>
  <c r="L31" i="102"/>
  <c r="F27" i="92"/>
  <c r="L31" i="103"/>
  <c r="C27" i="92"/>
  <c r="G27" i="92"/>
  <c r="N22" i="104"/>
  <c r="AE11" i="111" l="1"/>
  <c r="AE14" i="111" s="1"/>
  <c r="AE18" i="111" s="1"/>
  <c r="U14" i="111"/>
  <c r="U18" i="111" s="1"/>
  <c r="A41" i="52"/>
  <c r="A42" i="52" s="1"/>
  <c r="A43" i="52" s="1"/>
  <c r="A44" i="52" s="1"/>
  <c r="A45" i="52" s="1"/>
  <c r="A46" i="52" s="1"/>
  <c r="A28" i="52"/>
  <c r="A29" i="52" s="1"/>
  <c r="E10" i="52"/>
  <c r="Q15" i="110"/>
  <c r="Q29" i="110" s="1"/>
  <c r="Q51" i="110"/>
  <c r="AA14" i="111"/>
  <c r="AA18" i="111" s="1"/>
  <c r="Y14" i="111"/>
  <c r="Y18" i="111" s="1"/>
  <c r="W14" i="111"/>
  <c r="W18" i="111" s="1"/>
  <c r="E12" i="52"/>
  <c r="E28" i="52"/>
  <c r="E26" i="52"/>
  <c r="E25" i="52"/>
  <c r="E27" i="52"/>
  <c r="J25" i="99"/>
  <c r="V73" i="108"/>
  <c r="Y20" i="91"/>
  <c r="AE20" i="91"/>
  <c r="W20" i="91"/>
  <c r="AE20" i="111"/>
  <c r="AC20" i="91"/>
  <c r="U20" i="91"/>
  <c r="AA20" i="91"/>
  <c r="S20" i="91"/>
  <c r="G41" i="52"/>
  <c r="K41" i="52" s="1"/>
  <c r="E46" i="52"/>
  <c r="V71" i="108"/>
  <c r="I15" i="92"/>
  <c r="R22" i="100"/>
  <c r="F22" i="101" s="1"/>
  <c r="J22" i="101" s="1"/>
  <c r="P22" i="101" s="1"/>
  <c r="V75" i="108"/>
  <c r="V27" i="108"/>
  <c r="V74" i="108"/>
  <c r="V26" i="108"/>
  <c r="I27" i="92"/>
  <c r="N13" i="104"/>
  <c r="N17" i="104" s="1"/>
  <c r="L17" i="104"/>
  <c r="R28" i="108" s="1"/>
  <c r="N17" i="103"/>
  <c r="T23" i="108"/>
  <c r="R71" i="108"/>
  <c r="T71" i="108" s="1"/>
  <c r="L17" i="102"/>
  <c r="R26" i="108" s="1"/>
  <c r="N13" i="102"/>
  <c r="N17" i="102" s="1"/>
  <c r="J16" i="100"/>
  <c r="P16" i="100" s="1"/>
  <c r="R16" i="100"/>
  <c r="F16" i="101" s="1"/>
  <c r="V76" i="108"/>
  <c r="V28" i="108"/>
  <c r="P22" i="100"/>
  <c r="N17" i="99"/>
  <c r="F13" i="100"/>
  <c r="R13" i="100" s="1"/>
  <c r="R17" i="99"/>
  <c r="N13" i="100"/>
  <c r="N17" i="100" s="1"/>
  <c r="L17" i="100"/>
  <c r="R24" i="108" s="1"/>
  <c r="L17" i="101"/>
  <c r="R25" i="108" s="1"/>
  <c r="N13" i="101"/>
  <c r="N17" i="101" s="1"/>
  <c r="F28" i="100"/>
  <c r="R31" i="99"/>
  <c r="S12" i="91" s="1"/>
  <c r="R14" i="100"/>
  <c r="F14" i="101" s="1"/>
  <c r="J14" i="100"/>
  <c r="P14" i="100" s="1"/>
  <c r="T27" i="108"/>
  <c r="R75" i="108"/>
  <c r="T75" i="108" s="1"/>
  <c r="J15" i="100"/>
  <c r="P15" i="100" s="1"/>
  <c r="R15" i="100"/>
  <c r="F15" i="101" s="1"/>
  <c r="V72" i="108"/>
  <c r="V24" i="108"/>
  <c r="P17" i="99"/>
  <c r="E13" i="52" l="1"/>
  <c r="E29" i="52"/>
  <c r="AC20" i="111"/>
  <c r="AC22" i="111" s="1"/>
  <c r="AC31" i="111" s="1"/>
  <c r="W20" i="111"/>
  <c r="W22" i="111" s="1"/>
  <c r="W31" i="111" s="1"/>
  <c r="Y20" i="111"/>
  <c r="Y22" i="111" s="1"/>
  <c r="Y31" i="111" s="1"/>
  <c r="AA20" i="111"/>
  <c r="AA22" i="111" s="1"/>
  <c r="AA31" i="111" s="1"/>
  <c r="S20" i="111"/>
  <c r="S22" i="111" s="1"/>
  <c r="S31" i="111" s="1"/>
  <c r="U20" i="111"/>
  <c r="U22" i="111" s="1"/>
  <c r="U31" i="111" s="1"/>
  <c r="AE22" i="111"/>
  <c r="AE31" i="111" s="1"/>
  <c r="G29" i="52" s="1"/>
  <c r="V44" i="108"/>
  <c r="V92" i="108"/>
  <c r="R22" i="101"/>
  <c r="F22" i="102" s="1"/>
  <c r="R22" i="102" s="1"/>
  <c r="F22" i="103" s="1"/>
  <c r="J15" i="101"/>
  <c r="P15" i="101" s="1"/>
  <c r="R15" i="101"/>
  <c r="F15" i="102" s="1"/>
  <c r="R73" i="108"/>
  <c r="T73" i="108" s="1"/>
  <c r="T25" i="108"/>
  <c r="T24" i="108"/>
  <c r="R72" i="108"/>
  <c r="T72" i="108" s="1"/>
  <c r="S13" i="91"/>
  <c r="J14" i="101"/>
  <c r="P14" i="101" s="1"/>
  <c r="R14" i="101"/>
  <c r="F14" i="102" s="1"/>
  <c r="X71" i="108"/>
  <c r="Z71" i="108" s="1"/>
  <c r="AB71" i="108" s="1"/>
  <c r="AD23" i="108" s="1"/>
  <c r="AF23" i="108" s="1"/>
  <c r="X23" i="108"/>
  <c r="Z23" i="108" s="1"/>
  <c r="AB23" i="108" s="1"/>
  <c r="F31" i="100"/>
  <c r="R28" i="100"/>
  <c r="J16" i="101"/>
  <c r="P16" i="101" s="1"/>
  <c r="R16" i="101"/>
  <c r="F16" i="102" s="1"/>
  <c r="R74" i="108"/>
  <c r="T74" i="108" s="1"/>
  <c r="T26" i="108"/>
  <c r="R17" i="100"/>
  <c r="F13" i="101"/>
  <c r="F17" i="100"/>
  <c r="J13" i="100"/>
  <c r="T28" i="108"/>
  <c r="R76" i="108"/>
  <c r="T76" i="108" s="1"/>
  <c r="G25" i="52" l="1"/>
  <c r="K25" i="52" s="1"/>
  <c r="M25" i="52" s="1"/>
  <c r="G26" i="52"/>
  <c r="K26" i="52" s="1"/>
  <c r="M26" i="52" s="1"/>
  <c r="G27" i="52"/>
  <c r="K27" i="52" s="1"/>
  <c r="M27" i="52" s="1"/>
  <c r="G28" i="52"/>
  <c r="K28" i="52" s="1"/>
  <c r="M28" i="52" s="1"/>
  <c r="R44" i="108"/>
  <c r="J22" i="102"/>
  <c r="P22" i="102" s="1"/>
  <c r="AJ23" i="108"/>
  <c r="R92" i="108"/>
  <c r="J22" i="103"/>
  <c r="J13" i="101"/>
  <c r="F17" i="101"/>
  <c r="R13" i="101"/>
  <c r="J16" i="102"/>
  <c r="P16" i="102" s="1"/>
  <c r="R16" i="102"/>
  <c r="F16" i="103" s="1"/>
  <c r="J17" i="100"/>
  <c r="P13" i="100"/>
  <c r="P17" i="100" s="1"/>
  <c r="F28" i="101"/>
  <c r="R31" i="100"/>
  <c r="U12" i="91" s="1"/>
  <c r="J15" i="102"/>
  <c r="P15" i="102" s="1"/>
  <c r="R15" i="102"/>
  <c r="F15" i="103" s="1"/>
  <c r="J14" i="102"/>
  <c r="P14" i="102" s="1"/>
  <c r="R14" i="102"/>
  <c r="F14" i="103" s="1"/>
  <c r="T44" i="108"/>
  <c r="T92" i="108"/>
  <c r="J15" i="103" l="1"/>
  <c r="P15" i="103" s="1"/>
  <c r="R15" i="103"/>
  <c r="F15" i="104" s="1"/>
  <c r="U13" i="91"/>
  <c r="J14" i="103"/>
  <c r="P14" i="103" s="1"/>
  <c r="R14" i="103"/>
  <c r="F14" i="104" s="1"/>
  <c r="F31" i="101"/>
  <c r="R28" i="101"/>
  <c r="J16" i="103"/>
  <c r="P16" i="103" s="1"/>
  <c r="R16" i="103"/>
  <c r="F16" i="104" s="1"/>
  <c r="J17" i="101"/>
  <c r="P13" i="101"/>
  <c r="P17" i="101" s="1"/>
  <c r="AL23" i="108"/>
  <c r="AP23" i="108" s="1"/>
  <c r="X72" i="108"/>
  <c r="Z72" i="108" s="1"/>
  <c r="AB72" i="108" s="1"/>
  <c r="AD24" i="108" s="1"/>
  <c r="AF24" i="108" s="1"/>
  <c r="X24" i="108"/>
  <c r="Z24" i="108" s="1"/>
  <c r="AB24" i="108" s="1"/>
  <c r="F13" i="102"/>
  <c r="R17" i="101"/>
  <c r="AJ24" i="108" l="1"/>
  <c r="AL24" i="108" s="1"/>
  <c r="AP24" i="108" s="1"/>
  <c r="S16" i="91"/>
  <c r="X73" i="108"/>
  <c r="Z73" i="108" s="1"/>
  <c r="AB73" i="108" s="1"/>
  <c r="AD25" i="108" s="1"/>
  <c r="AF25" i="108" s="1"/>
  <c r="X25" i="108"/>
  <c r="Z25" i="108" s="1"/>
  <c r="AB25" i="108" s="1"/>
  <c r="F28" i="102"/>
  <c r="R31" i="101"/>
  <c r="W12" i="91" s="1"/>
  <c r="J13" i="102"/>
  <c r="F17" i="102"/>
  <c r="R13" i="102"/>
  <c r="W13" i="91"/>
  <c r="J15" i="104"/>
  <c r="P15" i="104" s="1"/>
  <c r="R15" i="104"/>
  <c r="J14" i="104"/>
  <c r="P14" i="104" s="1"/>
  <c r="R14" i="104"/>
  <c r="J16" i="104"/>
  <c r="P16" i="104" s="1"/>
  <c r="R16" i="104"/>
  <c r="AJ25" i="108" l="1"/>
  <c r="AL25" i="108" s="1"/>
  <c r="AP25" i="108" s="1"/>
  <c r="P13" i="102"/>
  <c r="P17" i="102" s="1"/>
  <c r="J17" i="102"/>
  <c r="U16" i="91"/>
  <c r="F13" i="103"/>
  <c r="R17" i="102"/>
  <c r="F31" i="102"/>
  <c r="R28" i="102"/>
  <c r="X74" i="108" l="1"/>
  <c r="Z74" i="108" s="1"/>
  <c r="AB74" i="108" s="1"/>
  <c r="AD26" i="108" s="1"/>
  <c r="AF26" i="108" s="1"/>
  <c r="X26" i="108"/>
  <c r="Z26" i="108" s="1"/>
  <c r="AB26" i="108" s="1"/>
  <c r="Y13" i="91"/>
  <c r="J13" i="103"/>
  <c r="F17" i="103"/>
  <c r="R13" i="103"/>
  <c r="W16" i="91"/>
  <c r="R31" i="102"/>
  <c r="Y12" i="91" s="1"/>
  <c r="F28" i="103"/>
  <c r="AJ26" i="108" l="1"/>
  <c r="AL26" i="108" s="1"/>
  <c r="AP26" i="108" s="1"/>
  <c r="P13" i="103"/>
  <c r="P17" i="103" s="1"/>
  <c r="J17" i="103"/>
  <c r="F31" i="103"/>
  <c r="R28" i="103"/>
  <c r="F13" i="104"/>
  <c r="R17" i="103"/>
  <c r="X75" i="108" l="1"/>
  <c r="Z75" i="108" s="1"/>
  <c r="AB75" i="108" s="1"/>
  <c r="AD27" i="108" s="1"/>
  <c r="AF27" i="108" s="1"/>
  <c r="X27" i="108"/>
  <c r="Z27" i="108" s="1"/>
  <c r="AB27" i="108" s="1"/>
  <c r="Y16" i="91"/>
  <c r="F17" i="104"/>
  <c r="J13" i="104"/>
  <c r="R13" i="104"/>
  <c r="R17" i="104" s="1"/>
  <c r="R31" i="103"/>
  <c r="AA12" i="91" s="1"/>
  <c r="F28" i="104"/>
  <c r="AA13" i="91"/>
  <c r="AJ27" i="108" l="1"/>
  <c r="AL27" i="108" s="1"/>
  <c r="AP27" i="108" s="1"/>
  <c r="F31" i="104"/>
  <c r="R28" i="104"/>
  <c r="R31" i="104" s="1"/>
  <c r="AC12" i="91" s="1"/>
  <c r="AE12" i="91" s="1"/>
  <c r="J17" i="104"/>
  <c r="P13" i="104"/>
  <c r="P17" i="104" s="1"/>
  <c r="X76" i="108" l="1"/>
  <c r="Z76" i="108" s="1"/>
  <c r="AB76" i="108" s="1"/>
  <c r="AD28" i="108" s="1"/>
  <c r="AF28" i="108" s="1"/>
  <c r="X28" i="108"/>
  <c r="Z28" i="108" s="1"/>
  <c r="AB28" i="108" s="1"/>
  <c r="AA16" i="91"/>
  <c r="AC13" i="91"/>
  <c r="AE13" i="91" s="1"/>
  <c r="AJ28" i="108" l="1"/>
  <c r="AL28" i="108" l="1"/>
  <c r="AJ44" i="108"/>
  <c r="X44" i="108"/>
  <c r="X92" i="108"/>
  <c r="AP28" i="108" l="1"/>
  <c r="AC16" i="91" s="1"/>
  <c r="AE16" i="91" s="1"/>
  <c r="Z92" i="108"/>
  <c r="AB44" i="108"/>
  <c r="Z44" i="108"/>
  <c r="AB92" i="108" l="1"/>
  <c r="AF44" i="108" l="1"/>
  <c r="AD44" i="108"/>
  <c r="I18" i="92"/>
  <c r="L21" i="104"/>
  <c r="L21" i="102"/>
  <c r="L21" i="101"/>
  <c r="N21" i="101" s="1"/>
  <c r="L20" i="103"/>
  <c r="L20" i="104"/>
  <c r="N20" i="104" s="1"/>
  <c r="L21" i="100"/>
  <c r="N21" i="100" s="1"/>
  <c r="L21" i="99"/>
  <c r="R21" i="99" s="1"/>
  <c r="F21" i="100" s="1"/>
  <c r="L21" i="103"/>
  <c r="N21" i="103" s="1"/>
  <c r="D20" i="92"/>
  <c r="L20" i="100"/>
  <c r="I17" i="92"/>
  <c r="L23" i="104" l="1"/>
  <c r="L25" i="104" s="1"/>
  <c r="N21" i="99"/>
  <c r="P21" i="99" s="1"/>
  <c r="J21" i="100"/>
  <c r="P21" i="100" s="1"/>
  <c r="R21" i="100"/>
  <c r="F21" i="101" s="1"/>
  <c r="J21" i="101" s="1"/>
  <c r="P21" i="101" s="1"/>
  <c r="L20" i="102"/>
  <c r="F20" i="92"/>
  <c r="N20" i="103"/>
  <c r="G20" i="92"/>
  <c r="N20" i="100"/>
  <c r="N23" i="100" s="1"/>
  <c r="N25" i="100" s="1"/>
  <c r="L23" i="100"/>
  <c r="L25" i="100" s="1"/>
  <c r="E20" i="92"/>
  <c r="L20" i="101"/>
  <c r="H20" i="92"/>
  <c r="L20" i="99"/>
  <c r="C20" i="92"/>
  <c r="N21" i="102"/>
  <c r="I19" i="92"/>
  <c r="I20" i="92" s="1"/>
  <c r="L22" i="103"/>
  <c r="L23" i="103" s="1"/>
  <c r="L25" i="103" s="1"/>
  <c r="N21" i="104"/>
  <c r="N23" i="104" s="1"/>
  <c r="N25" i="104" s="1"/>
  <c r="R22" i="103" l="1"/>
  <c r="F22" i="104" s="1"/>
  <c r="N22" i="103"/>
  <c r="P22" i="103" s="1"/>
  <c r="L23" i="99"/>
  <c r="L25" i="99" s="1"/>
  <c r="N20" i="99"/>
  <c r="R20" i="99"/>
  <c r="R21" i="101"/>
  <c r="F21" i="102" s="1"/>
  <c r="L23" i="102"/>
  <c r="L25" i="102" s="1"/>
  <c r="N20" i="102"/>
  <c r="N23" i="102" s="1"/>
  <c r="N25" i="102" s="1"/>
  <c r="N20" i="101"/>
  <c r="N23" i="101" s="1"/>
  <c r="N25" i="101" s="1"/>
  <c r="L23" i="101"/>
  <c r="L25" i="101" s="1"/>
  <c r="N23" i="103" l="1"/>
  <c r="N25" i="103" s="1"/>
  <c r="J21" i="102"/>
  <c r="P21" i="102" s="1"/>
  <c r="R21" i="102"/>
  <c r="F21" i="103" s="1"/>
  <c r="R23" i="99"/>
  <c r="R25" i="99" s="1"/>
  <c r="S11" i="91" s="1"/>
  <c r="F20" i="100"/>
  <c r="R22" i="104"/>
  <c r="J22" i="104"/>
  <c r="P22" i="104" s="1"/>
  <c r="N23" i="99"/>
  <c r="N25" i="99" s="1"/>
  <c r="P20" i="99"/>
  <c r="P23" i="99" s="1"/>
  <c r="P25" i="99" s="1"/>
  <c r="S25" i="91" s="1"/>
  <c r="S29" i="91" l="1"/>
  <c r="J20" i="100"/>
  <c r="F23" i="100"/>
  <c r="F25" i="100" s="1"/>
  <c r="R20" i="100"/>
  <c r="S14" i="91"/>
  <c r="S18" i="91" s="1"/>
  <c r="S22" i="91" s="1"/>
  <c r="J21" i="103"/>
  <c r="P21" i="103" s="1"/>
  <c r="R21" i="103"/>
  <c r="F21" i="104" s="1"/>
  <c r="J23" i="100" l="1"/>
  <c r="J25" i="100" s="1"/>
  <c r="P20" i="100"/>
  <c r="P23" i="100" s="1"/>
  <c r="P25" i="100" s="1"/>
  <c r="U25" i="91" s="1"/>
  <c r="S31" i="91"/>
  <c r="J21" i="104"/>
  <c r="P21" i="104" s="1"/>
  <c r="R21" i="104"/>
  <c r="R23" i="100"/>
  <c r="R25" i="100" s="1"/>
  <c r="U11" i="91" s="1"/>
  <c r="F20" i="101"/>
  <c r="U29" i="91" l="1"/>
  <c r="U14" i="91"/>
  <c r="U18" i="91" s="1"/>
  <c r="U22" i="91" s="1"/>
  <c r="J20" i="101"/>
  <c r="F23" i="101"/>
  <c r="F25" i="101" s="1"/>
  <c r="R20" i="101"/>
  <c r="U31" i="91" l="1"/>
  <c r="J23" i="101"/>
  <c r="J25" i="101" s="1"/>
  <c r="P20" i="101"/>
  <c r="P23" i="101" s="1"/>
  <c r="P25" i="101" s="1"/>
  <c r="W25" i="91" s="1"/>
  <c r="R23" i="101"/>
  <c r="R25" i="101" s="1"/>
  <c r="W11" i="91" s="1"/>
  <c r="F20" i="102"/>
  <c r="W29" i="91" l="1"/>
  <c r="W14" i="91"/>
  <c r="W18" i="91" s="1"/>
  <c r="W22" i="91" s="1"/>
  <c r="F23" i="102"/>
  <c r="F25" i="102" s="1"/>
  <c r="J20" i="102"/>
  <c r="R20" i="102"/>
  <c r="W31" i="91" l="1"/>
  <c r="R23" i="102"/>
  <c r="R25" i="102" s="1"/>
  <c r="Y11" i="91" s="1"/>
  <c r="F20" i="103"/>
  <c r="J23" i="102"/>
  <c r="J25" i="102" s="1"/>
  <c r="P20" i="102"/>
  <c r="P23" i="102" s="1"/>
  <c r="P25" i="102" s="1"/>
  <c r="Y25" i="91" s="1"/>
  <c r="Y29" i="91" l="1"/>
  <c r="Y14" i="91"/>
  <c r="Y18" i="91" s="1"/>
  <c r="Y22" i="91" s="1"/>
  <c r="F23" i="103"/>
  <c r="F25" i="103" s="1"/>
  <c r="R20" i="103"/>
  <c r="J20" i="103"/>
  <c r="Y31" i="91" l="1"/>
  <c r="P20" i="103"/>
  <c r="P23" i="103" s="1"/>
  <c r="P25" i="103" s="1"/>
  <c r="AA25" i="91" s="1"/>
  <c r="J23" i="103"/>
  <c r="J25" i="103" s="1"/>
  <c r="R23" i="103"/>
  <c r="R25" i="103" s="1"/>
  <c r="AA11" i="91" s="1"/>
  <c r="F20" i="104"/>
  <c r="AA14" i="91" l="1"/>
  <c r="AA18" i="91" s="1"/>
  <c r="AA22" i="91" s="1"/>
  <c r="AA29" i="91"/>
  <c r="J20" i="104"/>
  <c r="F23" i="104"/>
  <c r="F25" i="104" s="1"/>
  <c r="R20" i="104"/>
  <c r="R23" i="104" s="1"/>
  <c r="R25" i="104" s="1"/>
  <c r="AC11" i="91" s="1"/>
  <c r="AC14" i="91" l="1"/>
  <c r="AC18" i="91" s="1"/>
  <c r="AC22" i="91" s="1"/>
  <c r="AE11" i="91"/>
  <c r="AE14" i="91" s="1"/>
  <c r="AA31" i="91"/>
  <c r="J23" i="104"/>
  <c r="J25" i="104" s="1"/>
  <c r="P20" i="104"/>
  <c r="P23" i="104" s="1"/>
  <c r="P25" i="104" s="1"/>
  <c r="AC25" i="91" s="1"/>
  <c r="AE18" i="91" l="1"/>
  <c r="AE22" i="91" s="1"/>
  <c r="AC29" i="91"/>
  <c r="AC31" i="91" s="1"/>
  <c r="AE25" i="91"/>
  <c r="AE29" i="91" s="1"/>
  <c r="AE31" i="91" l="1"/>
  <c r="G13" i="52" s="1"/>
  <c r="G10" i="52" s="1"/>
  <c r="K10" i="52" s="1"/>
  <c r="O10" i="52" s="1"/>
  <c r="G11" i="52" l="1"/>
  <c r="K11" i="52" s="1"/>
  <c r="O11" i="52" s="1"/>
  <c r="G45" i="52"/>
  <c r="G12" i="52"/>
  <c r="K12" i="52" s="1"/>
  <c r="O12" i="52" s="1"/>
</calcChain>
</file>

<file path=xl/sharedStrings.xml><?xml version="1.0" encoding="utf-8"?>
<sst xmlns="http://schemas.openxmlformats.org/spreadsheetml/2006/main" count="1533" uniqueCount="312">
  <si>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</si>
  <si>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</si>
  <si>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</si>
  <si>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</si>
  <si>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</si>
  <si>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</si>
  <si>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</si>
  <si>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</si>
  <si>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</si>
  <si>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</si>
  <si>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</si>
  <si>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</si>
  <si>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</si>
  <si>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</si>
  <si>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</si>
  <si>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</si>
  <si>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</si>
  <si>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</si>
  <si>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</si>
  <si>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</si>
  <si>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</si>
  <si>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Mains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</si>
  <si>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</si>
  <si>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</si>
  <si>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</si>
  <si>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</si>
  <si>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</si>
  <si>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</si>
  <si>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</si>
  <si>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</si>
  <si>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</si>
  <si>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</si>
  <si>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</si>
  <si>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</si>
  <si>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</si>
  <si>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Tax</t>
  </si>
  <si>
    <t>Cost</t>
  </si>
  <si>
    <t>of</t>
  </si>
  <si>
    <t>Removal</t>
  </si>
  <si>
    <t>Book</t>
  </si>
  <si>
    <t>Difference</t>
  </si>
  <si>
    <t>Deferred</t>
  </si>
  <si>
    <t>@ 38.9%</t>
  </si>
  <si>
    <t>Accumulated</t>
  </si>
  <si>
    <t>Taxes</t>
  </si>
  <si>
    <t>Tax Depreciation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</si>
  <si>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</si>
  <si>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</si>
  <si>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</si>
  <si>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</si>
  <si>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</si>
  <si>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</si>
  <si>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</si>
  <si>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</si>
  <si>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Gas Plant Investment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</si>
  <si>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</si>
  <si>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</si>
  <si>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</si>
  <si>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</si>
  <si>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</si>
  <si>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</si>
  <si>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</si>
  <si>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</si>
  <si>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</si>
  <si>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and</t>
  </si>
  <si>
    <t>Services-Lines</t>
  </si>
  <si>
    <t>Services-Risers</t>
  </si>
  <si>
    <t>Residential Gas Service - Rate RGS</t>
  </si>
  <si>
    <t>Commercial Gas Service - Rate CGS</t>
  </si>
  <si>
    <t>Industrial Gas Service - Rate IGS</t>
  </si>
  <si>
    <t>As-Available Gas Service - Rate AAGS</t>
  </si>
  <si>
    <t>Allocation Percent</t>
  </si>
  <si>
    <t>Number of Bills</t>
  </si>
  <si>
    <t>Rate Schedule</t>
  </si>
  <si>
    <t>Line No.</t>
  </si>
  <si>
    <t>LOUISVILLE GAS AND ELECTRIC COMPANY</t>
  </si>
  <si>
    <t>RATE OF RETURN</t>
  </si>
  <si>
    <t>TOTAL</t>
  </si>
  <si>
    <t>20-year</t>
  </si>
  <si>
    <t>15-year</t>
  </si>
  <si>
    <t>Service Line Retirements</t>
  </si>
  <si>
    <t>Riser Retirements</t>
  </si>
  <si>
    <t>Repairs</t>
  </si>
  <si>
    <t>CLASS ALLOCATION AND BILL IMPACT</t>
  </si>
  <si>
    <t>TAX DEPRECIATION</t>
  </si>
  <si>
    <t>Adjusted for</t>
  </si>
  <si>
    <t>Income Taxes</t>
  </si>
  <si>
    <t>REVENUE REQUIREMENT</t>
  </si>
  <si>
    <t>Service Line Capex</t>
  </si>
  <si>
    <t>Riser Capex</t>
  </si>
  <si>
    <t xml:space="preserve">     Gas Plant Investment</t>
  </si>
  <si>
    <t>Service Line Cost of Removal</t>
  </si>
  <si>
    <t>Riser Cost of Removal</t>
  </si>
  <si>
    <t xml:space="preserve">     Cost of Removal</t>
  </si>
  <si>
    <t>Jan</t>
  </si>
  <si>
    <t>Feb</t>
  </si>
  <si>
    <t>May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</si>
  <si>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</si>
  <si>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</si>
  <si>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</si>
  <si>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</si>
  <si>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</si>
  <si>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</si>
  <si>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</si>
  <si>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</si>
  <si>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</si>
  <si>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</si>
  <si>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</si>
  <si>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</si>
  <si>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</si>
  <si>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</si>
  <si>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</si>
  <si>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</si>
  <si>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</si>
  <si>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</si>
  <si>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</si>
  <si>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</si>
  <si>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Project</t>
  </si>
  <si>
    <t>Project Desc</t>
  </si>
  <si>
    <t>Sept</t>
  </si>
  <si>
    <t>Investment</t>
  </si>
  <si>
    <t>107001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</si>
  <si>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</si>
  <si>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</si>
  <si>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</si>
  <si>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</si>
  <si>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</si>
  <si>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</si>
  <si>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CNBCS419</t>
  </si>
  <si>
    <t>NB CUST SRV LINE &amp; GAS RISER</t>
  </si>
  <si>
    <t>CNBCS421</t>
  </si>
  <si>
    <t>DLSMR414</t>
  </si>
  <si>
    <t>DWNTWN LRG SCALE MAIN</t>
  </si>
  <si>
    <t>GASRSR414</t>
  </si>
  <si>
    <t>LSMR414</t>
  </si>
  <si>
    <t>Large Scale Main Replacements</t>
  </si>
  <si>
    <t>PMR414</t>
  </si>
  <si>
    <t>Priority Main Replacement</t>
  </si>
  <si>
    <t>RRCS419G</t>
  </si>
  <si>
    <t>REP CO GAS SERV 419</t>
  </si>
  <si>
    <t>RRCS421</t>
  </si>
  <si>
    <t>Serv Line Repl-Muldraugh</t>
  </si>
  <si>
    <t>Total Investment</t>
  </si>
  <si>
    <t>108799</t>
  </si>
  <si>
    <t>Total Removal</t>
  </si>
  <si>
    <t>organization</t>
  </si>
  <si>
    <t>expenditure_org</t>
  </si>
  <si>
    <t>account</t>
  </si>
  <si>
    <t>expenditure_type</t>
  </si>
  <si>
    <t>project</t>
  </si>
  <si>
    <t>task</t>
  </si>
  <si>
    <t>year</t>
  </si>
  <si>
    <t xml:space="preserve">Nov </t>
  </si>
  <si>
    <t>total</t>
  </si>
  <si>
    <t>003385</t>
  </si>
  <si>
    <t>880110</t>
  </si>
  <si>
    <t>0301</t>
  </si>
  <si>
    <t>CUSTUNLO</t>
  </si>
  <si>
    <t>GAS SER UNLOC</t>
  </si>
  <si>
    <t>004190</t>
  </si>
  <si>
    <t>892110</t>
  </si>
  <si>
    <t>OCSOM419</t>
  </si>
  <si>
    <t>BUDGET</t>
  </si>
  <si>
    <t>004210</t>
  </si>
  <si>
    <t>OCSOM421</t>
  </si>
  <si>
    <t>004485</t>
  </si>
  <si>
    <t>OCSOM4485</t>
  </si>
  <si>
    <t>ORCSO419</t>
  </si>
  <si>
    <t>0111</t>
  </si>
  <si>
    <t>0520</t>
  </si>
  <si>
    <t>0752</t>
  </si>
  <si>
    <t>2017</t>
  </si>
  <si>
    <t>Total COS - 2017</t>
  </si>
  <si>
    <t>Revenue Requirement</t>
  </si>
  <si>
    <t>Note: Rate Schedule VFD is included in Rate RGS</t>
  </si>
  <si>
    <t>CAPITAL AND OPERATING COSTS</t>
  </si>
  <si>
    <t>Customer Service Capex</t>
  </si>
  <si>
    <t>Services-Customer Lines</t>
  </si>
  <si>
    <t>Monthly</t>
  </si>
  <si>
    <t xml:space="preserve">Note: </t>
  </si>
  <si>
    <t>Total Revenue Requirement</t>
  </si>
  <si>
    <t>(a)</t>
  </si>
  <si>
    <t>(b)</t>
  </si>
  <si>
    <t>(c)</t>
  </si>
  <si>
    <t>Distributed Generation Gas Service - Rate DGGS</t>
  </si>
  <si>
    <t>GAS SERVICE RISER REPL &amp; CSO</t>
  </si>
  <si>
    <t>887110</t>
  </si>
  <si>
    <t>139084</t>
  </si>
  <si>
    <t>887COS</t>
  </si>
  <si>
    <t>004470</t>
  </si>
  <si>
    <t>0427</t>
  </si>
  <si>
    <t>0101</t>
  </si>
  <si>
    <t>0751</t>
  </si>
  <si>
    <t>874110</t>
  </si>
  <si>
    <t xml:space="preserve">Property Taxes </t>
  </si>
  <si>
    <t>(d)</t>
  </si>
  <si>
    <t>Property Taxes</t>
  </si>
  <si>
    <t>Reserve Retirements</t>
  </si>
  <si>
    <t xml:space="preserve">     Total Retirements</t>
  </si>
  <si>
    <t>Federal Deferred</t>
  </si>
  <si>
    <t>State Deferred</t>
  </si>
  <si>
    <t>@ 35%</t>
  </si>
  <si>
    <t>@ 6%</t>
  </si>
  <si>
    <t>Bonus</t>
  </si>
  <si>
    <t>Page 2</t>
  </si>
  <si>
    <t xml:space="preserve">Federal Benefit </t>
  </si>
  <si>
    <t>of State</t>
  </si>
  <si>
    <t>Deferred Tax</t>
  </si>
  <si>
    <t>Net       Monthly Rate Per Bill Reflecting Trueup</t>
  </si>
  <si>
    <t>on</t>
  </si>
  <si>
    <t>MACRS   Tax Rate</t>
  </si>
  <si>
    <t>Capital structure and cost rates pursuant to Case No. 2014-00372</t>
  </si>
  <si>
    <t>AMR414</t>
  </si>
  <si>
    <t>ALDYL-A MAIN REPLACEMENT</t>
  </si>
  <si>
    <t>Total 2017</t>
  </si>
  <si>
    <t>0304</t>
  </si>
  <si>
    <t>0699</t>
  </si>
  <si>
    <t>880COS</t>
  </si>
  <si>
    <t>892COS</t>
  </si>
  <si>
    <t>874COS</t>
  </si>
  <si>
    <t>878110</t>
  </si>
  <si>
    <t>878COS</t>
  </si>
  <si>
    <t>879110</t>
  </si>
  <si>
    <t>879COS</t>
  </si>
  <si>
    <t>004480</t>
  </si>
  <si>
    <t>006250</t>
  </si>
  <si>
    <t>408109</t>
  </si>
  <si>
    <t>132554</t>
  </si>
  <si>
    <t>GLT PROP TAX</t>
  </si>
  <si>
    <t>Total Forecasted Revenue in Case No. 2014-00372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</si>
  <si>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</si>
  <si>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</si>
  <si>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</si>
  <si>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</si>
  <si>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</si>
  <si>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</si>
  <si>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</si>
  <si>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</si>
  <si>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</si>
  <si>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</si>
  <si>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</si>
  <si>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</si>
  <si>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</si>
  <si>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</si>
  <si>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</si>
  <si>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(e)</t>
  </si>
  <si>
    <t>Year 2015  Over-Recovery Trueup Monthly Rate         Per Bill</t>
  </si>
  <si>
    <t>JULY 2017 BOOK DEPRECIATION</t>
  </si>
  <si>
    <t>AUGUST 2017 BOOK DEPRECIATION</t>
  </si>
  <si>
    <t>SEPTEMBER 2017 BOOK DEPRECIATION</t>
  </si>
  <si>
    <t>OCTOBER 2017 BOOK DEPRECIATION</t>
  </si>
  <si>
    <t>DECEMBER 2017 BOOK DEPRECIATION</t>
  </si>
  <si>
    <t>NB INST CUST SERV LINE &amp; RSR</t>
  </si>
  <si>
    <t>TLR414</t>
  </si>
  <si>
    <t>TRANSMISSION LINE REPLACE</t>
  </si>
  <si>
    <t>*NEW PROGRAM</t>
  </si>
  <si>
    <t>CRSS414</t>
  </si>
  <si>
    <t>REPLACE STEEL SERVICE LINES</t>
  </si>
  <si>
    <t>Total 2018</t>
  </si>
  <si>
    <t>Total 2019</t>
  </si>
  <si>
    <t>2018</t>
  </si>
  <si>
    <t>Total COS - 2018</t>
  </si>
  <si>
    <t>2019</t>
  </si>
  <si>
    <t>Total COS - 2019</t>
  </si>
  <si>
    <t>NOVEMBER 2017 BOOK DEPRECIATION</t>
  </si>
  <si>
    <t>(f)</t>
  </si>
  <si>
    <t>2012 20-year additions at MACRS Year 6 tax rate (0.052850)</t>
  </si>
  <si>
    <t>2013 20-year additions at MACRS Year 5 tax rate (0.057130)</t>
  </si>
  <si>
    <t>2014 20-year additions at MACRS Year 4 tax rate (0.061770)</t>
  </si>
  <si>
    <t>2015 20-year additions at MACRS Year 3 tax rate (0.066770)</t>
  </si>
  <si>
    <t>2016 20-year additions at MACRS Year 2 tax rate (0.072190)</t>
  </si>
  <si>
    <t>2017 20-year additions at MACRS Year 1 tax rate (0.037500) plus repairs</t>
  </si>
  <si>
    <t>2017 20-year additions at MACRS Year 1 tax rate (0.037500) plus Repairs</t>
  </si>
  <si>
    <t>Prorated Accumulated</t>
  </si>
  <si>
    <t>Change</t>
  </si>
  <si>
    <t>ADIT</t>
  </si>
  <si>
    <t>Proration</t>
  </si>
  <si>
    <t>2015 - (Over)/Under recovery</t>
  </si>
  <si>
    <t>Yellow highlight indicates repair</t>
  </si>
  <si>
    <t>Blue indicates mains</t>
  </si>
  <si>
    <t>Firm Transportation Service - FT</t>
  </si>
  <si>
    <t>Total Forecasted Revenue in Case No. 2016-00371</t>
  </si>
  <si>
    <t>Rate Schedule - Transmission</t>
  </si>
  <si>
    <t>Rate Schedule - Distribution</t>
  </si>
  <si>
    <t>Year 2015  Over-Recovery Trueup Monthly Rate  Per Bill</t>
  </si>
  <si>
    <t>Note (2): Rate Schedule AAGS is included in Rate IGS.</t>
  </si>
  <si>
    <t>Note (1): Rate Schedule VFD is included in Rate RGS.</t>
  </si>
  <si>
    <t>Gas Plant Investment - Transmission CWIP</t>
  </si>
  <si>
    <t>Jul - Dec 2017</t>
  </si>
  <si>
    <t>Jul-Dec</t>
  </si>
  <si>
    <t>Proposed GLT Distribution Rate Effective July 1, 2017</t>
  </si>
  <si>
    <t>Proposed GLT Transmission Rate Effective July 1, 2017</t>
  </si>
  <si>
    <t>1/184</t>
  </si>
  <si>
    <t>32/184</t>
  </si>
  <si>
    <t>62/184</t>
  </si>
  <si>
    <t>93/184</t>
  </si>
  <si>
    <t>123/184</t>
  </si>
  <si>
    <t>154/184</t>
  </si>
  <si>
    <t>Main-Distribution Capex</t>
  </si>
  <si>
    <t>Main-Transmission Capex</t>
  </si>
  <si>
    <t>Main-Distribution Retirements</t>
  </si>
  <si>
    <t>Main-Distribution Cost of Removal</t>
  </si>
  <si>
    <t>Note (3): Rate Schedule SGSS is included in Rate CGS.</t>
  </si>
  <si>
    <t>Note (4): Rate Schedule DGGS is included in Rate IGS.</t>
  </si>
  <si>
    <t>Note (5): Rate Schedule LGDS is included in Rate FT.</t>
  </si>
  <si>
    <t>RATES AS OF JULY 1, 2017 ADJUSTED FOR RESET IN OF GLT ASSETS</t>
  </si>
  <si>
    <t>RATES AS OF JULY 1, 2017 ADJUSTED FOR RESET OF GLT ASSETS</t>
  </si>
  <si>
    <t>2017 Forecast Case No. 2016-00383</t>
  </si>
  <si>
    <t>Jul - Dec 2017  Rate Per Mcf</t>
  </si>
  <si>
    <t>Jul - Dec 2017 Mcf</t>
  </si>
  <si>
    <t>Jul - Dec 2017 Number of Bills</t>
  </si>
  <si>
    <t>Jul - Dec 2017  Monthly Rate         Per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</si>
</sst>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  <numFmt numFmtId="172" formatCode="&quot;$&quot;#,##0.0000_);\(&quot;$&quot;#,##0.0000\)"/>
    <numFmt numFmtId="173" formatCode="&quot;$&quot;#,##0.00000_);\(&quot;$&quot;#,##0.00000\)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1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 val="singleAccounting"/>
      <sz val="12"/>
      <name val="Times New Roman"/>
      <family val="1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trike/>
      <sz val="16"/>
      <name val="Cambria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8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0" fontId="2" fillId="1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7" fillId="34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169" fontId="28" fillId="10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0" fontId="2" fillId="1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7" fillId="36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169" fontId="28" fillId="14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0" fontId="2" fillId="1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7" fillId="3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169" fontId="28" fillId="1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0" fontId="2" fillId="22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7" fillId="40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169" fontId="28" fillId="22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0" fontId="2" fillId="26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7" fillId="41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169" fontId="28" fillId="26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0" fontId="2" fillId="30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7" fillId="38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169" fontId="28" fillId="30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0" fontId="2" fillId="1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7" fillId="4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169" fontId="28" fillId="1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0" fontId="2" fillId="15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7" fillId="36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169" fontId="28" fillId="15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0" fontId="2" fillId="19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7" fillId="43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169" fontId="28" fillId="19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0" fontId="2" fillId="23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7" fillId="35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169" fontId="28" fillId="23" borderId="0" applyNumberFormat="0" applyBorder="0" applyAlignment="0" applyProtection="0"/>
    <xf numFmtId="0" fontId="27" fillId="35" borderId="0" applyNumberFormat="0" applyBorder="0" applyAlignment="0" applyProtection="0"/>
    <xf numFmtId="169" fontId="27" fillId="35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0" fontId="2" fillId="27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7" fillId="41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169" fontId="28" fillId="27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0" fontId="2" fillId="31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7" fillId="38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169" fontId="28" fillId="31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29" fillId="4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0" fontId="25" fillId="12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169" fontId="30" fillId="12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29" fillId="4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0" fontId="25" fillId="1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169" fontId="30" fillId="1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29" fillId="4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0" fontId="25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169" fontId="30" fillId="20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29" fillId="3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0" fontId="25" fillId="24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169" fontId="30" fillId="2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29" fillId="4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0" fontId="25" fillId="28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169" fontId="30" fillId="28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29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0" fontId="25" fillId="32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169" fontId="30" fillId="32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29" fillId="5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0" fontId="25" fillId="9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29" fillId="4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0" fontId="25" fillId="13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169" fontId="30" fillId="1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29" fillId="4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0" fontId="25" fillId="17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169" fontId="30" fillId="17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29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0" fontId="25" fillId="21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169" fontId="30" fillId="21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29" fillId="4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0" fontId="25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169" fontId="30" fillId="25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29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0" fontId="25" fillId="29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169" fontId="30" fillId="29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15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1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0" fontId="15" fillId="3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169" fontId="32" fillId="3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19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5" fillId="56" borderId="18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0" fontId="19" fillId="6" borderId="10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169" fontId="34" fillId="6" borderId="10" applyNumberFormat="0" applyAlignment="0" applyProtection="0"/>
    <xf numFmtId="0" fontId="35" fillId="56" borderId="18" applyNumberFormat="0" applyAlignment="0" applyProtection="0"/>
    <xf numFmtId="169" fontId="35" fillId="56" borderId="18" applyNumberFormat="0" applyAlignment="0" applyProtection="0"/>
    <xf numFmtId="169" fontId="35" fillId="56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3" fillId="55" borderId="18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21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6" fillId="57" borderId="19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0" fontId="21" fillId="7" borderId="13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169" fontId="37" fillId="7" borderId="13" applyNumberFormat="0" applyAlignment="0" applyProtection="0"/>
    <xf numFmtId="0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169" fontId="36" fillId="57" borderId="19" applyNumberFormat="0" applyAlignment="0" applyProtection="0"/>
    <xf numFmtId="0" fontId="38" fillId="58" borderId="0">
      <alignment horizontal="left"/>
    </xf>
    <xf numFmtId="0" fontId="39" fillId="58" borderId="0">
      <alignment horizontal="right"/>
    </xf>
    <xf numFmtId="0" fontId="40" fillId="56" borderId="0">
      <alignment horizontal="center"/>
    </xf>
    <xf numFmtId="0" fontId="39" fillId="58" borderId="0">
      <alignment horizontal="right"/>
    </xf>
    <xf numFmtId="0" fontId="41" fillId="56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0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169" fontId="45" fillId="0" borderId="0" applyProtection="0"/>
    <xf numFmtId="0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169" fontId="46" fillId="0" borderId="0" applyProtection="0"/>
    <xf numFmtId="0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0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169" fontId="6" fillId="0" borderId="0" applyProtection="0"/>
    <xf numFmtId="0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169" fontId="7" fillId="0" borderId="0" applyProtection="0"/>
    <xf numFmtId="0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2" fontId="6" fillId="0" borderId="0" applyFont="0" applyFill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14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49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0" fontId="14" fillId="2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169" fontId="50" fillId="2" borderId="0" applyNumberFormat="0" applyBorder="0" applyAlignment="0" applyProtection="0"/>
    <xf numFmtId="0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41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49" fillId="37" borderId="0" applyNumberFormat="0" applyBorder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11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4" fillId="0" borderId="21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0" fontId="11" fillId="0" borderId="7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169" fontId="54" fillId="0" borderId="21" applyNumberFormat="0" applyFill="0" applyAlignment="0" applyProtection="0"/>
    <xf numFmtId="169" fontId="54" fillId="0" borderId="21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1" fillId="0" borderId="20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12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8" fillId="0" borderId="23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0" fontId="12" fillId="0" borderId="8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169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169" fontId="58" fillId="0" borderId="23" applyNumberFormat="0" applyFill="0" applyAlignment="0" applyProtection="0"/>
    <xf numFmtId="169" fontId="58" fillId="0" borderId="23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5" fillId="0" borderId="22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13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1" fillId="0" borderId="25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0" fontId="13" fillId="0" borderId="9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169" fontId="60" fillId="0" borderId="9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24" applyNumberFormat="0" applyFill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17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2" fillId="43" borderId="18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0" fontId="17" fillId="5" borderId="10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169" fontId="63" fillId="5" borderId="10" applyNumberFormat="0" applyAlignment="0" applyProtection="0"/>
    <xf numFmtId="0" fontId="62" fillId="43" borderId="18" applyNumberFormat="0" applyAlignment="0" applyProtection="0"/>
    <xf numFmtId="169" fontId="62" fillId="43" borderId="18" applyNumberFormat="0" applyAlignment="0" applyProtection="0"/>
    <xf numFmtId="169" fontId="62" fillId="43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169" fontId="62" fillId="40" borderId="18" applyNumberFormat="0" applyAlignment="0" applyProtection="0"/>
    <xf numFmtId="0" fontId="38" fillId="58" borderId="0">
      <alignment horizontal="left"/>
    </xf>
    <xf numFmtId="0" fontId="64" fillId="56" borderId="0">
      <alignment horizontal="left"/>
    </xf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20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7" fillId="0" borderId="27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0" fontId="20" fillId="0" borderId="12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169" fontId="66" fillId="0" borderId="12" applyNumberFormat="0" applyFill="0" applyAlignment="0" applyProtection="0"/>
    <xf numFmtId="0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7" fillId="0" borderId="27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16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70" fillId="4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0" fontId="16" fillId="4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169" fontId="69" fillId="4" borderId="0" applyNumberFormat="0" applyBorder="0" applyAlignment="0" applyProtection="0"/>
    <xf numFmtId="0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8" fillId="43" borderId="0" applyNumberFormat="0" applyBorder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4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6" fillId="0" borderId="0"/>
    <xf numFmtId="0" fontId="2" fillId="0" borderId="0"/>
    <xf numFmtId="0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8" fillId="0" borderId="0"/>
    <xf numFmtId="169" fontId="6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71" fillId="0" borderId="0"/>
    <xf numFmtId="169" fontId="28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9" fontId="28" fillId="0" borderId="0"/>
    <xf numFmtId="169" fontId="28" fillId="0" borderId="0"/>
    <xf numFmtId="169" fontId="6" fillId="0" borderId="0"/>
    <xf numFmtId="0" fontId="42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9" fontId="28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72" fillId="38" borderId="28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27" fillId="8" borderId="14" applyNumberFormat="0" applyFont="0" applyAlignment="0" applyProtection="0"/>
    <xf numFmtId="169" fontId="72" fillId="8" borderId="14" applyNumberFormat="0" applyFont="0" applyAlignment="0" applyProtection="0"/>
    <xf numFmtId="0" fontId="5" fillId="38" borderId="28" applyNumberFormat="0" applyFont="0" applyAlignment="0" applyProtection="0"/>
    <xf numFmtId="169" fontId="72" fillId="8" borderId="14" applyNumberFormat="0" applyFont="0" applyAlignment="0" applyProtection="0"/>
    <xf numFmtId="0" fontId="27" fillId="8" borderId="14" applyNumberFormat="0" applyFont="0" applyAlignment="0" applyProtection="0"/>
    <xf numFmtId="0" fontId="27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0" fontId="5" fillId="38" borderId="28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72" fillId="8" borderId="14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45" fillId="38" borderId="28" applyNumberFormat="0" applyFon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18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3" fillId="56" borderId="29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0" fontId="18" fillId="6" borderId="11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169" fontId="74" fillId="6" borderId="11" applyNumberFormat="0" applyAlignment="0" applyProtection="0"/>
    <xf numFmtId="0" fontId="73" fillId="56" borderId="29" applyNumberFormat="0" applyAlignment="0" applyProtection="0"/>
    <xf numFmtId="169" fontId="73" fillId="56" borderId="29" applyNumberFormat="0" applyAlignment="0" applyProtection="0"/>
    <xf numFmtId="169" fontId="73" fillId="56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169" fontId="73" fillId="55" borderId="29" applyNumberFormat="0" applyAlignment="0" applyProtection="0"/>
    <xf numFmtId="4" fontId="75" fillId="59" borderId="0">
      <alignment horizontal="right"/>
    </xf>
    <xf numFmtId="0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169" fontId="76" fillId="59" borderId="0">
      <alignment horizontal="center" vertical="center"/>
    </xf>
    <xf numFmtId="0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169" fontId="64" fillId="59" borderId="30"/>
    <xf numFmtId="0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169" fontId="76" fillId="59" borderId="0" applyBorder="0">
      <alignment horizontal="centerContinuous"/>
    </xf>
    <xf numFmtId="0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169" fontId="77" fillId="59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43" borderId="0">
      <alignment horizontal="center"/>
    </xf>
    <xf numFmtId="49" fontId="78" fillId="56" borderId="0">
      <alignment horizontal="center"/>
    </xf>
    <xf numFmtId="0" fontId="39" fillId="58" borderId="0">
      <alignment horizontal="center"/>
    </xf>
    <xf numFmtId="0" fontId="39" fillId="58" borderId="0">
      <alignment horizontal="centerContinuous"/>
    </xf>
    <xf numFmtId="0" fontId="79" fillId="56" borderId="0">
      <alignment horizontal="left"/>
    </xf>
    <xf numFmtId="49" fontId="79" fillId="56" borderId="0">
      <alignment horizontal="center"/>
    </xf>
    <xf numFmtId="0" fontId="38" fillId="58" borderId="0">
      <alignment horizontal="left"/>
    </xf>
    <xf numFmtId="49" fontId="79" fillId="56" borderId="0">
      <alignment horizontal="left"/>
    </xf>
    <xf numFmtId="0" fontId="38" fillId="58" borderId="0">
      <alignment horizontal="centerContinuous"/>
    </xf>
    <xf numFmtId="0" fontId="38" fillId="58" borderId="0">
      <alignment horizontal="right"/>
    </xf>
    <xf numFmtId="49" fontId="64" fillId="56" borderId="0">
      <alignment horizontal="left"/>
    </xf>
    <xf numFmtId="0" fontId="39" fillId="58" borderId="0">
      <alignment horizontal="right"/>
    </xf>
    <xf numFmtId="0" fontId="79" fillId="40" borderId="0">
      <alignment horizontal="center"/>
    </xf>
    <xf numFmtId="0" fontId="80" fillId="4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2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6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3" fillId="0" borderId="33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0" fontId="24" fillId="0" borderId="15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6" fillId="0" borderId="32" applyNumberFormat="0" applyFont="0" applyFill="0" applyAlignment="0" applyProtection="0"/>
    <xf numFmtId="169" fontId="6" fillId="0" borderId="32" applyNumberFormat="0" applyFon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169" fontId="84" fillId="0" borderId="15" applyNumberFormat="0" applyFill="0" applyAlignment="0" applyProtection="0"/>
    <xf numFmtId="0" fontId="6" fillId="0" borderId="32" applyNumberFormat="0" applyFont="0" applyFill="0" applyAlignment="0" applyProtection="0"/>
    <xf numFmtId="169" fontId="83" fillId="0" borderId="33" applyNumberFormat="0" applyFill="0" applyAlignment="0" applyProtection="0"/>
    <xf numFmtId="169" fontId="83" fillId="0" borderId="33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169" fontId="83" fillId="0" borderId="31" applyNumberFormat="0" applyFill="0" applyAlignment="0" applyProtection="0"/>
    <xf numFmtId="0" fontId="85" fillId="56" borderId="0">
      <alignment horizontal="center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10" fontId="5" fillId="0" borderId="0" xfId="3" applyNumberFormat="1" applyFont="1" applyFill="1" applyAlignment="1">
      <alignment horizontal="center"/>
    </xf>
    <xf numFmtId="0" fontId="7" fillId="0" borderId="0" xfId="0" applyFont="1"/>
    <xf numFmtId="37" fontId="9" fillId="0" borderId="0" xfId="0" applyNumberFormat="1" applyFont="1" applyFill="1"/>
    <xf numFmtId="10" fontId="0" fillId="0" borderId="0" xfId="0" applyNumberFormat="1" applyFill="1"/>
    <xf numFmtId="10" fontId="9" fillId="0" borderId="0" xfId="0" applyNumberFormat="1" applyFont="1" applyFill="1"/>
    <xf numFmtId="37" fontId="0" fillId="0" borderId="0" xfId="0" applyNumberFormat="1" applyFill="1"/>
    <xf numFmtId="3" fontId="0" fillId="0" borderId="0" xfId="0" applyNumberFormat="1"/>
    <xf numFmtId="0" fontId="5" fillId="0" borderId="0" xfId="0" applyFont="1"/>
    <xf numFmtId="164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0" fontId="90" fillId="0" borderId="0" xfId="0" quotePrefix="1" applyFont="1" applyAlignment="1">
      <alignment horizontal="left"/>
    </xf>
    <xf numFmtId="164" fontId="5" fillId="0" borderId="0" xfId="0" applyNumberFormat="1" applyFont="1"/>
    <xf numFmtId="164" fontId="5" fillId="0" borderId="6" xfId="0" applyNumberFormat="1" applyFont="1" applyBorder="1"/>
    <xf numFmtId="0" fontId="90" fillId="0" borderId="0" xfId="0" applyFont="1"/>
    <xf numFmtId="164" fontId="5" fillId="0" borderId="3" xfId="0" applyNumberFormat="1" applyFont="1" applyBorder="1"/>
    <xf numFmtId="0" fontId="4" fillId="0" borderId="0" xfId="0" applyFont="1" applyAlignment="1">
      <alignment horizontal="center"/>
    </xf>
    <xf numFmtId="0" fontId="96" fillId="0" borderId="0" xfId="0" applyFont="1" applyFill="1" applyBorder="1"/>
    <xf numFmtId="0" fontId="92" fillId="0" borderId="0" xfId="0" applyFont="1" applyFill="1" applyBorder="1"/>
    <xf numFmtId="6" fontId="92" fillId="0" borderId="0" xfId="0" applyNumberFormat="1" applyFont="1" applyFill="1" applyBorder="1" applyAlignment="1">
      <alignment horizontal="center"/>
    </xf>
    <xf numFmtId="0" fontId="92" fillId="0" borderId="0" xfId="0" quotePrefix="1" applyFont="1" applyFill="1" applyBorder="1" applyAlignment="1">
      <alignment horizontal="center"/>
    </xf>
    <xf numFmtId="165" fontId="96" fillId="0" borderId="0" xfId="2" applyNumberFormat="1" applyFont="1" applyFill="1" applyBorder="1"/>
    <xf numFmtId="165" fontId="96" fillId="0" borderId="0" xfId="2" applyNumberFormat="1" applyFont="1" applyFill="1" applyBorder="1" applyProtection="1"/>
    <xf numFmtId="6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/>
    </xf>
    <xf numFmtId="0" fontId="93" fillId="0" borderId="0" xfId="0" quotePrefix="1" applyFont="1" applyFill="1" applyBorder="1" applyAlignment="1">
      <alignment horizontal="center"/>
    </xf>
    <xf numFmtId="0" fontId="95" fillId="0" borderId="0" xfId="0" applyFont="1" applyFill="1" applyBorder="1"/>
    <xf numFmtId="165" fontId="95" fillId="0" borderId="0" xfId="2" applyNumberFormat="1" applyFont="1" applyFill="1" applyBorder="1"/>
    <xf numFmtId="165" fontId="95" fillId="0" borderId="0" xfId="2" applyNumberFormat="1" applyFont="1" applyFill="1" applyBorder="1" applyProtection="1"/>
    <xf numFmtId="3" fontId="7" fillId="0" borderId="0" xfId="0" applyNumberFormat="1" applyFont="1"/>
    <xf numFmtId="0" fontId="5" fillId="0" borderId="0" xfId="0" applyFont="1" applyFill="1"/>
    <xf numFmtId="164" fontId="45" fillId="0" borderId="0" xfId="0" applyNumberFormat="1" applyFont="1" applyFill="1"/>
    <xf numFmtId="3" fontId="0" fillId="0" borderId="1" xfId="0" applyNumberFormat="1" applyBorder="1"/>
    <xf numFmtId="0" fontId="7" fillId="0" borderId="0" xfId="6" applyFont="1"/>
    <xf numFmtId="0" fontId="0" fillId="0" borderId="0" xfId="0" applyFill="1"/>
    <xf numFmtId="0" fontId="7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/>
    <xf numFmtId="0" fontId="96" fillId="0" borderId="0" xfId="0" applyFont="1" applyFill="1" applyAlignment="1">
      <alignment horizontal="center"/>
    </xf>
    <xf numFmtId="5" fontId="88" fillId="0" borderId="0" xfId="0" applyNumberFormat="1" applyFont="1" applyFill="1"/>
    <xf numFmtId="5" fontId="88" fillId="0" borderId="1" xfId="0" applyNumberFormat="1" applyFont="1" applyFill="1" applyBorder="1"/>
    <xf numFmtId="5" fontId="88" fillId="0" borderId="0" xfId="0" applyNumberFormat="1" applyFont="1" applyFill="1" applyBorder="1"/>
    <xf numFmtId="164" fontId="96" fillId="0" borderId="0" xfId="1" applyNumberFormat="1" applyFont="1" applyFill="1"/>
    <xf numFmtId="164" fontId="96" fillId="0" borderId="1" xfId="1" applyNumberFormat="1" applyFont="1" applyFill="1" applyBorder="1"/>
    <xf numFmtId="10" fontId="96" fillId="0" borderId="1" xfId="0" applyNumberFormat="1" applyFont="1" applyFill="1" applyBorder="1"/>
    <xf numFmtId="164" fontId="96" fillId="0" borderId="1" xfId="0" applyNumberFormat="1" applyFont="1" applyFill="1" applyBorder="1"/>
    <xf numFmtId="165" fontId="5" fillId="0" borderId="3" xfId="5" applyNumberFormat="1" applyFont="1" applyFill="1" applyBorder="1"/>
    <xf numFmtId="0" fontId="0" fillId="0" borderId="0" xfId="0" applyFill="1" applyAlignment="1">
      <alignment horizontal="center"/>
    </xf>
    <xf numFmtId="0" fontId="89" fillId="0" borderId="0" xfId="0" applyFont="1" applyFill="1" applyAlignment="1"/>
    <xf numFmtId="165" fontId="0" fillId="0" borderId="0" xfId="2" applyNumberFormat="1" applyFont="1" applyFill="1" applyBorder="1"/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0" fillId="0" borderId="0" xfId="0" applyNumberFormat="1" applyFill="1"/>
    <xf numFmtId="164" fontId="96" fillId="0" borderId="0" xfId="1" applyNumberFormat="1" applyFont="1" applyFill="1" applyBorder="1"/>
    <xf numFmtId="0" fontId="99" fillId="0" borderId="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7" fontId="45" fillId="0" borderId="0" xfId="0" applyNumberFormat="1" applyFont="1" applyFill="1" applyBorder="1"/>
    <xf numFmtId="164" fontId="45" fillId="0" borderId="0" xfId="0" applyNumberFormat="1" applyFont="1" applyFill="1" applyBorder="1"/>
    <xf numFmtId="0" fontId="45" fillId="0" borderId="0" xfId="0" applyFont="1" applyFill="1"/>
    <xf numFmtId="0" fontId="99" fillId="0" borderId="0" xfId="0" applyFont="1" applyFill="1"/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wrapText="1"/>
    </xf>
    <xf numFmtId="0" fontId="99" fillId="0" borderId="1" xfId="0" quotePrefix="1" applyFont="1" applyFill="1" applyBorder="1" applyAlignment="1">
      <alignment horizontal="center"/>
    </xf>
    <xf numFmtId="167" fontId="45" fillId="0" borderId="0" xfId="0" applyNumberFormat="1" applyFont="1" applyFill="1" applyAlignment="1">
      <alignment horizontal="center"/>
    </xf>
    <xf numFmtId="167" fontId="45" fillId="0" borderId="0" xfId="0" applyNumberFormat="1" applyFont="1" applyFill="1"/>
    <xf numFmtId="0" fontId="45" fillId="0" borderId="0" xfId="0" applyFont="1" applyFill="1" applyAlignment="1">
      <alignment horizontal="center"/>
    </xf>
    <xf numFmtId="0" fontId="45" fillId="0" borderId="0" xfId="0" quotePrefix="1" applyFont="1" applyFill="1"/>
    <xf numFmtId="168" fontId="45" fillId="0" borderId="0" xfId="0" applyNumberFormat="1" applyFont="1" applyFill="1"/>
    <xf numFmtId="43" fontId="45" fillId="0" borderId="0" xfId="0" applyNumberFormat="1" applyFont="1" applyFill="1"/>
    <xf numFmtId="0" fontId="5" fillId="0" borderId="0" xfId="0" applyFont="1" applyFill="1" applyAlignment="1">
      <alignment horizontal="right"/>
    </xf>
    <xf numFmtId="3" fontId="0" fillId="0" borderId="0" xfId="0" applyNumberFormat="1" applyFill="1" applyBorder="1"/>
    <xf numFmtId="0" fontId="4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4" fillId="0" borderId="0" xfId="6" applyFont="1" applyFill="1"/>
    <xf numFmtId="0" fontId="92" fillId="0" borderId="0" xfId="0" quotePrefix="1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3" fillId="0" borderId="0" xfId="0" applyFont="1" applyFill="1" applyAlignment="1">
      <alignment horizontal="left"/>
    </xf>
    <xf numFmtId="164" fontId="101" fillId="0" borderId="0" xfId="5" applyNumberFormat="1" applyFont="1" applyFill="1" applyAlignment="1">
      <alignment horizontal="center" wrapText="1"/>
    </xf>
    <xf numFmtId="164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center"/>
    </xf>
    <xf numFmtId="164" fontId="101" fillId="0" borderId="0" xfId="5" quotePrefix="1" applyNumberFormat="1" applyFont="1" applyFill="1" applyAlignment="1">
      <alignment horizontal="center" wrapText="1"/>
    </xf>
    <xf numFmtId="0" fontId="88" fillId="0" borderId="0" xfId="6" applyFont="1" applyFill="1"/>
    <xf numFmtId="164" fontId="101" fillId="0" borderId="0" xfId="1501" quotePrefix="1" applyNumberFormat="1" applyFont="1" applyFill="1" applyAlignment="1">
      <alignment horizontal="center" wrapText="1"/>
    </xf>
    <xf numFmtId="169" fontId="88" fillId="0" borderId="0" xfId="2025" applyFont="1" applyFill="1"/>
    <xf numFmtId="0" fontId="88" fillId="0" borderId="0" xfId="6" applyFont="1" applyFill="1" applyAlignment="1">
      <alignment horizontal="center"/>
    </xf>
    <xf numFmtId="164" fontId="4" fillId="0" borderId="0" xfId="5" quotePrefix="1" applyNumberFormat="1" applyFont="1" applyFill="1" applyAlignment="1">
      <alignment horizontal="center" vertical="center" wrapText="1"/>
    </xf>
    <xf numFmtId="164" fontId="4" fillId="0" borderId="0" xfId="5" quotePrefix="1" applyNumberFormat="1" applyFont="1" applyFill="1" applyAlignment="1">
      <alignment horizontal="center" wrapText="1"/>
    </xf>
    <xf numFmtId="164" fontId="4" fillId="0" borderId="0" xfId="5" applyNumberFormat="1" applyFont="1" applyFill="1" applyAlignment="1">
      <alignment horizontal="center" wrapText="1"/>
    </xf>
    <xf numFmtId="164" fontId="5" fillId="0" borderId="0" xfId="5" applyNumberFormat="1" applyFont="1" applyFill="1" applyAlignment="1">
      <alignment horizontal="center" wrapText="1"/>
    </xf>
    <xf numFmtId="164" fontId="5" fillId="0" borderId="0" xfId="1501" applyNumberFormat="1" applyFont="1" applyFill="1" applyAlignment="1">
      <alignment horizontal="center" wrapText="1"/>
    </xf>
    <xf numFmtId="0" fontId="102" fillId="0" borderId="0" xfId="0" applyFont="1" applyFill="1"/>
    <xf numFmtId="164" fontId="5" fillId="0" borderId="0" xfId="5" applyNumberFormat="1" applyFont="1" applyFill="1" applyAlignment="1">
      <alignment horizontal="left"/>
    </xf>
    <xf numFmtId="5" fontId="5" fillId="0" borderId="0" xfId="5" applyNumberFormat="1" applyFont="1" applyFill="1"/>
    <xf numFmtId="164" fontId="5" fillId="0" borderId="0" xfId="5" applyNumberFormat="1" applyFont="1" applyFill="1"/>
    <xf numFmtId="10" fontId="5" fillId="0" borderId="0" xfId="7" applyNumberFormat="1" applyFont="1" applyFill="1"/>
    <xf numFmtId="164" fontId="5" fillId="0" borderId="0" xfId="8" applyNumberFormat="1" applyFont="1" applyFill="1"/>
    <xf numFmtId="7" fontId="5" fillId="0" borderId="0" xfId="5" applyNumberFormat="1" applyFont="1" applyFill="1"/>
    <xf numFmtId="7" fontId="5" fillId="0" borderId="0" xfId="1501" applyNumberFormat="1" applyFont="1" applyFill="1"/>
    <xf numFmtId="7" fontId="102" fillId="0" borderId="0" xfId="0" applyNumberFormat="1" applyFont="1" applyFill="1"/>
    <xf numFmtId="5" fontId="5" fillId="0" borderId="1" xfId="5" applyNumberFormat="1" applyFont="1" applyFill="1" applyBorder="1"/>
    <xf numFmtId="10" fontId="5" fillId="0" borderId="1" xfId="7" applyNumberFormat="1" applyFont="1" applyFill="1" applyBorder="1"/>
    <xf numFmtId="164" fontId="5" fillId="0" borderId="1" xfId="5" applyNumberFormat="1" applyFont="1" applyFill="1" applyBorder="1"/>
    <xf numFmtId="164" fontId="4" fillId="0" borderId="0" xfId="5" applyNumberFormat="1" applyFont="1" applyFill="1" applyAlignment="1">
      <alignment horizontal="left"/>
    </xf>
    <xf numFmtId="5" fontId="5" fillId="0" borderId="3" xfId="5" applyNumberFormat="1" applyFont="1" applyFill="1" applyBorder="1"/>
    <xf numFmtId="164" fontId="5" fillId="0" borderId="0" xfId="5" applyNumberFormat="1" applyFont="1" applyFill="1" applyBorder="1"/>
    <xf numFmtId="10" fontId="5" fillId="0" borderId="3" xfId="7" applyNumberFormat="1" applyFont="1" applyFill="1" applyBorder="1"/>
    <xf numFmtId="164" fontId="5" fillId="0" borderId="3" xfId="5" applyNumberFormat="1" applyFont="1" applyFill="1" applyBorder="1"/>
    <xf numFmtId="169" fontId="4" fillId="0" borderId="0" xfId="1987" applyFont="1" applyFill="1" applyAlignment="1">
      <alignment horizontal="left"/>
    </xf>
    <xf numFmtId="164" fontId="4" fillId="0" borderId="0" xfId="1501" quotePrefix="1" applyNumberFormat="1" applyFont="1" applyFill="1" applyAlignment="1">
      <alignment horizontal="center" wrapText="1"/>
    </xf>
    <xf numFmtId="164" fontId="5" fillId="0" borderId="0" xfId="1501" applyNumberFormat="1" applyFont="1" applyFill="1" applyAlignment="1">
      <alignment horizontal="right"/>
    </xf>
    <xf numFmtId="164" fontId="4" fillId="0" borderId="0" xfId="1501" applyNumberFormat="1" applyFont="1" applyFill="1" applyAlignment="1">
      <alignment horizontal="center" wrapText="1"/>
    </xf>
    <xf numFmtId="164" fontId="5" fillId="0" borderId="0" xfId="1501" applyNumberFormat="1" applyFont="1" applyFill="1" applyAlignment="1">
      <alignment horizontal="center"/>
    </xf>
    <xf numFmtId="164" fontId="5" fillId="0" borderId="0" xfId="1501" applyNumberFormat="1" applyFont="1" applyFill="1" applyAlignment="1">
      <alignment horizontal="left"/>
    </xf>
    <xf numFmtId="5" fontId="5" fillId="0" borderId="0" xfId="1501" applyNumberFormat="1" applyFont="1" applyFill="1"/>
    <xf numFmtId="164" fontId="5" fillId="0" borderId="0" xfId="1501" applyNumberFormat="1" applyFont="1" applyFill="1"/>
    <xf numFmtId="10" fontId="5" fillId="0" borderId="0" xfId="2229" applyNumberFormat="1" applyFont="1" applyFill="1"/>
    <xf numFmtId="5" fontId="5" fillId="0" borderId="1" xfId="1501" applyNumberFormat="1" applyFont="1" applyFill="1" applyBorder="1"/>
    <xf numFmtId="10" fontId="5" fillId="0" borderId="1" xfId="2229" applyNumberFormat="1" applyFont="1" applyFill="1" applyBorder="1"/>
    <xf numFmtId="7" fontId="5" fillId="0" borderId="1" xfId="1501" applyNumberFormat="1" applyFont="1" applyFill="1" applyBorder="1"/>
    <xf numFmtId="164" fontId="5" fillId="0" borderId="1" xfId="1501" applyNumberFormat="1" applyFont="1" applyFill="1" applyBorder="1"/>
    <xf numFmtId="164" fontId="4" fillId="0" borderId="0" xfId="1501" applyNumberFormat="1" applyFont="1" applyFill="1" applyAlignment="1">
      <alignment horizontal="left"/>
    </xf>
    <xf numFmtId="5" fontId="5" fillId="0" borderId="3" xfId="1501" applyNumberFormat="1" applyFont="1" applyFill="1" applyBorder="1"/>
    <xf numFmtId="164" fontId="5" fillId="0" borderId="0" xfId="1501" applyNumberFormat="1" applyFont="1" applyFill="1" applyBorder="1"/>
    <xf numFmtId="10" fontId="5" fillId="0" borderId="3" xfId="2229" applyNumberFormat="1" applyFont="1" applyFill="1" applyBorder="1"/>
    <xf numFmtId="165" fontId="5" fillId="0" borderId="3" xfId="1501" applyNumberFormat="1" applyFont="1" applyFill="1" applyBorder="1"/>
    <xf numFmtId="164" fontId="5" fillId="0" borderId="3" xfId="1501" applyNumberFormat="1" applyFont="1" applyFill="1" applyBorder="1"/>
    <xf numFmtId="169" fontId="5" fillId="0" borderId="0" xfId="1987" applyFont="1" applyFill="1" applyAlignment="1">
      <alignment horizontal="center"/>
    </xf>
    <xf numFmtId="169" fontId="88" fillId="0" borderId="0" xfId="2025" applyFont="1" applyFill="1" applyAlignment="1">
      <alignment horizontal="right"/>
    </xf>
    <xf numFmtId="165" fontId="5" fillId="0" borderId="0" xfId="1501" applyNumberFormat="1" applyFont="1" applyFill="1" applyBorder="1"/>
    <xf numFmtId="0" fontId="95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10" fontId="5" fillId="0" borderId="0" xfId="0" applyNumberFormat="1" applyFont="1" applyFill="1"/>
    <xf numFmtId="10" fontId="5" fillId="0" borderId="0" xfId="3" applyNumberFormat="1" applyFont="1" applyFill="1"/>
    <xf numFmtId="0" fontId="5" fillId="0" borderId="0" xfId="0" quotePrefix="1" applyFont="1" applyFill="1" applyAlignment="1">
      <alignment horizontal="left"/>
    </xf>
    <xf numFmtId="10" fontId="91" fillId="0" borderId="0" xfId="0" applyNumberFormat="1" applyFont="1" applyFill="1"/>
    <xf numFmtId="10" fontId="91" fillId="0" borderId="0" xfId="3" applyNumberFormat="1" applyFont="1" applyFill="1"/>
    <xf numFmtId="0" fontId="95" fillId="0" borderId="0" xfId="0" applyFont="1" applyFill="1"/>
    <xf numFmtId="37" fontId="92" fillId="0" borderId="0" xfId="0" applyNumberFormat="1" applyFont="1" applyFill="1"/>
    <xf numFmtId="0" fontId="97" fillId="0" borderId="0" xfId="0" applyFont="1" applyFill="1" applyAlignment="1">
      <alignment horizontal="center"/>
    </xf>
    <xf numFmtId="0" fontId="97" fillId="0" borderId="0" xfId="0" quotePrefix="1" applyFont="1" applyFill="1" applyBorder="1" applyAlignment="1">
      <alignment horizontal="center"/>
    </xf>
    <xf numFmtId="167" fontId="92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center"/>
    </xf>
    <xf numFmtId="164" fontId="96" fillId="0" borderId="0" xfId="0" applyNumberFormat="1" applyFont="1" applyFill="1"/>
    <xf numFmtId="166" fontId="96" fillId="0" borderId="0" xfId="3" applyNumberFormat="1" applyFont="1" applyFill="1"/>
    <xf numFmtId="164" fontId="95" fillId="0" borderId="0" xfId="0" applyNumberFormat="1" applyFont="1" applyFill="1"/>
    <xf numFmtId="0" fontId="98" fillId="0" borderId="0" xfId="0" quotePrefix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3" fontId="7" fillId="0" borderId="0" xfId="6" applyNumberFormat="1" applyFont="1"/>
    <xf numFmtId="5" fontId="0" fillId="0" borderId="0" xfId="0" applyNumberFormat="1" applyFill="1" applyBorder="1"/>
    <xf numFmtId="0" fontId="4" fillId="0" borderId="0" xfId="0" quotePrefix="1" applyFont="1" applyAlignment="1">
      <alignment horizontal="center"/>
    </xf>
    <xf numFmtId="164" fontId="96" fillId="0" borderId="0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64" fontId="45" fillId="0" borderId="0" xfId="0" quotePrefix="1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quotePrefix="1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5" fontId="5" fillId="0" borderId="0" xfId="5" applyNumberFormat="1" applyFont="1" applyFill="1" applyBorder="1"/>
    <xf numFmtId="0" fontId="88" fillId="0" borderId="0" xfId="6" applyFont="1" applyFill="1" applyBorder="1"/>
    <xf numFmtId="0" fontId="102" fillId="0" borderId="0" xfId="0" applyFont="1" applyFill="1" applyBorder="1"/>
    <xf numFmtId="172" fontId="5" fillId="0" borderId="0" xfId="5" applyNumberFormat="1" applyFont="1" applyFill="1"/>
    <xf numFmtId="0" fontId="94" fillId="0" borderId="0" xfId="6" applyFont="1" applyFill="1" applyBorder="1"/>
    <xf numFmtId="5" fontId="88" fillId="0" borderId="4" xfId="6" applyNumberFormat="1" applyFont="1" applyFill="1" applyBorder="1"/>
    <xf numFmtId="10" fontId="88" fillId="0" borderId="4" xfId="6" applyNumberFormat="1" applyFont="1" applyFill="1" applyBorder="1"/>
    <xf numFmtId="164" fontId="88" fillId="0" borderId="4" xfId="6" applyNumberFormat="1" applyFont="1" applyFill="1" applyBorder="1"/>
    <xf numFmtId="0" fontId="93" fillId="0" borderId="0" xfId="0" quotePrefix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2" fillId="60" borderId="0" xfId="0" applyFont="1" applyFill="1" applyBorder="1" applyAlignment="1">
      <alignment horizontal="center"/>
    </xf>
    <xf numFmtId="0" fontId="97" fillId="60" borderId="0" xfId="0" quotePrefix="1" applyFont="1" applyFill="1" applyBorder="1" applyAlignment="1">
      <alignment horizontal="center"/>
    </xf>
    <xf numFmtId="164" fontId="96" fillId="60" borderId="1" xfId="1" applyNumberFormat="1" applyFont="1" applyFill="1" applyBorder="1"/>
    <xf numFmtId="0" fontId="96" fillId="60" borderId="0" xfId="0" applyFont="1" applyFill="1" applyBorder="1" applyAlignment="1">
      <alignment horizontal="center"/>
    </xf>
    <xf numFmtId="0" fontId="96" fillId="60" borderId="1" xfId="0" applyFont="1" applyFill="1" applyBorder="1" applyAlignment="1">
      <alignment horizontal="center"/>
    </xf>
    <xf numFmtId="164" fontId="96" fillId="60" borderId="0" xfId="0" applyNumberFormat="1" applyFont="1" applyFill="1" applyBorder="1" applyAlignment="1">
      <alignment horizontal="center"/>
    </xf>
    <xf numFmtId="164" fontId="96" fillId="60" borderId="0" xfId="1" applyNumberFormat="1" applyFont="1" applyFill="1" applyBorder="1"/>
    <xf numFmtId="10" fontId="96" fillId="60" borderId="1" xfId="0" applyNumberFormat="1" applyFont="1" applyFill="1" applyBorder="1"/>
    <xf numFmtId="164" fontId="96" fillId="60" borderId="1" xfId="0" applyNumberFormat="1" applyFont="1" applyFill="1" applyBorder="1"/>
    <xf numFmtId="0" fontId="92" fillId="60" borderId="36" xfId="0" applyFont="1" applyFill="1" applyBorder="1" applyAlignment="1">
      <alignment horizontal="center"/>
    </xf>
    <xf numFmtId="0" fontId="92" fillId="60" borderId="30" xfId="0" applyFont="1" applyFill="1" applyBorder="1" applyAlignment="1">
      <alignment horizontal="center"/>
    </xf>
    <xf numFmtId="0" fontId="97" fillId="60" borderId="36" xfId="0" quotePrefix="1" applyFont="1" applyFill="1" applyBorder="1" applyAlignment="1">
      <alignment horizontal="center"/>
    </xf>
    <xf numFmtId="0" fontId="97" fillId="60" borderId="30" xfId="0" quotePrefix="1" applyFont="1" applyFill="1" applyBorder="1" applyAlignment="1">
      <alignment horizontal="center"/>
    </xf>
    <xf numFmtId="167" fontId="92" fillId="60" borderId="36" xfId="0" applyNumberFormat="1" applyFont="1" applyFill="1" applyBorder="1" applyAlignment="1">
      <alignment horizontal="center"/>
    </xf>
    <xf numFmtId="167" fontId="92" fillId="60" borderId="0" xfId="0" applyNumberFormat="1" applyFont="1" applyFill="1" applyBorder="1" applyAlignment="1">
      <alignment horizontal="center"/>
    </xf>
    <xf numFmtId="167" fontId="92" fillId="60" borderId="30" xfId="0" applyNumberFormat="1" applyFont="1" applyFill="1" applyBorder="1" applyAlignment="1">
      <alignment horizontal="center"/>
    </xf>
    <xf numFmtId="0" fontId="96" fillId="60" borderId="36" xfId="0" applyFont="1" applyFill="1" applyBorder="1"/>
    <xf numFmtId="0" fontId="96" fillId="60" borderId="0" xfId="0" applyFont="1" applyFill="1" applyBorder="1"/>
    <xf numFmtId="0" fontId="96" fillId="60" borderId="30" xfId="0" applyFont="1" applyFill="1" applyBorder="1"/>
    <xf numFmtId="164" fontId="96" fillId="60" borderId="36" xfId="1" applyNumberFormat="1" applyFont="1" applyFill="1" applyBorder="1"/>
    <xf numFmtId="164" fontId="96" fillId="60" borderId="30" xfId="1" applyNumberFormat="1" applyFont="1" applyFill="1" applyBorder="1"/>
    <xf numFmtId="164" fontId="96" fillId="60" borderId="37" xfId="1" applyNumberFormat="1" applyFont="1" applyFill="1" applyBorder="1"/>
    <xf numFmtId="164" fontId="96" fillId="60" borderId="38" xfId="1" applyNumberFormat="1" applyFont="1" applyFill="1" applyBorder="1"/>
    <xf numFmtId="10" fontId="96" fillId="60" borderId="37" xfId="0" applyNumberFormat="1" applyFont="1" applyFill="1" applyBorder="1"/>
    <xf numFmtId="10" fontId="96" fillId="60" borderId="38" xfId="0" applyNumberFormat="1" applyFont="1" applyFill="1" applyBorder="1"/>
    <xf numFmtId="43" fontId="96" fillId="60" borderId="36" xfId="0" applyNumberFormat="1" applyFont="1" applyFill="1" applyBorder="1"/>
    <xf numFmtId="164" fontId="96" fillId="60" borderId="37" xfId="0" applyNumberFormat="1" applyFont="1" applyFill="1" applyBorder="1"/>
    <xf numFmtId="164" fontId="96" fillId="60" borderId="38" xfId="0" applyNumberFormat="1" applyFont="1" applyFill="1" applyBorder="1"/>
    <xf numFmtId="164" fontId="96" fillId="60" borderId="16" xfId="0" applyNumberFormat="1" applyFont="1" applyFill="1" applyBorder="1"/>
    <xf numFmtId="164" fontId="96" fillId="60" borderId="2" xfId="0" applyNumberFormat="1" applyFont="1" applyFill="1" applyBorder="1"/>
    <xf numFmtId="164" fontId="96" fillId="60" borderId="17" xfId="0" applyNumberFormat="1" applyFont="1" applyFill="1" applyBorder="1"/>
    <xf numFmtId="0" fontId="92" fillId="0" borderId="36" xfId="0" applyFont="1" applyFill="1" applyBorder="1" applyAlignment="1">
      <alignment horizontal="center"/>
    </xf>
    <xf numFmtId="0" fontId="92" fillId="0" borderId="30" xfId="0" applyFont="1" applyFill="1" applyBorder="1" applyAlignment="1">
      <alignment horizontal="center"/>
    </xf>
    <xf numFmtId="0" fontId="97" fillId="0" borderId="36" xfId="0" quotePrefix="1" applyFont="1" applyFill="1" applyBorder="1" applyAlignment="1">
      <alignment horizontal="center"/>
    </xf>
    <xf numFmtId="0" fontId="97" fillId="0" borderId="30" xfId="0" quotePrefix="1" applyFont="1" applyFill="1" applyBorder="1" applyAlignment="1">
      <alignment horizontal="center"/>
    </xf>
    <xf numFmtId="167" fontId="92" fillId="0" borderId="36" xfId="0" applyNumberFormat="1" applyFont="1" applyFill="1" applyBorder="1" applyAlignment="1">
      <alignment horizontal="center"/>
    </xf>
    <xf numFmtId="167" fontId="92" fillId="0" borderId="0" xfId="0" applyNumberFormat="1" applyFont="1" applyFill="1" applyBorder="1" applyAlignment="1">
      <alignment horizontal="center"/>
    </xf>
    <xf numFmtId="167" fontId="92" fillId="0" borderId="30" xfId="0" applyNumberFormat="1" applyFont="1" applyFill="1" applyBorder="1" applyAlignment="1">
      <alignment horizontal="center"/>
    </xf>
    <xf numFmtId="0" fontId="96" fillId="0" borderId="36" xfId="0" applyFont="1" applyFill="1" applyBorder="1"/>
    <xf numFmtId="0" fontId="96" fillId="0" borderId="30" xfId="0" applyFont="1" applyFill="1" applyBorder="1"/>
    <xf numFmtId="164" fontId="96" fillId="0" borderId="36" xfId="1" applyNumberFormat="1" applyFont="1" applyFill="1" applyBorder="1"/>
    <xf numFmtId="164" fontId="96" fillId="0" borderId="30" xfId="1" applyNumberFormat="1" applyFont="1" applyFill="1" applyBorder="1"/>
    <xf numFmtId="164" fontId="96" fillId="0" borderId="37" xfId="1" applyNumberFormat="1" applyFont="1" applyFill="1" applyBorder="1"/>
    <xf numFmtId="164" fontId="96" fillId="0" borderId="38" xfId="1" applyNumberFormat="1" applyFont="1" applyFill="1" applyBorder="1"/>
    <xf numFmtId="10" fontId="96" fillId="0" borderId="37" xfId="0" applyNumberFormat="1" applyFont="1" applyFill="1" applyBorder="1"/>
    <xf numFmtId="10" fontId="96" fillId="0" borderId="38" xfId="0" applyNumberFormat="1" applyFont="1" applyFill="1" applyBorder="1"/>
    <xf numFmtId="164" fontId="96" fillId="0" borderId="37" xfId="0" applyNumberFormat="1" applyFont="1" applyFill="1" applyBorder="1"/>
    <xf numFmtId="164" fontId="96" fillId="0" borderId="16" xfId="0" applyNumberFormat="1" applyFont="1" applyFill="1" applyBorder="1"/>
    <xf numFmtId="164" fontId="96" fillId="0" borderId="2" xfId="0" applyNumberFormat="1" applyFont="1" applyFill="1" applyBorder="1"/>
    <xf numFmtId="164" fontId="96" fillId="0" borderId="17" xfId="0" applyNumberFormat="1" applyFont="1" applyFill="1" applyBorder="1"/>
    <xf numFmtId="164" fontId="96" fillId="0" borderId="38" xfId="0" applyNumberFormat="1" applyFont="1" applyFill="1" applyBorder="1"/>
    <xf numFmtId="0" fontId="105" fillId="0" borderId="0" xfId="0" applyFont="1" applyFill="1" applyAlignment="1">
      <alignment horizontal="left"/>
    </xf>
    <xf numFmtId="0" fontId="105" fillId="0" borderId="0" xfId="0" applyFont="1" applyFill="1"/>
    <xf numFmtId="164" fontId="105" fillId="0" borderId="0" xfId="0" applyNumberFormat="1" applyFont="1" applyFill="1"/>
    <xf numFmtId="0" fontId="92" fillId="0" borderId="34" xfId="0" applyFont="1" applyFill="1" applyBorder="1" applyAlignment="1">
      <alignment horizontal="center"/>
    </xf>
    <xf numFmtId="0" fontId="96" fillId="0" borderId="6" xfId="0" applyFont="1" applyFill="1" applyBorder="1" applyAlignment="1">
      <alignment horizontal="center"/>
    </xf>
    <xf numFmtId="0" fontId="92" fillId="0" borderId="6" xfId="0" applyFont="1" applyFill="1" applyBorder="1" applyAlignment="1">
      <alignment horizontal="center"/>
    </xf>
    <xf numFmtId="0" fontId="92" fillId="0" borderId="35" xfId="0" applyFont="1" applyFill="1" applyBorder="1" applyAlignment="1">
      <alignment horizontal="center"/>
    </xf>
    <xf numFmtId="0" fontId="92" fillId="61" borderId="34" xfId="0" applyFont="1" applyFill="1" applyBorder="1" applyAlignment="1">
      <alignment horizontal="center"/>
    </xf>
    <xf numFmtId="0" fontId="96" fillId="61" borderId="6" xfId="0" applyFont="1" applyFill="1" applyBorder="1" applyAlignment="1">
      <alignment horizontal="center"/>
    </xf>
    <xf numFmtId="0" fontId="92" fillId="61" borderId="6" xfId="0" applyFont="1" applyFill="1" applyBorder="1" applyAlignment="1">
      <alignment horizontal="center"/>
    </xf>
    <xf numFmtId="0" fontId="92" fillId="61" borderId="35" xfId="0" applyFont="1" applyFill="1" applyBorder="1" applyAlignment="1">
      <alignment horizontal="center"/>
    </xf>
    <xf numFmtId="0" fontId="97" fillId="61" borderId="36" xfId="0" quotePrefix="1" applyFont="1" applyFill="1" applyBorder="1" applyAlignment="1">
      <alignment horizontal="center"/>
    </xf>
    <xf numFmtId="0" fontId="96" fillId="61" borderId="0" xfId="0" applyFont="1" applyFill="1" applyBorder="1" applyAlignment="1">
      <alignment horizontal="center"/>
    </xf>
    <xf numFmtId="0" fontId="97" fillId="61" borderId="0" xfId="0" quotePrefix="1" applyFont="1" applyFill="1" applyBorder="1" applyAlignment="1">
      <alignment horizontal="center"/>
    </xf>
    <xf numFmtId="0" fontId="92" fillId="61" borderId="0" xfId="0" applyFont="1" applyFill="1" applyBorder="1" applyAlignment="1">
      <alignment horizontal="center"/>
    </xf>
    <xf numFmtId="0" fontId="97" fillId="61" borderId="30" xfId="0" quotePrefix="1" applyFont="1" applyFill="1" applyBorder="1" applyAlignment="1">
      <alignment horizontal="center"/>
    </xf>
    <xf numFmtId="167" fontId="92" fillId="61" borderId="36" xfId="0" applyNumberFormat="1" applyFont="1" applyFill="1" applyBorder="1" applyAlignment="1">
      <alignment horizontal="center"/>
    </xf>
    <xf numFmtId="167" fontId="92" fillId="61" borderId="0" xfId="0" applyNumberFormat="1" applyFont="1" applyFill="1" applyBorder="1" applyAlignment="1">
      <alignment horizontal="center"/>
    </xf>
    <xf numFmtId="167" fontId="92" fillId="61" borderId="30" xfId="0" applyNumberFormat="1" applyFont="1" applyFill="1" applyBorder="1" applyAlignment="1">
      <alignment horizontal="center"/>
    </xf>
    <xf numFmtId="0" fontId="96" fillId="61" borderId="36" xfId="0" applyFont="1" applyFill="1" applyBorder="1"/>
    <xf numFmtId="0" fontId="96" fillId="61" borderId="0" xfId="0" applyFont="1" applyFill="1" applyBorder="1"/>
    <xf numFmtId="0" fontId="96" fillId="61" borderId="30" xfId="0" applyFont="1" applyFill="1" applyBorder="1"/>
    <xf numFmtId="164" fontId="96" fillId="61" borderId="36" xfId="1" applyNumberFormat="1" applyFont="1" applyFill="1" applyBorder="1"/>
    <xf numFmtId="164" fontId="96" fillId="61" borderId="0" xfId="1" applyNumberFormat="1" applyFont="1" applyFill="1" applyBorder="1"/>
    <xf numFmtId="164" fontId="96" fillId="61" borderId="30" xfId="1" applyNumberFormat="1" applyFont="1" applyFill="1" applyBorder="1"/>
    <xf numFmtId="164" fontId="96" fillId="61" borderId="37" xfId="1" applyNumberFormat="1" applyFont="1" applyFill="1" applyBorder="1"/>
    <xf numFmtId="164" fontId="96" fillId="61" borderId="1" xfId="1" applyNumberFormat="1" applyFont="1" applyFill="1" applyBorder="1"/>
    <xf numFmtId="0" fontId="96" fillId="61" borderId="1" xfId="0" applyFont="1" applyFill="1" applyBorder="1" applyAlignment="1">
      <alignment horizontal="center"/>
    </xf>
    <xf numFmtId="164" fontId="96" fillId="61" borderId="0" xfId="0" applyNumberFormat="1" applyFont="1" applyFill="1" applyBorder="1" applyAlignment="1">
      <alignment horizontal="center"/>
    </xf>
    <xf numFmtId="164" fontId="96" fillId="61" borderId="38" xfId="1" applyNumberFormat="1" applyFont="1" applyFill="1" applyBorder="1"/>
    <xf numFmtId="10" fontId="96" fillId="61" borderId="37" xfId="0" applyNumberFormat="1" applyFont="1" applyFill="1" applyBorder="1"/>
    <xf numFmtId="10" fontId="96" fillId="61" borderId="1" xfId="0" applyNumberFormat="1" applyFont="1" applyFill="1" applyBorder="1"/>
    <xf numFmtId="10" fontId="96" fillId="61" borderId="38" xfId="0" applyNumberFormat="1" applyFont="1" applyFill="1" applyBorder="1"/>
    <xf numFmtId="43" fontId="96" fillId="61" borderId="36" xfId="0" applyNumberFormat="1" applyFont="1" applyFill="1" applyBorder="1"/>
    <xf numFmtId="164" fontId="96" fillId="61" borderId="37" xfId="0" applyNumberFormat="1" applyFont="1" applyFill="1" applyBorder="1"/>
    <xf numFmtId="164" fontId="96" fillId="61" borderId="1" xfId="0" applyNumberFormat="1" applyFont="1" applyFill="1" applyBorder="1"/>
    <xf numFmtId="164" fontId="96" fillId="61" borderId="38" xfId="0" applyNumberFormat="1" applyFont="1" applyFill="1" applyBorder="1"/>
    <xf numFmtId="164" fontId="96" fillId="61" borderId="16" xfId="0" applyNumberFormat="1" applyFont="1" applyFill="1" applyBorder="1"/>
    <xf numFmtId="164" fontId="96" fillId="61" borderId="2" xfId="0" applyNumberFormat="1" applyFont="1" applyFill="1" applyBorder="1"/>
    <xf numFmtId="164" fontId="96" fillId="61" borderId="17" xfId="0" applyNumberFormat="1" applyFont="1" applyFill="1" applyBorder="1"/>
    <xf numFmtId="164" fontId="88" fillId="0" borderId="0" xfId="1" applyNumberFormat="1" applyFont="1" applyFill="1"/>
    <xf numFmtId="164" fontId="88" fillId="0" borderId="1" xfId="1" applyNumberFormat="1" applyFont="1" applyFill="1" applyBorder="1"/>
    <xf numFmtId="0" fontId="45" fillId="0" borderId="0" xfId="0" applyFont="1" applyFill="1" applyBorder="1" applyAlignment="1">
      <alignment horizontal="right"/>
    </xf>
    <xf numFmtId="0" fontId="104" fillId="0" borderId="0" xfId="0" applyFont="1" applyFill="1" applyBorder="1"/>
    <xf numFmtId="43" fontId="99" fillId="0" borderId="0" xfId="0" applyNumberFormat="1" applyFont="1" applyFill="1" applyAlignment="1">
      <alignment horizontal="center"/>
    </xf>
    <xf numFmtId="164" fontId="45" fillId="0" borderId="0" xfId="1" applyNumberFormat="1" applyFont="1" applyFill="1"/>
    <xf numFmtId="0" fontId="96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/>
    </xf>
    <xf numFmtId="0" fontId="98" fillId="0" borderId="0" xfId="0" quotePrefix="1" applyFont="1" applyFill="1" applyBorder="1" applyAlignment="1">
      <alignment horizontal="left"/>
    </xf>
    <xf numFmtId="0" fontId="95" fillId="0" borderId="0" xfId="0" quotePrefix="1" applyFont="1" applyFill="1" applyBorder="1" applyAlignment="1">
      <alignment horizontal="left"/>
    </xf>
    <xf numFmtId="44" fontId="95" fillId="0" borderId="0" xfId="2" applyFont="1" applyFill="1" applyBorder="1"/>
    <xf numFmtId="164" fontId="95" fillId="0" borderId="0" xfId="0" applyNumberFormat="1" applyFont="1" applyFill="1" applyBorder="1"/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left"/>
    </xf>
    <xf numFmtId="5" fontId="95" fillId="0" borderId="0" xfId="0" applyNumberFormat="1" applyFont="1" applyFill="1" applyBorder="1"/>
    <xf numFmtId="0" fontId="93" fillId="0" borderId="0" xfId="0" quotePrefix="1" applyFont="1" applyFill="1" applyBorder="1" applyAlignment="1">
      <alignment horizontal="left"/>
    </xf>
    <xf numFmtId="167" fontId="93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164" fontId="95" fillId="0" borderId="0" xfId="1" applyNumberFormat="1" applyFont="1" applyFill="1" applyBorder="1"/>
    <xf numFmtId="10" fontId="95" fillId="0" borderId="0" xfId="0" applyNumberFormat="1" applyFont="1" applyFill="1" applyBorder="1"/>
    <xf numFmtId="166" fontId="95" fillId="0" borderId="0" xfId="3" applyNumberFormat="1" applyFont="1" applyFill="1" applyBorder="1"/>
    <xf numFmtId="164" fontId="95" fillId="0" borderId="0" xfId="5" applyNumberFormat="1" applyFont="1" applyFill="1" applyBorder="1" applyAlignment="1">
      <alignment horizontal="left"/>
    </xf>
    <xf numFmtId="0" fontId="92" fillId="0" borderId="0" xfId="0" quotePrefix="1" applyFont="1" applyFill="1" applyAlignment="1"/>
    <xf numFmtId="173" fontId="0" fillId="0" borderId="0" xfId="0" applyNumberFormat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/>
    <xf numFmtId="3" fontId="0" fillId="0" borderId="0" xfId="0" applyNumberFormat="1" applyFill="1"/>
    <xf numFmtId="0" fontId="103" fillId="0" borderId="0" xfId="0" applyFont="1" applyFill="1"/>
    <xf numFmtId="3" fontId="0" fillId="0" borderId="1" xfId="0" applyNumberFormat="1" applyFill="1" applyBorder="1"/>
    <xf numFmtId="3" fontId="7" fillId="0" borderId="0" xfId="0" applyNumberFormat="1" applyFont="1" applyFill="1"/>
    <xf numFmtId="0" fontId="0" fillId="0" borderId="0" xfId="0" applyFill="1" applyBorder="1"/>
    <xf numFmtId="3" fontId="3" fillId="0" borderId="1" xfId="0" applyNumberFormat="1" applyFont="1" applyFill="1" applyBorder="1"/>
    <xf numFmtId="0" fontId="89" fillId="0" borderId="0" xfId="0" applyFont="1" applyFill="1" applyAlignment="1">
      <alignment horizontal="center"/>
    </xf>
    <xf numFmtId="0" fontId="89" fillId="0" borderId="0" xfId="0" quotePrefix="1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quotePrefix="1" applyFont="1" applyFill="1" applyBorder="1" applyAlignment="1">
      <alignment horizontal="center" vertical="center"/>
    </xf>
    <xf numFmtId="0" fontId="92" fillId="60" borderId="16" xfId="0" applyFont="1" applyFill="1" applyBorder="1" applyAlignment="1">
      <alignment horizontal="center"/>
    </xf>
    <xf numFmtId="0" fontId="92" fillId="60" borderId="2" xfId="0" applyFont="1" applyFill="1" applyBorder="1" applyAlignment="1">
      <alignment horizontal="center"/>
    </xf>
    <xf numFmtId="0" fontId="92" fillId="60" borderId="17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92" fillId="0" borderId="2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center"/>
    </xf>
    <xf numFmtId="0" fontId="96" fillId="61" borderId="16" xfId="0" applyFont="1" applyFill="1" applyBorder="1" applyAlignment="1">
      <alignment horizontal="center"/>
    </xf>
    <xf numFmtId="0" fontId="96" fillId="61" borderId="2" xfId="0" applyFont="1" applyFill="1" applyBorder="1" applyAlignment="1">
      <alignment horizontal="center"/>
    </xf>
    <xf numFmtId="0" fontId="96" fillId="61" borderId="17" xfId="0" applyFont="1" applyFill="1" applyBorder="1" applyAlignment="1">
      <alignment horizontal="center"/>
    </xf>
    <xf numFmtId="0" fontId="92" fillId="0" borderId="0" xfId="0" quotePrefix="1" applyFont="1" applyFill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99" fillId="0" borderId="1" xfId="0" applyFont="1" applyFill="1" applyBorder="1" applyAlignment="1">
      <alignment horizontal="center"/>
    </xf>
  </cellXfs>
  <cellStyles count="2387"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5 2" xfId="18"/>
    <cellStyle name="20% - Accent1 15 3" xfId="19"/>
    <cellStyle name="20% - Accent1 15 4" xfId="20"/>
    <cellStyle name="20% - Accent1 15 5" xfId="21"/>
    <cellStyle name="20% - Accent1 16" xfId="22"/>
    <cellStyle name="20% - Accent1 16 2" xfId="23"/>
    <cellStyle name="20% - Accent1 16 3" xfId="24"/>
    <cellStyle name="20% - Accent1 16 4" xfId="25"/>
    <cellStyle name="20% - Accent1 16 5" xfId="26"/>
    <cellStyle name="20% - Accent1 17" xfId="27"/>
    <cellStyle name="20% - Accent1 17 2" xfId="28"/>
    <cellStyle name="20% - Accent1 17 3" xfId="29"/>
    <cellStyle name="20% - Accent1 17 4" xfId="30"/>
    <cellStyle name="20% - Accent1 17 5" xfId="31"/>
    <cellStyle name="20% - Accent1 18" xfId="32"/>
    <cellStyle name="20% - Accent1 19" xfId="33"/>
    <cellStyle name="20% - Accent1 2" xfId="34"/>
    <cellStyle name="20% - Accent1 2 10" xfId="35"/>
    <cellStyle name="20% - Accent1 2 2" xfId="36"/>
    <cellStyle name="20% - Accent1 2 2 2" xfId="37"/>
    <cellStyle name="20% - Accent1 2 2 2 2" xfId="38"/>
    <cellStyle name="20% - Accent1 2 2 2 2 2" xfId="39"/>
    <cellStyle name="20% - Accent1 2 2 2 2 3" xfId="40"/>
    <cellStyle name="20% - Accent1 2 2 2 3" xfId="41"/>
    <cellStyle name="20% - Accent1 2 2 2 4" xfId="42"/>
    <cellStyle name="20% - Accent1 2 2 2 5" xfId="43"/>
    <cellStyle name="20% - Accent1 2 2 2 6" xfId="44"/>
    <cellStyle name="20% - Accent1 2 2 3" xfId="45"/>
    <cellStyle name="20% - Accent1 2 2 4" xfId="46"/>
    <cellStyle name="20% - Accent1 2 2 5" xfId="47"/>
    <cellStyle name="20% - Accent1 2 2 6" xfId="48"/>
    <cellStyle name="20% - Accent1 2 3" xfId="49"/>
    <cellStyle name="20% - Accent1 2 4" xfId="50"/>
    <cellStyle name="20% - Accent1 2 5" xfId="51"/>
    <cellStyle name="20% - Accent1 2 6" xfId="52"/>
    <cellStyle name="20% - Accent1 2 7" xfId="53"/>
    <cellStyle name="20% - Accent1 2 8" xfId="54"/>
    <cellStyle name="20% - Accent1 2 9" xfId="55"/>
    <cellStyle name="20% - Accent1 20" xfId="56"/>
    <cellStyle name="20% - Accent1 21" xfId="57"/>
    <cellStyle name="20% - Accent1 22" xfId="58"/>
    <cellStyle name="20% - Accent1 23" xfId="59"/>
    <cellStyle name="20% - Accent1 24" xfId="60"/>
    <cellStyle name="20% - Accent1 25" xfId="61"/>
    <cellStyle name="20% - Accent1 26" xfId="62"/>
    <cellStyle name="20% - Accent1 27" xfId="63"/>
    <cellStyle name="20% - Accent1 28" xfId="64"/>
    <cellStyle name="20% - Accent1 29" xfId="65"/>
    <cellStyle name="20% - Accent1 3" xfId="66"/>
    <cellStyle name="20% - Accent1 30" xfId="67"/>
    <cellStyle name="20% - Accent1 31" xfId="68"/>
    <cellStyle name="20% - Accent1 32" xfId="69"/>
    <cellStyle name="20% - Accent1 33" xfId="70"/>
    <cellStyle name="20% - Accent1 34" xfId="71"/>
    <cellStyle name="20% - Accent1 35" xfId="72"/>
    <cellStyle name="20% - Accent1 36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2 10" xfId="80"/>
    <cellStyle name="20% - Accent2 11" xfId="81"/>
    <cellStyle name="20% - Accent2 12" xfId="82"/>
    <cellStyle name="20% - Accent2 13" xfId="83"/>
    <cellStyle name="20% - Accent2 14" xfId="84"/>
    <cellStyle name="20% - Accent2 15" xfId="85"/>
    <cellStyle name="20% - Accent2 15 2" xfId="86"/>
    <cellStyle name="20% - Accent2 15 3" xfId="87"/>
    <cellStyle name="20% - Accent2 15 4" xfId="88"/>
    <cellStyle name="20% - Accent2 15 5" xfId="89"/>
    <cellStyle name="20% - Accent2 16" xfId="90"/>
    <cellStyle name="20% - Accent2 16 2" xfId="91"/>
    <cellStyle name="20% - Accent2 16 3" xfId="92"/>
    <cellStyle name="20% - Accent2 16 4" xfId="93"/>
    <cellStyle name="20% - Accent2 16 5" xfId="94"/>
    <cellStyle name="20% - Accent2 17" xfId="95"/>
    <cellStyle name="20% - Accent2 17 2" xfId="96"/>
    <cellStyle name="20% - Accent2 17 3" xfId="97"/>
    <cellStyle name="20% - Accent2 17 4" xfId="98"/>
    <cellStyle name="20% - Accent2 17 5" xfId="99"/>
    <cellStyle name="20% - Accent2 18" xfId="100"/>
    <cellStyle name="20% - Accent2 19" xfId="101"/>
    <cellStyle name="20% - Accent2 2" xfId="102"/>
    <cellStyle name="20% - Accent2 2 10" xfId="103"/>
    <cellStyle name="20% - Accent2 2 2" xfId="104"/>
    <cellStyle name="20% - Accent2 2 2 2" xfId="105"/>
    <cellStyle name="20% - Accent2 2 2 2 2" xfId="106"/>
    <cellStyle name="20% - Accent2 2 2 2 2 2" xfId="107"/>
    <cellStyle name="20% - Accent2 2 2 2 2 3" xfId="108"/>
    <cellStyle name="20% - Accent2 2 2 2 3" xfId="109"/>
    <cellStyle name="20% - Accent2 2 2 2 4" xfId="110"/>
    <cellStyle name="20% - Accent2 2 2 2 5" xfId="111"/>
    <cellStyle name="20% - Accent2 2 2 2 6" xfId="112"/>
    <cellStyle name="20% - Accent2 2 2 3" xfId="113"/>
    <cellStyle name="20% - Accent2 2 2 4" xfId="114"/>
    <cellStyle name="20% - Accent2 2 2 5" xfId="115"/>
    <cellStyle name="20% - Accent2 2 2 6" xfId="116"/>
    <cellStyle name="20% - Accent2 2 3" xfId="117"/>
    <cellStyle name="20% - Accent2 2 4" xfId="118"/>
    <cellStyle name="20% - Accent2 2 5" xfId="119"/>
    <cellStyle name="20% - Accent2 2 6" xfId="120"/>
    <cellStyle name="20% - Accent2 2 7" xfId="121"/>
    <cellStyle name="20% - Accent2 2 8" xfId="122"/>
    <cellStyle name="20% - Accent2 2 9" xfId="123"/>
    <cellStyle name="20% - Accent2 20" xfId="124"/>
    <cellStyle name="20% - Accent2 21" xfId="125"/>
    <cellStyle name="20% - Accent2 22" xfId="126"/>
    <cellStyle name="20% - Accent2 23" xfId="127"/>
    <cellStyle name="20% - Accent2 24" xfId="128"/>
    <cellStyle name="20% - Accent2 25" xfId="129"/>
    <cellStyle name="20% - Accent2 26" xfId="130"/>
    <cellStyle name="20% - Accent2 27" xfId="131"/>
    <cellStyle name="20% - Accent2 28" xfId="132"/>
    <cellStyle name="20% - Accent2 29" xfId="133"/>
    <cellStyle name="20% - Accent2 3" xfId="134"/>
    <cellStyle name="20% - Accent2 30" xfId="135"/>
    <cellStyle name="20% - Accent2 31" xfId="136"/>
    <cellStyle name="20% - Accent2 32" xfId="137"/>
    <cellStyle name="20% - Accent2 33" xfId="138"/>
    <cellStyle name="20% - Accent2 34" xfId="139"/>
    <cellStyle name="20% - Accent2 35" xfId="140"/>
    <cellStyle name="20% - Accent2 36" xfId="141"/>
    <cellStyle name="20% - Accent2 4" xfId="142"/>
    <cellStyle name="20% - Accent2 5" xfId="143"/>
    <cellStyle name="20% - Accent2 6" xfId="144"/>
    <cellStyle name="20% - Accent2 7" xfId="145"/>
    <cellStyle name="20% - Accent2 8" xfId="146"/>
    <cellStyle name="20% - Accent2 9" xfId="147"/>
    <cellStyle name="20% - Accent3 10" xfId="148"/>
    <cellStyle name="20% - Accent3 11" xfId="149"/>
    <cellStyle name="20% - Accent3 12" xfId="150"/>
    <cellStyle name="20% - Accent3 13" xfId="151"/>
    <cellStyle name="20% - Accent3 14" xfId="152"/>
    <cellStyle name="20% - Accent3 15" xfId="153"/>
    <cellStyle name="20% - Accent3 15 2" xfId="154"/>
    <cellStyle name="20% - Accent3 15 3" xfId="155"/>
    <cellStyle name="20% - Accent3 15 4" xfId="156"/>
    <cellStyle name="20% - Accent3 15 5" xfId="157"/>
    <cellStyle name="20% - Accent3 16" xfId="158"/>
    <cellStyle name="20% - Accent3 16 2" xfId="159"/>
    <cellStyle name="20% - Accent3 16 3" xfId="160"/>
    <cellStyle name="20% - Accent3 16 4" xfId="161"/>
    <cellStyle name="20% - Accent3 16 5" xfId="162"/>
    <cellStyle name="20% - Accent3 17" xfId="163"/>
    <cellStyle name="20% - Accent3 17 2" xfId="164"/>
    <cellStyle name="20% - Accent3 17 3" xfId="165"/>
    <cellStyle name="20% - Accent3 17 4" xfId="166"/>
    <cellStyle name="20% - Accent3 17 5" xfId="167"/>
    <cellStyle name="20% - Accent3 18" xfId="168"/>
    <cellStyle name="20% - Accent3 19" xfId="169"/>
    <cellStyle name="20% - Accent3 2" xfId="170"/>
    <cellStyle name="20% - Accent3 2 10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2 3" xfId="176"/>
    <cellStyle name="20% - Accent3 2 2 2 3" xfId="177"/>
    <cellStyle name="20% - Accent3 2 2 2 4" xfId="178"/>
    <cellStyle name="20% - Accent3 2 2 2 5" xfId="179"/>
    <cellStyle name="20% - Accent3 2 2 2 6" xfId="180"/>
    <cellStyle name="20% - Accent3 2 2 3" xfId="181"/>
    <cellStyle name="20% - Accent3 2 2 4" xfId="182"/>
    <cellStyle name="20% - Accent3 2 2 5" xfId="183"/>
    <cellStyle name="20% - Accent3 2 2 6" xfId="184"/>
    <cellStyle name="20% - Accent3 2 3" xfId="185"/>
    <cellStyle name="20% - Accent3 2 4" xfId="186"/>
    <cellStyle name="20% - Accent3 2 5" xfId="187"/>
    <cellStyle name="20% - Accent3 2 6" xfId="188"/>
    <cellStyle name="20% - Accent3 2 7" xfId="189"/>
    <cellStyle name="20% - Accent3 2 8" xfId="190"/>
    <cellStyle name="20% - Accent3 2 9" xfId="191"/>
    <cellStyle name="20% - Accent3 20" xfId="192"/>
    <cellStyle name="20% - Accent3 21" xfId="193"/>
    <cellStyle name="20% - Accent3 22" xfId="194"/>
    <cellStyle name="20% - Accent3 23" xfId="195"/>
    <cellStyle name="20% - Accent3 24" xfId="196"/>
    <cellStyle name="20% - Accent3 25" xfId="197"/>
    <cellStyle name="20% - Accent3 26" xfId="198"/>
    <cellStyle name="20% - Accent3 27" xfId="199"/>
    <cellStyle name="20% - Accent3 28" xfId="200"/>
    <cellStyle name="20% - Accent3 29" xfId="201"/>
    <cellStyle name="20% - Accent3 3" xfId="202"/>
    <cellStyle name="20% - Accent3 30" xfId="203"/>
    <cellStyle name="20% - Accent3 31" xfId="204"/>
    <cellStyle name="20% - Accent3 32" xfId="205"/>
    <cellStyle name="20% - Accent3 33" xfId="206"/>
    <cellStyle name="20% - Accent3 34" xfId="207"/>
    <cellStyle name="20% - Accent3 35" xfId="208"/>
    <cellStyle name="20% - Accent3 36" xfId="209"/>
    <cellStyle name="20% - Accent3 4" xfId="210"/>
    <cellStyle name="20% - Accent3 5" xfId="211"/>
    <cellStyle name="20% - Accent3 6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5 2" xfId="222"/>
    <cellStyle name="20% - Accent4 15 3" xfId="223"/>
    <cellStyle name="20% - Accent4 15 4" xfId="224"/>
    <cellStyle name="20% - Accent4 15 5" xfId="225"/>
    <cellStyle name="20% - Accent4 16" xfId="226"/>
    <cellStyle name="20% - Accent4 16 2" xfId="227"/>
    <cellStyle name="20% - Accent4 16 3" xfId="228"/>
    <cellStyle name="20% - Accent4 16 4" xfId="229"/>
    <cellStyle name="20% - Accent4 16 5" xfId="230"/>
    <cellStyle name="20% - Accent4 17" xfId="231"/>
    <cellStyle name="20% - Accent4 17 2" xfId="232"/>
    <cellStyle name="20% - Accent4 17 3" xfId="233"/>
    <cellStyle name="20% - Accent4 17 4" xfId="234"/>
    <cellStyle name="20% - Accent4 17 5" xfId="235"/>
    <cellStyle name="20% - Accent4 18" xfId="236"/>
    <cellStyle name="20% - Accent4 19" xfId="237"/>
    <cellStyle name="20% - Accent4 2" xfId="238"/>
    <cellStyle name="20% - Accent4 2 10" xfId="239"/>
    <cellStyle name="20% - Accent4 2 2" xfId="240"/>
    <cellStyle name="20% - Accent4 2 2 2" xfId="241"/>
    <cellStyle name="20% - Accent4 2 2 2 2" xfId="242"/>
    <cellStyle name="20% - Accent4 2 2 2 2 2" xfId="243"/>
    <cellStyle name="20% - Accent4 2 2 2 2 3" xfId="244"/>
    <cellStyle name="20% - Accent4 2 2 2 3" xfId="245"/>
    <cellStyle name="20% - Accent4 2 2 2 4" xfId="246"/>
    <cellStyle name="20% - Accent4 2 2 2 5" xfId="247"/>
    <cellStyle name="20% - Accent4 2 2 2 6" xfId="248"/>
    <cellStyle name="20% - Accent4 2 2 3" xfId="249"/>
    <cellStyle name="20% - Accent4 2 2 4" xfId="250"/>
    <cellStyle name="20% - Accent4 2 2 5" xfId="251"/>
    <cellStyle name="20% - Accent4 2 2 6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29" xfId="269"/>
    <cellStyle name="20% - Accent4 3" xfId="270"/>
    <cellStyle name="20% - Accent4 30" xfId="271"/>
    <cellStyle name="20% - Accent4 31" xfId="272"/>
    <cellStyle name="20% - Accent4 32" xfId="273"/>
    <cellStyle name="20% - Accent4 33" xfId="274"/>
    <cellStyle name="20% - Accent4 34" xfId="275"/>
    <cellStyle name="20% - Accent4 35" xfId="276"/>
    <cellStyle name="20% - Accent4 36" xfId="277"/>
    <cellStyle name="20% - Accent4 4" xfId="278"/>
    <cellStyle name="20% - Accent4 5" xfId="279"/>
    <cellStyle name="20% - Accent4 6" xfId="280"/>
    <cellStyle name="20% - Accent4 7" xfId="281"/>
    <cellStyle name="20% - Accent4 8" xfId="282"/>
    <cellStyle name="20% - Accent4 9" xfId="283"/>
    <cellStyle name="20% - Accent5 10" xfId="284"/>
    <cellStyle name="20% - Accent5 11" xfId="285"/>
    <cellStyle name="20% - Accent5 12" xfId="286"/>
    <cellStyle name="20% - Accent5 13" xfId="287"/>
    <cellStyle name="20% - Accent5 14" xfId="288"/>
    <cellStyle name="20% - Accent5 15" xfId="289"/>
    <cellStyle name="20% - Accent5 15 2" xfId="290"/>
    <cellStyle name="20% - Accent5 15 3" xfId="291"/>
    <cellStyle name="20% - Accent5 15 4" xfId="292"/>
    <cellStyle name="20% - Accent5 15 5" xfId="293"/>
    <cellStyle name="20% - Accent5 16" xfId="294"/>
    <cellStyle name="20% - Accent5 16 2" xfId="295"/>
    <cellStyle name="20% - Accent5 16 3" xfId="296"/>
    <cellStyle name="20% - Accent5 16 4" xfId="297"/>
    <cellStyle name="20% - Accent5 16 5" xfId="298"/>
    <cellStyle name="20% - Accent5 17" xfId="299"/>
    <cellStyle name="20% - Accent5 17 2" xfId="300"/>
    <cellStyle name="20% - Accent5 17 3" xfId="301"/>
    <cellStyle name="20% - Accent5 17 4" xfId="302"/>
    <cellStyle name="20% - Accent5 17 5" xfId="303"/>
    <cellStyle name="20% - Accent5 18" xfId="304"/>
    <cellStyle name="20% - Accent5 19" xfId="305"/>
    <cellStyle name="20% - Accent5 2" xfId="306"/>
    <cellStyle name="20% - Accent5 2 10" xfId="307"/>
    <cellStyle name="20% - Accent5 2 2" xfId="308"/>
    <cellStyle name="20% - Accent5 2 2 2" xfId="309"/>
    <cellStyle name="20% - Accent5 2 2 2 2" xfId="310"/>
    <cellStyle name="20% - Accent5 2 2 2 2 2" xfId="311"/>
    <cellStyle name="20% - Accent5 2 2 2 2 3" xfId="312"/>
    <cellStyle name="20% - Accent5 2 2 2 3" xfId="313"/>
    <cellStyle name="20% - Accent5 2 2 2 4" xfId="314"/>
    <cellStyle name="20% - Accent5 2 2 2 5" xfId="315"/>
    <cellStyle name="20% - Accent5 2 2 2 6" xfId="316"/>
    <cellStyle name="20% - Accent5 2 2 3" xfId="317"/>
    <cellStyle name="20% - Accent5 2 2 4" xfId="318"/>
    <cellStyle name="20% - Accent5 2 2 5" xfId="319"/>
    <cellStyle name="20% - Accent5 2 2 6" xfId="320"/>
    <cellStyle name="20% - Accent5 2 3" xfId="321"/>
    <cellStyle name="20% - Accent5 2 4" xfId="322"/>
    <cellStyle name="20% - Accent5 2 5" xfId="323"/>
    <cellStyle name="20% - Accent5 2 6" xfId="324"/>
    <cellStyle name="20% - Accent5 2 7" xfId="325"/>
    <cellStyle name="20% - Accent5 2 8" xfId="326"/>
    <cellStyle name="20% - Accent5 2 9" xfId="327"/>
    <cellStyle name="20% - Accent5 20" xfId="328"/>
    <cellStyle name="20% - Accent5 21" xfId="329"/>
    <cellStyle name="20% - Accent5 22" xfId="330"/>
    <cellStyle name="20% - Accent5 23" xfId="331"/>
    <cellStyle name="20% - Accent5 24" xfId="332"/>
    <cellStyle name="20% - Accent5 25" xfId="333"/>
    <cellStyle name="20% - Accent5 26" xfId="334"/>
    <cellStyle name="20% - Accent5 27" xfId="335"/>
    <cellStyle name="20% - Accent5 28" xfId="336"/>
    <cellStyle name="20% - Accent5 29" xfId="337"/>
    <cellStyle name="20% - Accent5 3" xfId="338"/>
    <cellStyle name="20% - Accent5 30" xfId="339"/>
    <cellStyle name="20% - Accent5 31" xfId="340"/>
    <cellStyle name="20% - Accent5 32" xfId="341"/>
    <cellStyle name="20% - Accent5 33" xfId="342"/>
    <cellStyle name="20% - Accent5 34" xfId="343"/>
    <cellStyle name="20% - Accent5 35" xfId="344"/>
    <cellStyle name="20% - Accent5 36" xfId="345"/>
    <cellStyle name="20% - Accent5 4" xfId="346"/>
    <cellStyle name="20% - Accent5 5" xfId="347"/>
    <cellStyle name="20% - Accent5 6" xfId="348"/>
    <cellStyle name="20% - Accent5 7" xfId="349"/>
    <cellStyle name="20% - Accent5 8" xfId="350"/>
    <cellStyle name="20% - Accent5 9" xfId="351"/>
    <cellStyle name="20% - Accent6 10" xfId="352"/>
    <cellStyle name="20% - Accent6 11" xfId="353"/>
    <cellStyle name="20% - Accent6 12" xfId="354"/>
    <cellStyle name="20% - Accent6 13" xfId="355"/>
    <cellStyle name="20% - Accent6 14" xfId="356"/>
    <cellStyle name="20% - Accent6 15" xfId="357"/>
    <cellStyle name="20% - Accent6 15 2" xfId="358"/>
    <cellStyle name="20% - Accent6 15 3" xfId="359"/>
    <cellStyle name="20% - Accent6 15 4" xfId="360"/>
    <cellStyle name="20% - Accent6 15 5" xfId="361"/>
    <cellStyle name="20% - Accent6 16" xfId="362"/>
    <cellStyle name="20% - Accent6 16 2" xfId="363"/>
    <cellStyle name="20% - Accent6 16 3" xfId="364"/>
    <cellStyle name="20% - Accent6 16 4" xfId="365"/>
    <cellStyle name="20% - Accent6 16 5" xfId="366"/>
    <cellStyle name="20% - Accent6 17" xfId="367"/>
    <cellStyle name="20% - Accent6 17 2" xfId="368"/>
    <cellStyle name="20% - Accent6 17 3" xfId="369"/>
    <cellStyle name="20% - Accent6 17 4" xfId="370"/>
    <cellStyle name="20% - Accent6 17 5" xfId="371"/>
    <cellStyle name="20% - Accent6 18" xfId="372"/>
    <cellStyle name="20% - Accent6 19" xfId="373"/>
    <cellStyle name="20% - Accent6 2" xfId="374"/>
    <cellStyle name="20% - Accent6 2 10" xfId="375"/>
    <cellStyle name="20% - Accent6 2 2" xfId="376"/>
    <cellStyle name="20% - Accent6 2 2 2" xfId="377"/>
    <cellStyle name="20% - Accent6 2 2 2 2" xfId="378"/>
    <cellStyle name="20% - Accent6 2 2 2 2 2" xfId="379"/>
    <cellStyle name="20% - Accent6 2 2 2 2 3" xfId="380"/>
    <cellStyle name="20% - Accent6 2 2 2 3" xfId="381"/>
    <cellStyle name="20% - Accent6 2 2 2 4" xfId="382"/>
    <cellStyle name="20% - Accent6 2 2 2 5" xfId="383"/>
    <cellStyle name="20% - Accent6 2 2 2 6" xfId="384"/>
    <cellStyle name="20% - Accent6 2 2 3" xfId="385"/>
    <cellStyle name="20% - Accent6 2 2 4" xfId="386"/>
    <cellStyle name="20% - Accent6 2 2 5" xfId="387"/>
    <cellStyle name="20% - Accent6 2 2 6" xfId="388"/>
    <cellStyle name="20% - Accent6 2 3" xfId="389"/>
    <cellStyle name="20% - Accent6 2 4" xfId="390"/>
    <cellStyle name="20% - Accent6 2 5" xfId="391"/>
    <cellStyle name="20% - Accent6 2 6" xfId="392"/>
    <cellStyle name="20% - Accent6 2 7" xfId="393"/>
    <cellStyle name="20% - Accent6 2 8" xfId="394"/>
    <cellStyle name="20% - Accent6 2 9" xfId="395"/>
    <cellStyle name="20% - Accent6 20" xfId="396"/>
    <cellStyle name="20% - Accent6 21" xfId="397"/>
    <cellStyle name="20% - Accent6 22" xfId="398"/>
    <cellStyle name="20% - Accent6 23" xfId="399"/>
    <cellStyle name="20% - Accent6 24" xfId="400"/>
    <cellStyle name="20% - Accent6 25" xfId="401"/>
    <cellStyle name="20% - Accent6 26" xfId="402"/>
    <cellStyle name="20% - Accent6 27" xfId="403"/>
    <cellStyle name="20% - Accent6 28" xfId="404"/>
    <cellStyle name="20% - Accent6 29" xfId="405"/>
    <cellStyle name="20% - Accent6 3" xfId="406"/>
    <cellStyle name="20% - Accent6 30" xfId="407"/>
    <cellStyle name="20% - Accent6 31" xfId="408"/>
    <cellStyle name="20% - Accent6 32" xfId="409"/>
    <cellStyle name="20% - Accent6 33" xfId="410"/>
    <cellStyle name="20% - Accent6 34" xfId="411"/>
    <cellStyle name="20% - Accent6 35" xfId="412"/>
    <cellStyle name="20% - Accent6 36" xfId="413"/>
    <cellStyle name="20% - Accent6 4" xfId="414"/>
    <cellStyle name="20% - Accent6 5" xfId="415"/>
    <cellStyle name="20% - Accent6 6" xfId="416"/>
    <cellStyle name="20% - Accent6 7" xfId="417"/>
    <cellStyle name="20% - Accent6 8" xfId="418"/>
    <cellStyle name="20% - Accent6 9" xfId="419"/>
    <cellStyle name="40% - Accent1 10" xfId="420"/>
    <cellStyle name="40% - Accent1 11" xfId="421"/>
    <cellStyle name="40% - Accent1 12" xfId="422"/>
    <cellStyle name="40% - Accent1 13" xfId="423"/>
    <cellStyle name="40% - Accent1 14" xfId="424"/>
    <cellStyle name="40% - Accent1 15" xfId="425"/>
    <cellStyle name="40% - Accent1 15 2" xfId="426"/>
    <cellStyle name="40% - Accent1 15 3" xfId="427"/>
    <cellStyle name="40% - Accent1 15 4" xfId="428"/>
    <cellStyle name="40% - Accent1 15 5" xfId="429"/>
    <cellStyle name="40% - Accent1 16" xfId="430"/>
    <cellStyle name="40% - Accent1 16 2" xfId="431"/>
    <cellStyle name="40% - Accent1 16 3" xfId="432"/>
    <cellStyle name="40% - Accent1 16 4" xfId="433"/>
    <cellStyle name="40% - Accent1 16 5" xfId="434"/>
    <cellStyle name="40% - Accent1 17" xfId="435"/>
    <cellStyle name="40% - Accent1 17 2" xfId="436"/>
    <cellStyle name="40% - Accent1 17 3" xfId="437"/>
    <cellStyle name="40% - Accent1 17 4" xfId="438"/>
    <cellStyle name="40% - Accent1 17 5" xfId="439"/>
    <cellStyle name="40% - Accent1 18" xfId="440"/>
    <cellStyle name="40% - Accent1 19" xfId="441"/>
    <cellStyle name="40% - Accent1 2" xfId="442"/>
    <cellStyle name="40% - Accent1 2 10" xfId="443"/>
    <cellStyle name="40% - Accent1 2 2" xfId="444"/>
    <cellStyle name="40% - Accent1 2 2 2" xfId="445"/>
    <cellStyle name="40% - Accent1 2 2 2 2" xfId="446"/>
    <cellStyle name="40% - Accent1 2 2 2 2 2" xfId="447"/>
    <cellStyle name="40% - Accent1 2 2 2 2 3" xfId="448"/>
    <cellStyle name="40% - Accent1 2 2 2 3" xfId="449"/>
    <cellStyle name="40% - Accent1 2 2 2 4" xfId="450"/>
    <cellStyle name="40% - Accent1 2 2 2 5" xfId="451"/>
    <cellStyle name="40% - Accent1 2 2 2 6" xfId="452"/>
    <cellStyle name="40% - Accent1 2 2 3" xfId="453"/>
    <cellStyle name="40% - Accent1 2 2 4" xfId="454"/>
    <cellStyle name="40% - Accent1 2 2 5" xfId="455"/>
    <cellStyle name="40% - Accent1 2 2 6" xfId="456"/>
    <cellStyle name="40% - Accent1 2 3" xfId="457"/>
    <cellStyle name="40% - Accent1 2 4" xfId="458"/>
    <cellStyle name="40% - Accent1 2 5" xfId="459"/>
    <cellStyle name="40% - Accent1 2 6" xfId="460"/>
    <cellStyle name="40% - Accent1 2 7" xfId="461"/>
    <cellStyle name="40% - Accent1 2 8" xfId="462"/>
    <cellStyle name="40% - Accent1 2 9" xfId="463"/>
    <cellStyle name="40% - Accent1 20" xfId="464"/>
    <cellStyle name="40% - Accent1 21" xfId="465"/>
    <cellStyle name="40% - Accent1 22" xfId="466"/>
    <cellStyle name="40% - Accent1 23" xfId="467"/>
    <cellStyle name="40% - Accent1 24" xfId="468"/>
    <cellStyle name="40% - Accent1 25" xfId="469"/>
    <cellStyle name="40% - Accent1 26" xfId="470"/>
    <cellStyle name="40% - Accent1 27" xfId="471"/>
    <cellStyle name="40% - Accent1 28" xfId="472"/>
    <cellStyle name="40% - Accent1 29" xfId="473"/>
    <cellStyle name="40% - Accent1 3" xfId="474"/>
    <cellStyle name="40% - Accent1 30" xfId="475"/>
    <cellStyle name="40% - Accent1 31" xfId="476"/>
    <cellStyle name="40% - Accent1 32" xfId="477"/>
    <cellStyle name="40% - Accent1 33" xfId="478"/>
    <cellStyle name="40% - Accent1 34" xfId="479"/>
    <cellStyle name="40% - Accent1 35" xfId="480"/>
    <cellStyle name="40% - Accent1 36" xfId="481"/>
    <cellStyle name="40% - Accent1 4" xfId="482"/>
    <cellStyle name="40% - Accent1 5" xfId="483"/>
    <cellStyle name="40% - Accent1 6" xfId="484"/>
    <cellStyle name="40% - Accent1 7" xfId="485"/>
    <cellStyle name="40% - Accent1 8" xfId="486"/>
    <cellStyle name="40% - Accent1 9" xfId="487"/>
    <cellStyle name="40% - Accent2 10" xfId="488"/>
    <cellStyle name="40% - Accent2 11" xfId="489"/>
    <cellStyle name="40% - Accent2 12" xfId="490"/>
    <cellStyle name="40% - Accent2 13" xfId="491"/>
    <cellStyle name="40% - Accent2 14" xfId="492"/>
    <cellStyle name="40% - Accent2 15" xfId="493"/>
    <cellStyle name="40% - Accent2 15 2" xfId="494"/>
    <cellStyle name="40% - Accent2 15 3" xfId="495"/>
    <cellStyle name="40% - Accent2 15 4" xfId="496"/>
    <cellStyle name="40% - Accent2 15 5" xfId="497"/>
    <cellStyle name="40% - Accent2 16" xfId="498"/>
    <cellStyle name="40% - Accent2 16 2" xfId="499"/>
    <cellStyle name="40% - Accent2 16 3" xfId="500"/>
    <cellStyle name="40% - Accent2 16 4" xfId="501"/>
    <cellStyle name="40% - Accent2 16 5" xfId="502"/>
    <cellStyle name="40% - Accent2 17" xfId="503"/>
    <cellStyle name="40% - Accent2 17 2" xfId="504"/>
    <cellStyle name="40% - Accent2 17 3" xfId="505"/>
    <cellStyle name="40% - Accent2 17 4" xfId="506"/>
    <cellStyle name="40% - Accent2 17 5" xfId="507"/>
    <cellStyle name="40% - Accent2 18" xfId="508"/>
    <cellStyle name="40% - Accent2 19" xfId="509"/>
    <cellStyle name="40% - Accent2 2" xfId="510"/>
    <cellStyle name="40% - Accent2 2 10" xfId="511"/>
    <cellStyle name="40% - Accent2 2 2" xfId="512"/>
    <cellStyle name="40% - Accent2 2 2 2" xfId="513"/>
    <cellStyle name="40% - Accent2 2 2 2 2" xfId="514"/>
    <cellStyle name="40% - Accent2 2 2 2 2 2" xfId="515"/>
    <cellStyle name="40% - Accent2 2 2 2 2 3" xfId="516"/>
    <cellStyle name="40% - Accent2 2 2 2 3" xfId="517"/>
    <cellStyle name="40% - Accent2 2 2 2 4" xfId="518"/>
    <cellStyle name="40% - Accent2 2 2 2 5" xfId="519"/>
    <cellStyle name="40% - Accent2 2 2 2 6" xfId="520"/>
    <cellStyle name="40% - Accent2 2 2 3" xfId="521"/>
    <cellStyle name="40% - Accent2 2 2 4" xfId="522"/>
    <cellStyle name="40% - Accent2 2 2 5" xfId="523"/>
    <cellStyle name="40% - Accent2 2 2 6" xfId="524"/>
    <cellStyle name="40% - Accent2 2 3" xfId="525"/>
    <cellStyle name="40% - Accent2 2 4" xfId="526"/>
    <cellStyle name="40% - Accent2 2 5" xfId="527"/>
    <cellStyle name="40% - Accent2 2 6" xfId="528"/>
    <cellStyle name="40% - Accent2 2 7" xfId="529"/>
    <cellStyle name="40% - Accent2 2 8" xfId="530"/>
    <cellStyle name="40% - Accent2 2 9" xfId="531"/>
    <cellStyle name="40% - Accent2 20" xfId="532"/>
    <cellStyle name="40% - Accent2 21" xfId="533"/>
    <cellStyle name="40% - Accent2 22" xfId="534"/>
    <cellStyle name="40% - Accent2 23" xfId="535"/>
    <cellStyle name="40% - Accent2 24" xfId="536"/>
    <cellStyle name="40% - Accent2 25" xfId="537"/>
    <cellStyle name="40% - Accent2 26" xfId="538"/>
    <cellStyle name="40% - Accent2 27" xfId="539"/>
    <cellStyle name="40% - Accent2 28" xfId="540"/>
    <cellStyle name="40% - Accent2 29" xfId="541"/>
    <cellStyle name="40% - Accent2 3" xfId="542"/>
    <cellStyle name="40% - Accent2 30" xfId="543"/>
    <cellStyle name="40% - Accent2 31" xfId="544"/>
    <cellStyle name="40% - Accent2 32" xfId="545"/>
    <cellStyle name="40% - Accent2 33" xfId="546"/>
    <cellStyle name="40% - Accent2 34" xfId="547"/>
    <cellStyle name="40% - Accent2 35" xfId="548"/>
    <cellStyle name="40% - Accent2 36" xfId="549"/>
    <cellStyle name="40% - Accent2 4" xfId="550"/>
    <cellStyle name="40% - Accent2 5" xfId="551"/>
    <cellStyle name="40% - Accent2 6" xfId="552"/>
    <cellStyle name="40% - Accent2 7" xfId="553"/>
    <cellStyle name="40% - Accent2 8" xfId="554"/>
    <cellStyle name="40% - Accent2 9" xfId="555"/>
    <cellStyle name="40% - Accent3 10" xfId="556"/>
    <cellStyle name="40% - Accent3 11" xfId="557"/>
    <cellStyle name="40% - Accent3 12" xfId="558"/>
    <cellStyle name="40% - Accent3 13" xfId="559"/>
    <cellStyle name="40% - Accent3 14" xfId="560"/>
    <cellStyle name="40% - Accent3 15" xfId="561"/>
    <cellStyle name="40% - Accent3 15 2" xfId="562"/>
    <cellStyle name="40% - Accent3 15 3" xfId="563"/>
    <cellStyle name="40% - Accent3 15 4" xfId="564"/>
    <cellStyle name="40% - Accent3 15 5" xfId="565"/>
    <cellStyle name="40% - Accent3 16" xfId="566"/>
    <cellStyle name="40% - Accent3 16 2" xfId="567"/>
    <cellStyle name="40% - Accent3 16 3" xfId="568"/>
    <cellStyle name="40% - Accent3 16 4" xfId="569"/>
    <cellStyle name="40% - Accent3 16 5" xfId="570"/>
    <cellStyle name="40% - Accent3 17" xfId="571"/>
    <cellStyle name="40% - Accent3 17 2" xfId="572"/>
    <cellStyle name="40% - Accent3 17 3" xfId="573"/>
    <cellStyle name="40% - Accent3 17 4" xfId="574"/>
    <cellStyle name="40% - Accent3 17 5" xfId="575"/>
    <cellStyle name="40% - Accent3 18" xfId="576"/>
    <cellStyle name="40% - Accent3 19" xfId="577"/>
    <cellStyle name="40% - Accent3 2" xfId="578"/>
    <cellStyle name="40% - Accent3 2 10" xfId="579"/>
    <cellStyle name="40% - Accent3 2 2" xfId="580"/>
    <cellStyle name="40% - Accent3 2 2 2" xfId="581"/>
    <cellStyle name="40% - Accent3 2 2 2 2" xfId="582"/>
    <cellStyle name="40% - Accent3 2 2 2 2 2" xfId="583"/>
    <cellStyle name="40% - Accent3 2 2 2 2 3" xfId="584"/>
    <cellStyle name="40% - Accent3 2 2 2 3" xfId="585"/>
    <cellStyle name="40% - Accent3 2 2 2 4" xfId="586"/>
    <cellStyle name="40% - Accent3 2 2 2 5" xfId="587"/>
    <cellStyle name="40% - Accent3 2 2 2 6" xfId="588"/>
    <cellStyle name="40% - Accent3 2 2 3" xfId="589"/>
    <cellStyle name="40% - Accent3 2 2 4" xfId="590"/>
    <cellStyle name="40% - Accent3 2 2 5" xfId="591"/>
    <cellStyle name="40% - Accent3 2 2 6" xfId="592"/>
    <cellStyle name="40% - Accent3 2 3" xfId="593"/>
    <cellStyle name="40% - Accent3 2 4" xfId="594"/>
    <cellStyle name="40% - Accent3 2 5" xfId="595"/>
    <cellStyle name="40% - Accent3 2 6" xfId="596"/>
    <cellStyle name="40% - Accent3 2 7" xfId="597"/>
    <cellStyle name="40% - Accent3 2 8" xfId="598"/>
    <cellStyle name="40% - Accent3 2 9" xfId="599"/>
    <cellStyle name="40% - Accent3 20" xfId="600"/>
    <cellStyle name="40% - Accent3 21" xfId="601"/>
    <cellStyle name="40% - Accent3 22" xfId="602"/>
    <cellStyle name="40% - Accent3 23" xfId="603"/>
    <cellStyle name="40% - Accent3 24" xfId="604"/>
    <cellStyle name="40% - Accent3 25" xfId="605"/>
    <cellStyle name="40% - Accent3 26" xfId="606"/>
    <cellStyle name="40% - Accent3 27" xfId="607"/>
    <cellStyle name="40% - Accent3 28" xfId="608"/>
    <cellStyle name="40% - Accent3 29" xfId="609"/>
    <cellStyle name="40% - Accent3 3" xfId="610"/>
    <cellStyle name="40% - Accent3 30" xfId="611"/>
    <cellStyle name="40% - Accent3 31" xfId="612"/>
    <cellStyle name="40% - Accent3 32" xfId="613"/>
    <cellStyle name="40% - Accent3 33" xfId="614"/>
    <cellStyle name="40% - Accent3 34" xfId="615"/>
    <cellStyle name="40% - Accent3 35" xfId="616"/>
    <cellStyle name="40% - Accent3 36" xfId="617"/>
    <cellStyle name="40% - Accent3 4" xfId="618"/>
    <cellStyle name="40% - Accent3 5" xfId="619"/>
    <cellStyle name="40% - Accent3 6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10" xfId="647"/>
    <cellStyle name="40% - Accent4 2 2" xfId="648"/>
    <cellStyle name="40% - Accent4 2 2 2" xfId="649"/>
    <cellStyle name="40% - Accent4 2 2 2 2" xfId="650"/>
    <cellStyle name="40% - Accent4 2 2 2 2 2" xfId="651"/>
    <cellStyle name="40% - Accent4 2 2 2 2 3" xfId="652"/>
    <cellStyle name="40% - Accent4 2 2 2 3" xfId="653"/>
    <cellStyle name="40% - Accent4 2 2 2 4" xfId="654"/>
    <cellStyle name="40% - Accent4 2 2 2 5" xfId="655"/>
    <cellStyle name="40% - Accent4 2 2 2 6" xfId="656"/>
    <cellStyle name="40% - Accent4 2 2 3" xfId="657"/>
    <cellStyle name="40% - Accent4 2 2 4" xfId="658"/>
    <cellStyle name="40% - Accent4 2 2 5" xfId="659"/>
    <cellStyle name="40% - Accent4 2 2 6" xfId="660"/>
    <cellStyle name="40% - Accent4 2 3" xfId="661"/>
    <cellStyle name="40% - Accent4 2 4" xfId="662"/>
    <cellStyle name="40% - Accent4 2 5" xfId="663"/>
    <cellStyle name="40% - Accent4 2 6" xfId="664"/>
    <cellStyle name="40% - Accent4 2 7" xfId="665"/>
    <cellStyle name="40% - Accent4 2 8" xfId="666"/>
    <cellStyle name="40% - Accent4 2 9" xfId="667"/>
    <cellStyle name="40% - Accent4 20" xfId="668"/>
    <cellStyle name="40% - Accent4 21" xfId="669"/>
    <cellStyle name="40% - Accent4 22" xfId="670"/>
    <cellStyle name="40% - Accent4 23" xfId="671"/>
    <cellStyle name="40% - Accent4 24" xfId="672"/>
    <cellStyle name="40% - Accent4 25" xfId="673"/>
    <cellStyle name="40% - Accent4 26" xfId="674"/>
    <cellStyle name="40% - Accent4 27" xfId="675"/>
    <cellStyle name="40% - Accent4 28" xfId="676"/>
    <cellStyle name="40% - Accent4 29" xfId="677"/>
    <cellStyle name="40% - Accent4 3" xfId="678"/>
    <cellStyle name="40% - Accent4 30" xfId="679"/>
    <cellStyle name="40% - Accent4 31" xfId="680"/>
    <cellStyle name="40% - Accent4 32" xfId="681"/>
    <cellStyle name="40% - Accent4 33" xfId="682"/>
    <cellStyle name="40% - Accent4 34" xfId="683"/>
    <cellStyle name="40% - Accent4 35" xfId="684"/>
    <cellStyle name="40% - Accent4 36" xfId="685"/>
    <cellStyle name="40% - Accent4 4" xfId="686"/>
    <cellStyle name="40% - Accent4 5" xfId="687"/>
    <cellStyle name="40% - Accent4 6" xfId="688"/>
    <cellStyle name="40% - Accent4 7" xfId="689"/>
    <cellStyle name="40% - Accent4 8" xfId="690"/>
    <cellStyle name="40% - Accent4 9" xfId="691"/>
    <cellStyle name="40% - Accent5 10" xfId="692"/>
    <cellStyle name="40% - Accent5 11" xfId="693"/>
    <cellStyle name="40% - Accent5 12" xfId="694"/>
    <cellStyle name="40% - Accent5 13" xfId="695"/>
    <cellStyle name="40% - Accent5 14" xfId="696"/>
    <cellStyle name="40% - Accent5 15" xfId="697"/>
    <cellStyle name="40% - Accent5 15 2" xfId="698"/>
    <cellStyle name="40% - Accent5 15 3" xfId="699"/>
    <cellStyle name="40% - Accent5 15 4" xfId="700"/>
    <cellStyle name="40% - Accent5 15 5" xfId="701"/>
    <cellStyle name="40% - Accent5 16" xfId="702"/>
    <cellStyle name="40% - Accent5 16 2" xfId="703"/>
    <cellStyle name="40% - Accent5 16 3" xfId="704"/>
    <cellStyle name="40% - Accent5 16 4" xfId="705"/>
    <cellStyle name="40% - Accent5 16 5" xfId="706"/>
    <cellStyle name="40% - Accent5 17" xfId="707"/>
    <cellStyle name="40% - Accent5 17 2" xfId="708"/>
    <cellStyle name="40% - Accent5 17 3" xfId="709"/>
    <cellStyle name="40% - Accent5 17 4" xfId="710"/>
    <cellStyle name="40% - Accent5 17 5" xfId="711"/>
    <cellStyle name="40% - Accent5 18" xfId="712"/>
    <cellStyle name="40% - Accent5 19" xfId="713"/>
    <cellStyle name="40% - Accent5 2" xfId="714"/>
    <cellStyle name="40% - Accent5 2 10" xfId="715"/>
    <cellStyle name="40% - Accent5 2 2" xfId="716"/>
    <cellStyle name="40% - Accent5 2 2 2" xfId="717"/>
    <cellStyle name="40% - Accent5 2 2 2 2" xfId="718"/>
    <cellStyle name="40% - Accent5 2 2 2 2 2" xfId="719"/>
    <cellStyle name="40% - Accent5 2 2 2 2 3" xfId="720"/>
    <cellStyle name="40% - Accent5 2 2 2 3" xfId="721"/>
    <cellStyle name="40% - Accent5 2 2 2 4" xfId="722"/>
    <cellStyle name="40% - Accent5 2 2 2 5" xfId="723"/>
    <cellStyle name="40% - Accent5 2 2 2 6" xfId="724"/>
    <cellStyle name="40% - Accent5 2 2 3" xfId="725"/>
    <cellStyle name="40% - Accent5 2 2 4" xfId="726"/>
    <cellStyle name="40% - Accent5 2 2 5" xfId="727"/>
    <cellStyle name="40% - Accent5 2 2 6" xfId="728"/>
    <cellStyle name="40% - Accent5 2 3" xfId="729"/>
    <cellStyle name="40% - Accent5 2 4" xfId="730"/>
    <cellStyle name="40% - Accent5 2 5" xfId="731"/>
    <cellStyle name="40% - Accent5 2 6" xfId="732"/>
    <cellStyle name="40% - Accent5 2 7" xfId="733"/>
    <cellStyle name="40% - Accent5 2 8" xfId="734"/>
    <cellStyle name="40% - Accent5 2 9" xfId="735"/>
    <cellStyle name="40% - Accent5 20" xfId="736"/>
    <cellStyle name="40% - Accent5 21" xfId="737"/>
    <cellStyle name="40% - Accent5 22" xfId="738"/>
    <cellStyle name="40% - Accent5 23" xfId="739"/>
    <cellStyle name="40% - Accent5 24" xfId="740"/>
    <cellStyle name="40% - Accent5 25" xfId="741"/>
    <cellStyle name="40% - Accent5 26" xfId="742"/>
    <cellStyle name="40% - Accent5 27" xfId="743"/>
    <cellStyle name="40% - Accent5 28" xfId="744"/>
    <cellStyle name="40% - Accent5 29" xfId="745"/>
    <cellStyle name="40% - Accent5 3" xfId="746"/>
    <cellStyle name="40% - Accent5 30" xfId="747"/>
    <cellStyle name="40% - Accent5 31" xfId="748"/>
    <cellStyle name="40% - Accent5 32" xfId="749"/>
    <cellStyle name="40% - Accent5 33" xfId="750"/>
    <cellStyle name="40% - Accent5 34" xfId="751"/>
    <cellStyle name="40% - Accent5 35" xfId="752"/>
    <cellStyle name="40% - Accent5 36" xfId="753"/>
    <cellStyle name="40% - Accent5 4" xfId="754"/>
    <cellStyle name="40% - Accent5 5" xfId="755"/>
    <cellStyle name="40% - Accent5 6" xfId="756"/>
    <cellStyle name="40% - Accent5 7" xfId="757"/>
    <cellStyle name="40% - Accent5 8" xfId="758"/>
    <cellStyle name="40% - Accent5 9" xfId="759"/>
    <cellStyle name="40% - Accent6 10" xfId="760"/>
    <cellStyle name="40% - Accent6 11" xfId="761"/>
    <cellStyle name="40% - Accent6 12" xfId="762"/>
    <cellStyle name="40% - Accent6 13" xfId="763"/>
    <cellStyle name="40% - Accent6 14" xfId="764"/>
    <cellStyle name="40% - Accent6 15" xfId="765"/>
    <cellStyle name="40% - Accent6 15 2" xfId="766"/>
    <cellStyle name="40% - Accent6 15 3" xfId="767"/>
    <cellStyle name="40% - Accent6 15 4" xfId="768"/>
    <cellStyle name="40% - Accent6 15 5" xfId="769"/>
    <cellStyle name="40% - Accent6 16" xfId="770"/>
    <cellStyle name="40% - Accent6 16 2" xfId="771"/>
    <cellStyle name="40% - Accent6 16 3" xfId="772"/>
    <cellStyle name="40% - Accent6 16 4" xfId="773"/>
    <cellStyle name="40% - Accent6 16 5" xfId="774"/>
    <cellStyle name="40% - Accent6 17" xfId="775"/>
    <cellStyle name="40% - Accent6 17 2" xfId="776"/>
    <cellStyle name="40% - Accent6 17 3" xfId="777"/>
    <cellStyle name="40% - Accent6 17 4" xfId="778"/>
    <cellStyle name="40% - Accent6 17 5" xfId="779"/>
    <cellStyle name="40% - Accent6 18" xfId="780"/>
    <cellStyle name="40% - Accent6 19" xfId="781"/>
    <cellStyle name="40% - Accent6 2" xfId="782"/>
    <cellStyle name="40% - Accent6 2 10" xfId="783"/>
    <cellStyle name="40% - Accent6 2 2" xfId="784"/>
    <cellStyle name="40% - Accent6 2 2 2" xfId="785"/>
    <cellStyle name="40% - Accent6 2 2 2 2" xfId="786"/>
    <cellStyle name="40% - Accent6 2 2 2 2 2" xfId="787"/>
    <cellStyle name="40% - Accent6 2 2 2 2 3" xfId="788"/>
    <cellStyle name="40% - Accent6 2 2 2 3" xfId="789"/>
    <cellStyle name="40% - Accent6 2 2 2 4" xfId="790"/>
    <cellStyle name="40% - Accent6 2 2 2 5" xfId="791"/>
    <cellStyle name="40% - Accent6 2 2 2 6" xfId="792"/>
    <cellStyle name="40% - Accent6 2 2 3" xfId="793"/>
    <cellStyle name="40% - Accent6 2 2 4" xfId="794"/>
    <cellStyle name="40% - Accent6 2 2 5" xfId="795"/>
    <cellStyle name="40% - Accent6 2 2 6" xfId="796"/>
    <cellStyle name="40% - Accent6 2 3" xfId="797"/>
    <cellStyle name="40% - Accent6 2 4" xfId="798"/>
    <cellStyle name="40% - Accent6 2 5" xfId="799"/>
    <cellStyle name="40% - Accent6 2 6" xfId="800"/>
    <cellStyle name="40% - Accent6 2 7" xfId="801"/>
    <cellStyle name="40% - Accent6 2 8" xfId="802"/>
    <cellStyle name="40% - Accent6 2 9" xfId="803"/>
    <cellStyle name="40% - Accent6 20" xfId="804"/>
    <cellStyle name="40% - Accent6 21" xfId="805"/>
    <cellStyle name="40% - Accent6 22" xfId="806"/>
    <cellStyle name="40% - Accent6 23" xfId="807"/>
    <cellStyle name="40% - Accent6 24" xfId="808"/>
    <cellStyle name="40% - Accent6 25" xfId="809"/>
    <cellStyle name="40% - Accent6 26" xfId="810"/>
    <cellStyle name="40% - Accent6 27" xfId="811"/>
    <cellStyle name="40% - Accent6 28" xfId="812"/>
    <cellStyle name="40% - Accent6 29" xfId="813"/>
    <cellStyle name="40% - Accent6 3" xfId="814"/>
    <cellStyle name="40% - Accent6 30" xfId="815"/>
    <cellStyle name="40% - Accent6 31" xfId="816"/>
    <cellStyle name="40% - Accent6 32" xfId="817"/>
    <cellStyle name="40% - Accent6 33" xfId="818"/>
    <cellStyle name="40% - Accent6 34" xfId="819"/>
    <cellStyle name="40% - Accent6 35" xfId="820"/>
    <cellStyle name="40% - Accent6 36" xfId="821"/>
    <cellStyle name="40% - Accent6 4" xfId="822"/>
    <cellStyle name="40% - Accent6 5" xfId="823"/>
    <cellStyle name="40% - Accent6 6" xfId="824"/>
    <cellStyle name="40% - Accent6 7" xfId="825"/>
    <cellStyle name="40% - Accent6 8" xfId="826"/>
    <cellStyle name="40% - Accent6 9" xfId="827"/>
    <cellStyle name="60% - Accent1 10" xfId="828"/>
    <cellStyle name="60% - Accent1 11" xfId="829"/>
    <cellStyle name="60% - Accent1 12" xfId="830"/>
    <cellStyle name="60% - Accent1 13" xfId="831"/>
    <cellStyle name="60% - Accent1 14" xfId="832"/>
    <cellStyle name="60% - Accent1 15" xfId="833"/>
    <cellStyle name="60% - Accent1 16" xfId="834"/>
    <cellStyle name="60% - Accent1 17" xfId="835"/>
    <cellStyle name="60% - Accent1 18" xfId="836"/>
    <cellStyle name="60% - Accent1 19" xfId="837"/>
    <cellStyle name="60% - Accent1 2" xfId="838"/>
    <cellStyle name="60% - Accent1 2 10" xfId="839"/>
    <cellStyle name="60% - Accent1 2 2" xfId="840"/>
    <cellStyle name="60% - Accent1 2 2 2" xfId="841"/>
    <cellStyle name="60% - Accent1 2 2 2 2" xfId="842"/>
    <cellStyle name="60% - Accent1 2 2 2 2 2" xfId="843"/>
    <cellStyle name="60% - Accent1 2 2 2 2 3" xfId="844"/>
    <cellStyle name="60% - Accent1 2 2 2 3" xfId="845"/>
    <cellStyle name="60% - Accent1 2 2 2 4" xfId="846"/>
    <cellStyle name="60% - Accent1 2 2 2 5" xfId="847"/>
    <cellStyle name="60% - Accent1 2 2 2 6" xfId="848"/>
    <cellStyle name="60% - Accent1 2 2 3" xfId="849"/>
    <cellStyle name="60% - Accent1 2 2 4" xfId="850"/>
    <cellStyle name="60% - Accent1 2 2 5" xfId="851"/>
    <cellStyle name="60% - Accent1 2 2 6" xfId="852"/>
    <cellStyle name="60% - Accent1 2 3" xfId="853"/>
    <cellStyle name="60% - Accent1 2 4" xfId="854"/>
    <cellStyle name="60% - Accent1 2 5" xfId="855"/>
    <cellStyle name="60% - Accent1 2 6" xfId="856"/>
    <cellStyle name="60% - Accent1 2 7" xfId="857"/>
    <cellStyle name="60% - Accent1 2 8" xfId="858"/>
    <cellStyle name="60% - Accent1 2 9" xfId="859"/>
    <cellStyle name="60% - Accent1 20" xfId="860"/>
    <cellStyle name="60% - Accent1 21" xfId="861"/>
    <cellStyle name="60% - Accent1 22" xfId="862"/>
    <cellStyle name="60% - Accent1 23" xfId="863"/>
    <cellStyle name="60% - Accent1 3" xfId="864"/>
    <cellStyle name="60% - Accent1 4" xfId="865"/>
    <cellStyle name="60% - Accent1 5" xfId="866"/>
    <cellStyle name="60% - Accent1 6" xfId="867"/>
    <cellStyle name="60% - Accent1 7" xfId="868"/>
    <cellStyle name="60% - Accent1 8" xfId="869"/>
    <cellStyle name="60% - Accent1 9" xfId="870"/>
    <cellStyle name="60% - Accent2 10" xfId="871"/>
    <cellStyle name="60% - Accent2 11" xfId="872"/>
    <cellStyle name="60% - Accent2 12" xfId="873"/>
    <cellStyle name="60% - Accent2 13" xfId="874"/>
    <cellStyle name="60% - Accent2 14" xfId="875"/>
    <cellStyle name="60% - Accent2 15" xfId="876"/>
    <cellStyle name="60% - Accent2 16" xfId="877"/>
    <cellStyle name="60% - Accent2 17" xfId="878"/>
    <cellStyle name="60% - Accent2 18" xfId="879"/>
    <cellStyle name="60% - Accent2 19" xfId="880"/>
    <cellStyle name="60% - Accent2 2" xfId="881"/>
    <cellStyle name="60% - Accent2 2 10" xfId="882"/>
    <cellStyle name="60% - Accent2 2 2" xfId="883"/>
    <cellStyle name="60% - Accent2 2 2 2" xfId="884"/>
    <cellStyle name="60% - Accent2 2 2 2 2" xfId="885"/>
    <cellStyle name="60% - Accent2 2 2 2 2 2" xfId="886"/>
    <cellStyle name="60% - Accent2 2 2 2 2 3" xfId="887"/>
    <cellStyle name="60% - Accent2 2 2 2 3" xfId="888"/>
    <cellStyle name="60% - Accent2 2 2 2 4" xfId="889"/>
    <cellStyle name="60% - Accent2 2 2 2 5" xfId="890"/>
    <cellStyle name="60% - Accent2 2 2 2 6" xfId="891"/>
    <cellStyle name="60% - Accent2 2 2 3" xfId="892"/>
    <cellStyle name="60% - Accent2 2 2 4" xfId="893"/>
    <cellStyle name="60% - Accent2 2 2 5" xfId="894"/>
    <cellStyle name="60% - Accent2 2 2 6" xfId="895"/>
    <cellStyle name="60% - Accent2 2 3" xfId="896"/>
    <cellStyle name="60% - Accent2 2 4" xfId="897"/>
    <cellStyle name="60% - Accent2 2 5" xfId="898"/>
    <cellStyle name="60% - Accent2 2 6" xfId="899"/>
    <cellStyle name="60% - Accent2 2 7" xfId="900"/>
    <cellStyle name="60% - Accent2 2 8" xfId="901"/>
    <cellStyle name="60% - Accent2 2 9" xfId="902"/>
    <cellStyle name="60% - Accent2 20" xfId="903"/>
    <cellStyle name="60% - Accent2 21" xfId="904"/>
    <cellStyle name="60% - Accent2 22" xfId="905"/>
    <cellStyle name="60% - Accent2 23" xfId="906"/>
    <cellStyle name="60% - Accent2 3" xfId="907"/>
    <cellStyle name="60% - Accent2 4" xfId="908"/>
    <cellStyle name="60% - Accent2 5" xfId="909"/>
    <cellStyle name="60% - Accent2 6" xfId="910"/>
    <cellStyle name="60% - Accent2 7" xfId="911"/>
    <cellStyle name="60% - Accent2 8" xfId="912"/>
    <cellStyle name="60% - Accent2 9" xfId="913"/>
    <cellStyle name="60% - Accent3 10" xfId="914"/>
    <cellStyle name="60% - Accent3 11" xfId="915"/>
    <cellStyle name="60% - Accent3 12" xfId="916"/>
    <cellStyle name="60% - Accent3 13" xfId="917"/>
    <cellStyle name="60% - Accent3 14" xfId="918"/>
    <cellStyle name="60% - Accent3 15" xfId="919"/>
    <cellStyle name="60% - Accent3 16" xfId="920"/>
    <cellStyle name="60% - Accent3 17" xfId="921"/>
    <cellStyle name="60% - Accent3 18" xfId="922"/>
    <cellStyle name="60% - Accent3 19" xfId="923"/>
    <cellStyle name="60% - Accent3 2" xfId="924"/>
    <cellStyle name="60% - Accent3 2 10" xfId="925"/>
    <cellStyle name="60% - Accent3 2 2" xfId="926"/>
    <cellStyle name="60% - Accent3 2 2 2" xfId="927"/>
    <cellStyle name="60% - Accent3 2 2 2 2" xfId="928"/>
    <cellStyle name="60% - Accent3 2 2 2 2 2" xfId="929"/>
    <cellStyle name="60% - Accent3 2 2 2 2 3" xfId="930"/>
    <cellStyle name="60% - Accent3 2 2 2 3" xfId="931"/>
    <cellStyle name="60% - Accent3 2 2 2 4" xfId="932"/>
    <cellStyle name="60% - Accent3 2 2 2 5" xfId="933"/>
    <cellStyle name="60% - Accent3 2 2 2 6" xfId="934"/>
    <cellStyle name="60% - Accent3 2 2 3" xfId="935"/>
    <cellStyle name="60% - Accent3 2 2 4" xfId="936"/>
    <cellStyle name="60% - Accent3 2 2 5" xfId="937"/>
    <cellStyle name="60% - Accent3 2 2 6" xfId="938"/>
    <cellStyle name="60% - Accent3 2 3" xfId="939"/>
    <cellStyle name="60% - Accent3 2 4" xfId="940"/>
    <cellStyle name="60% - Accent3 2 5" xfId="941"/>
    <cellStyle name="60% - Accent3 2 6" xfId="942"/>
    <cellStyle name="60% - Accent3 2 7" xfId="943"/>
    <cellStyle name="60% - Accent3 2 8" xfId="944"/>
    <cellStyle name="60% - Accent3 2 9" xfId="945"/>
    <cellStyle name="60% - Accent3 20" xfId="946"/>
    <cellStyle name="60% - Accent3 21" xfId="947"/>
    <cellStyle name="60% - Accent3 22" xfId="948"/>
    <cellStyle name="60% - Accent3 23" xfId="949"/>
    <cellStyle name="60% - Accent3 3" xfId="950"/>
    <cellStyle name="60% - Accent3 4" xfId="951"/>
    <cellStyle name="60% - Accent3 5" xfId="952"/>
    <cellStyle name="60% - Accent3 6" xfId="953"/>
    <cellStyle name="60% - Accent3 7" xfId="954"/>
    <cellStyle name="60% - Accent3 8" xfId="955"/>
    <cellStyle name="60% - Accent3 9" xfId="956"/>
    <cellStyle name="60% - Accent4 10" xfId="957"/>
    <cellStyle name="60% - Accent4 11" xfId="958"/>
    <cellStyle name="60% - Accent4 12" xfId="959"/>
    <cellStyle name="60% - Accent4 13" xfId="960"/>
    <cellStyle name="60% - Accent4 14" xfId="961"/>
    <cellStyle name="60% - Accent4 15" xfId="962"/>
    <cellStyle name="60% - Accent4 16" xfId="963"/>
    <cellStyle name="60% - Accent4 17" xfId="964"/>
    <cellStyle name="60% - Accent4 18" xfId="965"/>
    <cellStyle name="60% - Accent4 19" xfId="966"/>
    <cellStyle name="60% - Accent4 2" xfId="967"/>
    <cellStyle name="60% - Accent4 2 10" xfId="968"/>
    <cellStyle name="60% - Accent4 2 2" xfId="969"/>
    <cellStyle name="60% - Accent4 2 2 2" xfId="970"/>
    <cellStyle name="60% - Accent4 2 2 2 2" xfId="971"/>
    <cellStyle name="60% - Accent4 2 2 2 2 2" xfId="972"/>
    <cellStyle name="60% - Accent4 2 2 2 2 3" xfId="973"/>
    <cellStyle name="60% - Accent4 2 2 2 3" xfId="974"/>
    <cellStyle name="60% - Accent4 2 2 2 4" xfId="975"/>
    <cellStyle name="60% - Accent4 2 2 2 5" xfId="976"/>
    <cellStyle name="60% - Accent4 2 2 2 6" xfId="977"/>
    <cellStyle name="60% - Accent4 2 2 3" xfId="978"/>
    <cellStyle name="60% - Accent4 2 2 4" xfId="979"/>
    <cellStyle name="60% - Accent4 2 2 5" xfId="980"/>
    <cellStyle name="60% - Accent4 2 2 6" xfId="981"/>
    <cellStyle name="60% - Accent4 2 3" xfId="982"/>
    <cellStyle name="60% - Accent4 2 4" xfId="983"/>
    <cellStyle name="60% - Accent4 2 5" xfId="984"/>
    <cellStyle name="60% - Accent4 2 6" xfId="985"/>
    <cellStyle name="60% - Accent4 2 7" xfId="986"/>
    <cellStyle name="60% - Accent4 2 8" xfId="987"/>
    <cellStyle name="60% - Accent4 2 9" xfId="988"/>
    <cellStyle name="60% - Accent4 20" xfId="989"/>
    <cellStyle name="60% - Accent4 21" xfId="990"/>
    <cellStyle name="60% - Accent4 22" xfId="991"/>
    <cellStyle name="60% - Accent4 23" xfId="992"/>
    <cellStyle name="60% - Accent4 3" xfId="993"/>
    <cellStyle name="60% - Accent4 4" xfId="994"/>
    <cellStyle name="60% - Accent4 5" xfId="995"/>
    <cellStyle name="60% - Accent4 6" xfId="996"/>
    <cellStyle name="60% - Accent4 7" xfId="997"/>
    <cellStyle name="60% - Accent4 8" xfId="998"/>
    <cellStyle name="60% - Accent4 9" xfId="999"/>
    <cellStyle name="60% - Accent5 10" xfId="1000"/>
    <cellStyle name="60% - Accent5 11" xfId="1001"/>
    <cellStyle name="60% - Accent5 12" xfId="1002"/>
    <cellStyle name="60% - Accent5 13" xfId="1003"/>
    <cellStyle name="60% - Accent5 14" xfId="1004"/>
    <cellStyle name="60% - Accent5 15" xfId="1005"/>
    <cellStyle name="60% - Accent5 16" xfId="1006"/>
    <cellStyle name="60% - Accent5 17" xfId="1007"/>
    <cellStyle name="60% - Accent5 18" xfId="1008"/>
    <cellStyle name="60% - Accent5 19" xfId="1009"/>
    <cellStyle name="60% - Accent5 2" xfId="1010"/>
    <cellStyle name="60% - Accent5 2 10" xfId="1011"/>
    <cellStyle name="60% - Accent5 2 2" xfId="1012"/>
    <cellStyle name="60% - Accent5 2 2 2" xfId="1013"/>
    <cellStyle name="60% - Accent5 2 2 2 2" xfId="1014"/>
    <cellStyle name="60% - Accent5 2 2 2 2 2" xfId="1015"/>
    <cellStyle name="60% - Accent5 2 2 2 2 3" xfId="1016"/>
    <cellStyle name="60% - Accent5 2 2 2 3" xfId="1017"/>
    <cellStyle name="60% - Accent5 2 2 2 4" xfId="1018"/>
    <cellStyle name="60% - Accent5 2 2 2 5" xfId="1019"/>
    <cellStyle name="60% - Accent5 2 2 2 6" xfId="1020"/>
    <cellStyle name="60% - Accent5 2 2 3" xfId="1021"/>
    <cellStyle name="60% - Accent5 2 2 4" xfId="1022"/>
    <cellStyle name="60% - Accent5 2 2 5" xfId="1023"/>
    <cellStyle name="60% - Accent5 2 2 6" xfId="1024"/>
    <cellStyle name="60% - Accent5 2 3" xfId="1025"/>
    <cellStyle name="60% - Accent5 2 4" xfId="1026"/>
    <cellStyle name="60% - Accent5 2 5" xfId="1027"/>
    <cellStyle name="60% - Accent5 2 6" xfId="1028"/>
    <cellStyle name="60% - Accent5 2 7" xfId="1029"/>
    <cellStyle name="60% - Accent5 2 8" xfId="1030"/>
    <cellStyle name="60% - Accent5 2 9" xfId="1031"/>
    <cellStyle name="60% - Accent5 20" xfId="1032"/>
    <cellStyle name="60% - Accent5 21" xfId="1033"/>
    <cellStyle name="60% - Accent5 22" xfId="1034"/>
    <cellStyle name="60% - Accent5 23" xfId="1035"/>
    <cellStyle name="60% - Accent5 3" xfId="1036"/>
    <cellStyle name="60% - Accent5 4" xfId="1037"/>
    <cellStyle name="60% - Accent5 5" xfId="1038"/>
    <cellStyle name="60% - Accent5 6" xfId="1039"/>
    <cellStyle name="60% - Accent5 7" xfId="1040"/>
    <cellStyle name="60% - Accent5 8" xfId="1041"/>
    <cellStyle name="60% - Accent5 9" xfId="1042"/>
    <cellStyle name="60% - Accent6 10" xfId="1043"/>
    <cellStyle name="60% - Accent6 11" xfId="1044"/>
    <cellStyle name="60% - Accent6 12" xfId="1045"/>
    <cellStyle name="60% - Accent6 13" xfId="1046"/>
    <cellStyle name="60% - Accent6 14" xfId="1047"/>
    <cellStyle name="60% - Accent6 15" xfId="1048"/>
    <cellStyle name="60% - Accent6 16" xfId="1049"/>
    <cellStyle name="60% - Accent6 17" xfId="1050"/>
    <cellStyle name="60% - Accent6 18" xfId="1051"/>
    <cellStyle name="60% - Accent6 19" xfId="1052"/>
    <cellStyle name="60% - Accent6 2" xfId="1053"/>
    <cellStyle name="60% - Accent6 2 10" xfId="1054"/>
    <cellStyle name="60% - Accent6 2 2" xfId="1055"/>
    <cellStyle name="60% - Accent6 2 2 2" xfId="1056"/>
    <cellStyle name="60% - Accent6 2 2 2 2" xfId="1057"/>
    <cellStyle name="60% - Accent6 2 2 2 2 2" xfId="1058"/>
    <cellStyle name="60% - Accent6 2 2 2 2 3" xfId="1059"/>
    <cellStyle name="60% - Accent6 2 2 2 3" xfId="1060"/>
    <cellStyle name="60% - Accent6 2 2 2 4" xfId="1061"/>
    <cellStyle name="60% - Accent6 2 2 2 5" xfId="1062"/>
    <cellStyle name="60% - Accent6 2 2 2 6" xfId="1063"/>
    <cellStyle name="60% - Accent6 2 2 3" xfId="1064"/>
    <cellStyle name="60% - Accent6 2 2 4" xfId="1065"/>
    <cellStyle name="60% - Accent6 2 2 5" xfId="1066"/>
    <cellStyle name="60% - Accent6 2 2 6" xfId="1067"/>
    <cellStyle name="60% - Accent6 2 3" xfId="1068"/>
    <cellStyle name="60% - Accent6 2 4" xfId="1069"/>
    <cellStyle name="60% - Accent6 2 5" xfId="1070"/>
    <cellStyle name="60% - Accent6 2 6" xfId="1071"/>
    <cellStyle name="60% - Accent6 2 7" xfId="1072"/>
    <cellStyle name="60% - Accent6 2 8" xfId="1073"/>
    <cellStyle name="60% - Accent6 2 9" xfId="1074"/>
    <cellStyle name="60% - Accent6 20" xfId="1075"/>
    <cellStyle name="60% - Accent6 21" xfId="1076"/>
    <cellStyle name="60% - Accent6 22" xfId="1077"/>
    <cellStyle name="60% - Accent6 23" xfId="1078"/>
    <cellStyle name="60% - Accent6 3" xfId="1079"/>
    <cellStyle name="60% - Accent6 4" xfId="1080"/>
    <cellStyle name="60% - Accent6 5" xfId="1081"/>
    <cellStyle name="60% - Accent6 6" xfId="1082"/>
    <cellStyle name="60% - Accent6 7" xfId="1083"/>
    <cellStyle name="60% - Accent6 8" xfId="1084"/>
    <cellStyle name="60% - Accent6 9" xfId="1085"/>
    <cellStyle name="Accent1 10" xfId="1086"/>
    <cellStyle name="Accent1 11" xfId="1087"/>
    <cellStyle name="Accent1 12" xfId="1088"/>
    <cellStyle name="Accent1 13" xfId="1089"/>
    <cellStyle name="Accent1 14" xfId="1090"/>
    <cellStyle name="Accent1 15" xfId="1091"/>
    <cellStyle name="Accent1 16" xfId="1092"/>
    <cellStyle name="Accent1 17" xfId="1093"/>
    <cellStyle name="Accent1 18" xfId="1094"/>
    <cellStyle name="Accent1 19" xfId="1095"/>
    <cellStyle name="Accent1 2" xfId="1096"/>
    <cellStyle name="Accent1 2 10" xfId="1097"/>
    <cellStyle name="Accent1 2 2" xfId="1098"/>
    <cellStyle name="Accent1 2 2 2" xfId="1099"/>
    <cellStyle name="Accent1 2 2 2 2" xfId="1100"/>
    <cellStyle name="Accent1 2 2 2 2 2" xfId="1101"/>
    <cellStyle name="Accent1 2 2 2 2 3" xfId="1102"/>
    <cellStyle name="Accent1 2 2 2 3" xfId="1103"/>
    <cellStyle name="Accent1 2 2 2 4" xfId="1104"/>
    <cellStyle name="Accent1 2 2 2 5" xfId="1105"/>
    <cellStyle name="Accent1 2 2 2 6" xfId="1106"/>
    <cellStyle name="Accent1 2 2 3" xfId="1107"/>
    <cellStyle name="Accent1 2 2 4" xfId="1108"/>
    <cellStyle name="Accent1 2 2 5" xfId="1109"/>
    <cellStyle name="Accent1 2 2 6" xfId="1110"/>
    <cellStyle name="Accent1 2 3" xfId="1111"/>
    <cellStyle name="Accent1 2 4" xfId="1112"/>
    <cellStyle name="Accent1 2 5" xfId="1113"/>
    <cellStyle name="Accent1 2 6" xfId="1114"/>
    <cellStyle name="Accent1 2 7" xfId="1115"/>
    <cellStyle name="Accent1 2 8" xfId="1116"/>
    <cellStyle name="Accent1 2 9" xfId="1117"/>
    <cellStyle name="Accent1 20" xfId="1118"/>
    <cellStyle name="Accent1 21" xfId="1119"/>
    <cellStyle name="Accent1 22" xfId="1120"/>
    <cellStyle name="Accent1 23" xfId="1121"/>
    <cellStyle name="Accent1 3" xfId="1122"/>
    <cellStyle name="Accent1 4" xfId="1123"/>
    <cellStyle name="Accent1 5" xfId="1124"/>
    <cellStyle name="Accent1 6" xfId="1125"/>
    <cellStyle name="Accent1 7" xfId="1126"/>
    <cellStyle name="Accent1 8" xfId="1127"/>
    <cellStyle name="Accent1 9" xfId="1128"/>
    <cellStyle name="Accent2 10" xfId="1129"/>
    <cellStyle name="Accent2 11" xfId="1130"/>
    <cellStyle name="Accent2 12" xfId="1131"/>
    <cellStyle name="Accent2 13" xfId="1132"/>
    <cellStyle name="Accent2 14" xfId="1133"/>
    <cellStyle name="Accent2 15" xfId="1134"/>
    <cellStyle name="Accent2 16" xfId="1135"/>
    <cellStyle name="Accent2 17" xfId="1136"/>
    <cellStyle name="Accent2 18" xfId="1137"/>
    <cellStyle name="Accent2 19" xfId="1138"/>
    <cellStyle name="Accent2 2" xfId="1139"/>
    <cellStyle name="Accent2 2 10" xfId="1140"/>
    <cellStyle name="Accent2 2 2" xfId="1141"/>
    <cellStyle name="Accent2 2 2 2" xfId="1142"/>
    <cellStyle name="Accent2 2 2 2 2" xfId="1143"/>
    <cellStyle name="Accent2 2 2 2 2 2" xfId="1144"/>
    <cellStyle name="Accent2 2 2 2 2 3" xfId="1145"/>
    <cellStyle name="Accent2 2 2 2 3" xfId="1146"/>
    <cellStyle name="Accent2 2 2 2 4" xfId="1147"/>
    <cellStyle name="Accent2 2 2 2 5" xfId="1148"/>
    <cellStyle name="Accent2 2 2 2 6" xfId="1149"/>
    <cellStyle name="Accent2 2 2 3" xfId="1150"/>
    <cellStyle name="Accent2 2 2 4" xfId="1151"/>
    <cellStyle name="Accent2 2 2 5" xfId="1152"/>
    <cellStyle name="Accent2 2 2 6" xfId="1153"/>
    <cellStyle name="Accent2 2 3" xfId="1154"/>
    <cellStyle name="Accent2 2 4" xfId="1155"/>
    <cellStyle name="Accent2 2 5" xfId="1156"/>
    <cellStyle name="Accent2 2 6" xfId="1157"/>
    <cellStyle name="Accent2 2 7" xfId="1158"/>
    <cellStyle name="Accent2 2 8" xfId="1159"/>
    <cellStyle name="Accent2 2 9" xfId="1160"/>
    <cellStyle name="Accent2 20" xfId="1161"/>
    <cellStyle name="Accent2 21" xfId="1162"/>
    <cellStyle name="Accent2 22" xfId="1163"/>
    <cellStyle name="Accent2 23" xfId="1164"/>
    <cellStyle name="Accent2 3" xfId="1165"/>
    <cellStyle name="Accent2 4" xfId="1166"/>
    <cellStyle name="Accent2 5" xfId="1167"/>
    <cellStyle name="Accent2 6" xfId="1168"/>
    <cellStyle name="Accent2 7" xfId="1169"/>
    <cellStyle name="Accent2 8" xfId="1170"/>
    <cellStyle name="Accent2 9" xfId="1171"/>
    <cellStyle name="Accent3 10" xfId="1172"/>
    <cellStyle name="Accent3 11" xfId="1173"/>
    <cellStyle name="Accent3 12" xfId="1174"/>
    <cellStyle name="Accent3 13" xfId="1175"/>
    <cellStyle name="Accent3 14" xfId="1176"/>
    <cellStyle name="Accent3 15" xfId="1177"/>
    <cellStyle name="Accent3 16" xfId="1178"/>
    <cellStyle name="Accent3 17" xfId="1179"/>
    <cellStyle name="Accent3 18" xfId="1180"/>
    <cellStyle name="Accent3 19" xfId="1181"/>
    <cellStyle name="Accent3 2" xfId="1182"/>
    <cellStyle name="Accent3 2 10" xfId="1183"/>
    <cellStyle name="Accent3 2 2" xfId="1184"/>
    <cellStyle name="Accent3 2 2 2" xfId="1185"/>
    <cellStyle name="Accent3 2 2 2 2" xfId="1186"/>
    <cellStyle name="Accent3 2 2 2 2 2" xfId="1187"/>
    <cellStyle name="Accent3 2 2 2 2 3" xfId="1188"/>
    <cellStyle name="Accent3 2 2 2 3" xfId="1189"/>
    <cellStyle name="Accent3 2 2 2 4" xfId="1190"/>
    <cellStyle name="Accent3 2 2 2 5" xfId="1191"/>
    <cellStyle name="Accent3 2 2 2 6" xfId="1192"/>
    <cellStyle name="Accent3 2 2 3" xfId="1193"/>
    <cellStyle name="Accent3 2 2 4" xfId="1194"/>
    <cellStyle name="Accent3 2 2 5" xfId="1195"/>
    <cellStyle name="Accent3 2 2 6" xfId="1196"/>
    <cellStyle name="Accent3 2 3" xfId="1197"/>
    <cellStyle name="Accent3 2 4" xfId="1198"/>
    <cellStyle name="Accent3 2 5" xfId="1199"/>
    <cellStyle name="Accent3 2 6" xfId="1200"/>
    <cellStyle name="Accent3 2 7" xfId="1201"/>
    <cellStyle name="Accent3 2 8" xfId="1202"/>
    <cellStyle name="Accent3 2 9" xfId="1203"/>
    <cellStyle name="Accent3 20" xfId="1204"/>
    <cellStyle name="Accent3 21" xfId="1205"/>
    <cellStyle name="Accent3 22" xfId="1206"/>
    <cellStyle name="Accent3 23" xfId="1207"/>
    <cellStyle name="Accent3 3" xfId="1208"/>
    <cellStyle name="Accent3 4" xfId="1209"/>
    <cellStyle name="Accent3 5" xfId="1210"/>
    <cellStyle name="Accent3 6" xfId="1211"/>
    <cellStyle name="Accent3 7" xfId="1212"/>
    <cellStyle name="Accent3 8" xfId="1213"/>
    <cellStyle name="Accent3 9" xfId="1214"/>
    <cellStyle name="Accent4 10" xfId="1215"/>
    <cellStyle name="Accent4 11" xfId="1216"/>
    <cellStyle name="Accent4 12" xfId="1217"/>
    <cellStyle name="Accent4 13" xfId="1218"/>
    <cellStyle name="Accent4 14" xfId="1219"/>
    <cellStyle name="Accent4 15" xfId="1220"/>
    <cellStyle name="Accent4 16" xfId="1221"/>
    <cellStyle name="Accent4 17" xfId="1222"/>
    <cellStyle name="Accent4 18" xfId="1223"/>
    <cellStyle name="Accent4 19" xfId="1224"/>
    <cellStyle name="Accent4 2" xfId="1225"/>
    <cellStyle name="Accent4 2 10" xfId="1226"/>
    <cellStyle name="Accent4 2 2" xfId="1227"/>
    <cellStyle name="Accent4 2 2 2" xfId="1228"/>
    <cellStyle name="Accent4 2 2 2 2" xfId="1229"/>
    <cellStyle name="Accent4 2 2 2 2 2" xfId="1230"/>
    <cellStyle name="Accent4 2 2 2 2 3" xfId="1231"/>
    <cellStyle name="Accent4 2 2 2 3" xfId="1232"/>
    <cellStyle name="Accent4 2 2 2 4" xfId="1233"/>
    <cellStyle name="Accent4 2 2 2 5" xfId="1234"/>
    <cellStyle name="Accent4 2 2 2 6" xfId="1235"/>
    <cellStyle name="Accent4 2 2 3" xfId="1236"/>
    <cellStyle name="Accent4 2 2 4" xfId="1237"/>
    <cellStyle name="Accent4 2 2 5" xfId="1238"/>
    <cellStyle name="Accent4 2 2 6" xfId="1239"/>
    <cellStyle name="Accent4 2 3" xfId="1240"/>
    <cellStyle name="Accent4 2 4" xfId="1241"/>
    <cellStyle name="Accent4 2 5" xfId="1242"/>
    <cellStyle name="Accent4 2 6" xfId="1243"/>
    <cellStyle name="Accent4 2 7" xfId="1244"/>
    <cellStyle name="Accent4 2 8" xfId="1245"/>
    <cellStyle name="Accent4 2 9" xfId="1246"/>
    <cellStyle name="Accent4 20" xfId="1247"/>
    <cellStyle name="Accent4 21" xfId="1248"/>
    <cellStyle name="Accent4 22" xfId="1249"/>
    <cellStyle name="Accent4 23" xfId="1250"/>
    <cellStyle name="Accent4 3" xfId="1251"/>
    <cellStyle name="Accent4 4" xfId="1252"/>
    <cellStyle name="Accent4 5" xfId="1253"/>
    <cellStyle name="Accent4 6" xfId="1254"/>
    <cellStyle name="Accent4 7" xfId="1255"/>
    <cellStyle name="Accent4 8" xfId="1256"/>
    <cellStyle name="Accent4 9" xfId="1257"/>
    <cellStyle name="Accent5 10" xfId="1258"/>
    <cellStyle name="Accent5 11" xfId="1259"/>
    <cellStyle name="Accent5 12" xfId="1260"/>
    <cellStyle name="Accent5 13" xfId="1261"/>
    <cellStyle name="Accent5 14" xfId="1262"/>
    <cellStyle name="Accent5 15" xfId="1263"/>
    <cellStyle name="Accent5 16" xfId="1264"/>
    <cellStyle name="Accent5 17" xfId="1265"/>
    <cellStyle name="Accent5 18" xfId="1266"/>
    <cellStyle name="Accent5 19" xfId="1267"/>
    <cellStyle name="Accent5 2" xfId="1268"/>
    <cellStyle name="Accent5 2 10" xfId="1269"/>
    <cellStyle name="Accent5 2 2" xfId="1270"/>
    <cellStyle name="Accent5 2 2 2" xfId="1271"/>
    <cellStyle name="Accent5 2 2 2 2" xfId="1272"/>
    <cellStyle name="Accent5 2 2 2 2 2" xfId="1273"/>
    <cellStyle name="Accent5 2 2 2 2 3" xfId="1274"/>
    <cellStyle name="Accent5 2 2 2 3" xfId="1275"/>
    <cellStyle name="Accent5 2 2 2 4" xfId="1276"/>
    <cellStyle name="Accent5 2 2 2 5" xfId="1277"/>
    <cellStyle name="Accent5 2 2 2 6" xfId="1278"/>
    <cellStyle name="Accent5 2 2 3" xfId="1279"/>
    <cellStyle name="Accent5 2 2 4" xfId="1280"/>
    <cellStyle name="Accent5 2 2 5" xfId="1281"/>
    <cellStyle name="Accent5 2 2 6" xfId="1282"/>
    <cellStyle name="Accent5 2 3" xfId="1283"/>
    <cellStyle name="Accent5 2 4" xfId="1284"/>
    <cellStyle name="Accent5 2 5" xfId="1285"/>
    <cellStyle name="Accent5 2 6" xfId="1286"/>
    <cellStyle name="Accent5 2 7" xfId="1287"/>
    <cellStyle name="Accent5 2 8" xfId="1288"/>
    <cellStyle name="Accent5 2 9" xfId="1289"/>
    <cellStyle name="Accent5 20" xfId="1290"/>
    <cellStyle name="Accent5 21" xfId="1291"/>
    <cellStyle name="Accent5 22" xfId="1292"/>
    <cellStyle name="Accent5 23" xfId="1293"/>
    <cellStyle name="Accent5 3" xfId="1294"/>
    <cellStyle name="Accent5 4" xfId="1295"/>
    <cellStyle name="Accent5 5" xfId="1296"/>
    <cellStyle name="Accent5 6" xfId="1297"/>
    <cellStyle name="Accent5 7" xfId="1298"/>
    <cellStyle name="Accent5 8" xfId="1299"/>
    <cellStyle name="Accent5 9" xfId="1300"/>
    <cellStyle name="Accent6 10" xfId="1301"/>
    <cellStyle name="Accent6 11" xfId="1302"/>
    <cellStyle name="Accent6 12" xfId="1303"/>
    <cellStyle name="Accent6 13" xfId="1304"/>
    <cellStyle name="Accent6 14" xfId="1305"/>
    <cellStyle name="Accent6 15" xfId="1306"/>
    <cellStyle name="Accent6 16" xfId="1307"/>
    <cellStyle name="Accent6 17" xfId="1308"/>
    <cellStyle name="Accent6 18" xfId="1309"/>
    <cellStyle name="Accent6 19" xfId="1310"/>
    <cellStyle name="Accent6 2" xfId="1311"/>
    <cellStyle name="Accent6 2 10" xfId="1312"/>
    <cellStyle name="Accent6 2 2" xfId="1313"/>
    <cellStyle name="Accent6 2 2 2" xfId="1314"/>
    <cellStyle name="Accent6 2 2 2 2" xfId="1315"/>
    <cellStyle name="Accent6 2 2 2 2 2" xfId="1316"/>
    <cellStyle name="Accent6 2 2 2 2 3" xfId="1317"/>
    <cellStyle name="Accent6 2 2 2 3" xfId="1318"/>
    <cellStyle name="Accent6 2 2 2 4" xfId="1319"/>
    <cellStyle name="Accent6 2 2 2 5" xfId="1320"/>
    <cellStyle name="Accent6 2 2 2 6" xfId="1321"/>
    <cellStyle name="Accent6 2 2 3" xfId="1322"/>
    <cellStyle name="Accent6 2 2 4" xfId="1323"/>
    <cellStyle name="Accent6 2 2 5" xfId="1324"/>
    <cellStyle name="Accent6 2 2 6" xfId="1325"/>
    <cellStyle name="Accent6 2 3" xfId="1326"/>
    <cellStyle name="Accent6 2 4" xfId="1327"/>
    <cellStyle name="Accent6 2 5" xfId="1328"/>
    <cellStyle name="Accent6 2 6" xfId="1329"/>
    <cellStyle name="Accent6 2 7" xfId="1330"/>
    <cellStyle name="Accent6 2 8" xfId="1331"/>
    <cellStyle name="Accent6 2 9" xfId="1332"/>
    <cellStyle name="Accent6 20" xfId="1333"/>
    <cellStyle name="Accent6 21" xfId="1334"/>
    <cellStyle name="Accent6 22" xfId="1335"/>
    <cellStyle name="Accent6 23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10" xfId="1344"/>
    <cellStyle name="Bad 11" xfId="1345"/>
    <cellStyle name="Bad 12" xfId="1346"/>
    <cellStyle name="Bad 13" xfId="1347"/>
    <cellStyle name="Bad 14" xfId="1348"/>
    <cellStyle name="Bad 15" xfId="1349"/>
    <cellStyle name="Bad 16" xfId="1350"/>
    <cellStyle name="Bad 17" xfId="1351"/>
    <cellStyle name="Bad 18" xfId="1352"/>
    <cellStyle name="Bad 19" xfId="1353"/>
    <cellStyle name="Bad 2" xfId="1354"/>
    <cellStyle name="Bad 2 10" xfId="1355"/>
    <cellStyle name="Bad 2 2" xfId="1356"/>
    <cellStyle name="Bad 2 2 2" xfId="1357"/>
    <cellStyle name="Bad 2 2 2 2" xfId="1358"/>
    <cellStyle name="Bad 2 2 2 2 2" xfId="1359"/>
    <cellStyle name="Bad 2 2 2 2 3" xfId="1360"/>
    <cellStyle name="Bad 2 2 2 3" xfId="1361"/>
    <cellStyle name="Bad 2 2 2 4" xfId="1362"/>
    <cellStyle name="Bad 2 2 2 5" xfId="1363"/>
    <cellStyle name="Bad 2 2 2 6" xfId="1364"/>
    <cellStyle name="Bad 2 2 3" xfId="1365"/>
    <cellStyle name="Bad 2 2 4" xfId="1366"/>
    <cellStyle name="Bad 2 2 5" xfId="1367"/>
    <cellStyle name="Bad 2 2 6" xfId="1368"/>
    <cellStyle name="Bad 2 3" xfId="1369"/>
    <cellStyle name="Bad 2 4" xfId="1370"/>
    <cellStyle name="Bad 2 5" xfId="1371"/>
    <cellStyle name="Bad 2 6" xfId="1372"/>
    <cellStyle name="Bad 2 7" xfId="1373"/>
    <cellStyle name="Bad 2 8" xfId="1374"/>
    <cellStyle name="Bad 2 9" xfId="1375"/>
    <cellStyle name="Bad 20" xfId="1376"/>
    <cellStyle name="Bad 21" xfId="1377"/>
    <cellStyle name="Bad 22" xfId="1378"/>
    <cellStyle name="Bad 23" xfId="1379"/>
    <cellStyle name="Bad 3" xfId="1380"/>
    <cellStyle name="Bad 4" xfId="1381"/>
    <cellStyle name="Bad 5" xfId="1382"/>
    <cellStyle name="Bad 6" xfId="1383"/>
    <cellStyle name="Bad 7" xfId="1384"/>
    <cellStyle name="Bad 8" xfId="1385"/>
    <cellStyle name="Bad 9" xfId="1386"/>
    <cellStyle name="Calculation 10" xfId="1387"/>
    <cellStyle name="Calculation 11" xfId="1388"/>
    <cellStyle name="Calculation 12" xfId="1389"/>
    <cellStyle name="Calculation 13" xfId="1390"/>
    <cellStyle name="Calculation 14" xfId="1391"/>
    <cellStyle name="Calculation 15" xfId="1392"/>
    <cellStyle name="Calculation 16" xfId="1393"/>
    <cellStyle name="Calculation 17" xfId="1394"/>
    <cellStyle name="Calculation 18" xfId="1395"/>
    <cellStyle name="Calculation 19" xfId="1396"/>
    <cellStyle name="Calculation 2" xfId="1397"/>
    <cellStyle name="Calculation 2 10" xfId="1398"/>
    <cellStyle name="Calculation 2 2" xfId="1399"/>
    <cellStyle name="Calculation 2 2 2" xfId="1400"/>
    <cellStyle name="Calculation 2 2 2 2" xfId="1401"/>
    <cellStyle name="Calculation 2 2 2 2 2" xfId="1402"/>
    <cellStyle name="Calculation 2 2 2 2 3" xfId="1403"/>
    <cellStyle name="Calculation 2 2 2 3" xfId="1404"/>
    <cellStyle name="Calculation 2 2 2 4" xfId="1405"/>
    <cellStyle name="Calculation 2 2 2 5" xfId="1406"/>
    <cellStyle name="Calculation 2 2 2 6" xfId="1407"/>
    <cellStyle name="Calculation 2 2 3" xfId="1408"/>
    <cellStyle name="Calculation 2 2 4" xfId="1409"/>
    <cellStyle name="Calculation 2 2 5" xfId="1410"/>
    <cellStyle name="Calculation 2 2 6" xfId="1411"/>
    <cellStyle name="Calculation 2 3" xfId="1412"/>
    <cellStyle name="Calculation 2 4" xfId="1413"/>
    <cellStyle name="Calculation 2 5" xfId="1414"/>
    <cellStyle name="Calculation 2 6" xfId="1415"/>
    <cellStyle name="Calculation 2 7" xfId="1416"/>
    <cellStyle name="Calculation 2 8" xfId="1417"/>
    <cellStyle name="Calculation 2 9" xfId="1418"/>
    <cellStyle name="Calculation 20" xfId="1419"/>
    <cellStyle name="Calculation 21" xfId="1420"/>
    <cellStyle name="Calculation 22" xfId="1421"/>
    <cellStyle name="Calculation 23" xfId="1422"/>
    <cellStyle name="Calculation 3" xfId="1423"/>
    <cellStyle name="Calculation 4" xfId="1424"/>
    <cellStyle name="Calculation 5" xfId="1425"/>
    <cellStyle name="Calculation 6" xfId="1426"/>
    <cellStyle name="Calculation 7" xfId="1427"/>
    <cellStyle name="Calculation 8" xfId="1428"/>
    <cellStyle name="Calculation 9" xfId="1429"/>
    <cellStyle name="Check Cell 10" xfId="1430"/>
    <cellStyle name="Check Cell 11" xfId="1431"/>
    <cellStyle name="Check Cell 12" xfId="1432"/>
    <cellStyle name="Check Cell 13" xfId="1433"/>
    <cellStyle name="Check Cell 14" xfId="1434"/>
    <cellStyle name="Check Cell 15" xfId="1435"/>
    <cellStyle name="Check Cell 16" xfId="1436"/>
    <cellStyle name="Check Cell 17" xfId="1437"/>
    <cellStyle name="Check Cell 18" xfId="1438"/>
    <cellStyle name="Check Cell 19" xfId="1439"/>
    <cellStyle name="Check Cell 2" xfId="1440"/>
    <cellStyle name="Check Cell 2 10" xfId="1441"/>
    <cellStyle name="Check Cell 2 2" xfId="1442"/>
    <cellStyle name="Check Cell 2 2 2" xfId="1443"/>
    <cellStyle name="Check Cell 2 2 2 2" xfId="1444"/>
    <cellStyle name="Check Cell 2 2 2 2 2" xfId="1445"/>
    <cellStyle name="Check Cell 2 2 2 2 3" xfId="1446"/>
    <cellStyle name="Check Cell 2 2 2 3" xfId="1447"/>
    <cellStyle name="Check Cell 2 2 2 4" xfId="1448"/>
    <cellStyle name="Check Cell 2 2 2 5" xfId="1449"/>
    <cellStyle name="Check Cell 2 2 2 6" xfId="1450"/>
    <cellStyle name="Check Cell 2 2 3" xfId="1451"/>
    <cellStyle name="Check Cell 2 2 4" xfId="1452"/>
    <cellStyle name="Check Cell 2 2 5" xfId="1453"/>
    <cellStyle name="Check Cell 2 2 6" xfId="1454"/>
    <cellStyle name="Check Cell 2 3" xfId="1455"/>
    <cellStyle name="Check Cell 2 4" xfId="1456"/>
    <cellStyle name="Check Cell 2 5" xfId="1457"/>
    <cellStyle name="Check Cell 2 6" xfId="1458"/>
    <cellStyle name="Check Cell 2 7" xfId="1459"/>
    <cellStyle name="Check Cell 2 8" xfId="1460"/>
    <cellStyle name="Check Cell 2 9" xfId="1461"/>
    <cellStyle name="Check Cell 20" xfId="1462"/>
    <cellStyle name="Check Cell 21" xfId="1463"/>
    <cellStyle name="Check Cell 22" xfId="1464"/>
    <cellStyle name="Check Cell 23" xfId="1465"/>
    <cellStyle name="Check Cell 3" xfId="1466"/>
    <cellStyle name="Check Cell 4" xfId="1467"/>
    <cellStyle name="Check Cell 5" xfId="1468"/>
    <cellStyle name="Check Cell 6" xfId="1469"/>
    <cellStyle name="Check Cell 7" xfId="1470"/>
    <cellStyle name="Check Cell 8" xfId="1471"/>
    <cellStyle name="Check Cell 9" xfId="1472"/>
    <cellStyle name="ColumnAttributeAbovePrompt" xfId="1473"/>
    <cellStyle name="ColumnAttributePrompt" xfId="1474"/>
    <cellStyle name="ColumnAttributeValue" xfId="1475"/>
    <cellStyle name="ColumnHeadingPrompt" xfId="1476"/>
    <cellStyle name="ColumnHeadingValue" xfId="1477"/>
    <cellStyle name="Comma" xfId="1" builtinId="3"/>
    <cellStyle name="Comma 10" xfId="1478"/>
    <cellStyle name="Comma 11" xfId="1479"/>
    <cellStyle name="Comma 12" xfId="1480"/>
    <cellStyle name="Comma 13" xfId="1481"/>
    <cellStyle name="Comma 14" xfId="1482"/>
    <cellStyle name="Comma 15" xfId="1483"/>
    <cellStyle name="Comma 16" xfId="1484"/>
    <cellStyle name="Comma 17" xfId="1485"/>
    <cellStyle name="Comma 18" xfId="8"/>
    <cellStyle name="Comma 2" xfId="5"/>
    <cellStyle name="Comma 2 10" xfId="1486"/>
    <cellStyle name="Comma 2 11" xfId="1487"/>
    <cellStyle name="Comma 2 12" xfId="1488"/>
    <cellStyle name="Comma 2 13" xfId="1489"/>
    <cellStyle name="Comma 2 14" xfId="1490"/>
    <cellStyle name="Comma 2 15" xfId="1491"/>
    <cellStyle name="Comma 2 16" xfId="1492"/>
    <cellStyle name="Comma 2 17" xfId="1493"/>
    <cellStyle name="Comma 2 18" xfId="1494"/>
    <cellStyle name="Comma 2 19" xfId="1495"/>
    <cellStyle name="Comma 2 2" xfId="1496"/>
    <cellStyle name="Comma 2 20" xfId="1497"/>
    <cellStyle name="Comma 2 21" xfId="1498"/>
    <cellStyle name="Comma 2 22" xfId="1499"/>
    <cellStyle name="Comma 2 3" xfId="1500"/>
    <cellStyle name="Comma 2 4" xfId="1501"/>
    <cellStyle name="Comma 2 5" xfId="1502"/>
    <cellStyle name="Comma 2 6" xfId="1503"/>
    <cellStyle name="Comma 2 7" xfId="1504"/>
    <cellStyle name="Comma 2 8" xfId="1505"/>
    <cellStyle name="Comma 2 9" xfId="1506"/>
    <cellStyle name="Comma 3" xfId="10"/>
    <cellStyle name="Comma 3 2" xfId="1507"/>
    <cellStyle name="Comma 3 3" xfId="1508"/>
    <cellStyle name="Comma 3 4" xfId="1509"/>
    <cellStyle name="Comma 3 5" xfId="1510"/>
    <cellStyle name="Comma 4" xfId="1511"/>
    <cellStyle name="Comma 4 2" xfId="1512"/>
    <cellStyle name="Comma 4 3" xfId="1513"/>
    <cellStyle name="Comma 4 4" xfId="1514"/>
    <cellStyle name="Comma 4 5" xfId="1515"/>
    <cellStyle name="Comma 5" xfId="1516"/>
    <cellStyle name="Comma 6" xfId="1517"/>
    <cellStyle name="Comma 7" xfId="1518"/>
    <cellStyle name="Comma 8" xfId="1519"/>
    <cellStyle name="Comma 9" xfId="1520"/>
    <cellStyle name="Comma0" xfId="1521"/>
    <cellStyle name="Currency" xfId="2" builtinId="4"/>
    <cellStyle name="Currency 2" xfId="11"/>
    <cellStyle name="Currency 2 2" xfId="1522"/>
    <cellStyle name="Currency 2 2 2" xfId="1523"/>
    <cellStyle name="Currency 2 2 3" xfId="1524"/>
    <cellStyle name="Currency 2 3" xfId="1525"/>
    <cellStyle name="Currency 2 4" xfId="1526"/>
    <cellStyle name="Currency 2 5" xfId="1527"/>
    <cellStyle name="Currency 2 6" xfId="1528"/>
    <cellStyle name="Currency 3" xfId="1529"/>
    <cellStyle name="Currency 3 2" xfId="1530"/>
    <cellStyle name="Currency 3 3" xfId="1531"/>
    <cellStyle name="Currency 3 4" xfId="1532"/>
    <cellStyle name="Currency 3 5" xfId="1533"/>
    <cellStyle name="Currency 4" xfId="1534"/>
    <cellStyle name="Currency 5" xfId="2384"/>
    <cellStyle name="Currency0" xfId="1535"/>
    <cellStyle name="Date" xfId="1536"/>
    <cellStyle name="Euro" xfId="1537"/>
    <cellStyle name="Explanatory Text 10" xfId="1538"/>
    <cellStyle name="Explanatory Text 11" xfId="1539"/>
    <cellStyle name="Explanatory Text 12" xfId="1540"/>
    <cellStyle name="Explanatory Text 13" xfId="1541"/>
    <cellStyle name="Explanatory Text 14" xfId="1542"/>
    <cellStyle name="Explanatory Text 15" xfId="1543"/>
    <cellStyle name="Explanatory Text 16" xfId="1544"/>
    <cellStyle name="Explanatory Text 17" xfId="1545"/>
    <cellStyle name="Explanatory Text 18" xfId="1546"/>
    <cellStyle name="Explanatory Text 19" xfId="1547"/>
    <cellStyle name="Explanatory Text 2" xfId="1548"/>
    <cellStyle name="Explanatory Text 2 10" xfId="1549"/>
    <cellStyle name="Explanatory Text 2 2" xfId="1550"/>
    <cellStyle name="Explanatory Text 2 2 2" xfId="1551"/>
    <cellStyle name="Explanatory Text 2 2 2 2" xfId="1552"/>
    <cellStyle name="Explanatory Text 2 2 2 2 2" xfId="1553"/>
    <cellStyle name="Explanatory Text 2 2 2 2 3" xfId="1554"/>
    <cellStyle name="Explanatory Text 2 2 2 3" xfId="1555"/>
    <cellStyle name="Explanatory Text 2 2 2 4" xfId="1556"/>
    <cellStyle name="Explanatory Text 2 2 2 5" xfId="1557"/>
    <cellStyle name="Explanatory Text 2 2 2 6" xfId="1558"/>
    <cellStyle name="Explanatory Text 2 2 3" xfId="1559"/>
    <cellStyle name="Explanatory Text 2 2 4" xfId="1560"/>
    <cellStyle name="Explanatory Text 2 2 5" xfId="1561"/>
    <cellStyle name="Explanatory Text 2 2 6" xfId="1562"/>
    <cellStyle name="Explanatory Text 2 3" xfId="1563"/>
    <cellStyle name="Explanatory Text 2 4" xfId="1564"/>
    <cellStyle name="Explanatory Text 2 5" xfId="1565"/>
    <cellStyle name="Explanatory Text 2 6" xfId="1566"/>
    <cellStyle name="Explanatory Text 2 7" xfId="1567"/>
    <cellStyle name="Explanatory Text 2 8" xfId="1568"/>
    <cellStyle name="Explanatory Text 2 9" xfId="1569"/>
    <cellStyle name="Explanatory Text 20" xfId="1570"/>
    <cellStyle name="Explanatory Text 21" xfId="1571"/>
    <cellStyle name="Explanatory Text 22" xfId="1572"/>
    <cellStyle name="Explanatory Text 23" xfId="1573"/>
    <cellStyle name="Explanatory Text 3" xfId="1574"/>
    <cellStyle name="Explanatory Text 4" xfId="1575"/>
    <cellStyle name="Explanatory Text 5" xfId="1576"/>
    <cellStyle name="Explanatory Text 6" xfId="1577"/>
    <cellStyle name="Explanatory Text 7" xfId="1578"/>
    <cellStyle name="Explanatory Text 8" xfId="1579"/>
    <cellStyle name="Explanatory Text 9" xfId="1580"/>
    <cellStyle name="F2" xfId="1581"/>
    <cellStyle name="F2 2" xfId="1582"/>
    <cellStyle name="F2 3" xfId="1583"/>
    <cellStyle name="F2 4" xfId="1584"/>
    <cellStyle name="F2 5" xfId="1585"/>
    <cellStyle name="F2 6" xfId="1586"/>
    <cellStyle name="F2 7" xfId="1587"/>
    <cellStyle name="F3" xfId="1588"/>
    <cellStyle name="F3 2" xfId="1589"/>
    <cellStyle name="F3 3" xfId="1590"/>
    <cellStyle name="F3 4" xfId="1591"/>
    <cellStyle name="F3 5" xfId="1592"/>
    <cellStyle name="F3 6" xfId="1593"/>
    <cellStyle name="F3 7" xfId="1594"/>
    <cellStyle name="F4" xfId="1595"/>
    <cellStyle name="F4 2" xfId="1596"/>
    <cellStyle name="F4 3" xfId="1597"/>
    <cellStyle name="F4 4" xfId="1598"/>
    <cellStyle name="F4 5" xfId="1599"/>
    <cellStyle name="F4 6" xfId="1600"/>
    <cellStyle name="F4 7" xfId="1601"/>
    <cellStyle name="F5" xfId="1602"/>
    <cellStyle name="F5 2" xfId="1603"/>
    <cellStyle name="F5 3" xfId="1604"/>
    <cellStyle name="F5 4" xfId="1605"/>
    <cellStyle name="F5 5" xfId="1606"/>
    <cellStyle name="F5 6" xfId="1607"/>
    <cellStyle name="F5 7" xfId="1608"/>
    <cellStyle name="F6" xfId="1609"/>
    <cellStyle name="F6 2" xfId="1610"/>
    <cellStyle name="F6 3" xfId="1611"/>
    <cellStyle name="F6 4" xfId="1612"/>
    <cellStyle name="F6 5" xfId="1613"/>
    <cellStyle name="F6 6" xfId="1614"/>
    <cellStyle name="F6 7" xfId="1615"/>
    <cellStyle name="F7" xfId="1616"/>
    <cellStyle name="F7 2" xfId="1617"/>
    <cellStyle name="F7 3" xfId="1618"/>
    <cellStyle name="F7 4" xfId="1619"/>
    <cellStyle name="F7 5" xfId="1620"/>
    <cellStyle name="F7 6" xfId="1621"/>
    <cellStyle name="F7 7" xfId="1622"/>
    <cellStyle name="F8" xfId="1623"/>
    <cellStyle name="F8 2" xfId="1624"/>
    <cellStyle name="F8 3" xfId="1625"/>
    <cellStyle name="F8 4" xfId="1626"/>
    <cellStyle name="F8 5" xfId="1627"/>
    <cellStyle name="F8 6" xfId="1628"/>
    <cellStyle name="F8 7" xfId="1629"/>
    <cellStyle name="Fixed" xfId="1630"/>
    <cellStyle name="Good 10" xfId="1631"/>
    <cellStyle name="Good 11" xfId="1632"/>
    <cellStyle name="Good 12" xfId="1633"/>
    <cellStyle name="Good 13" xfId="1634"/>
    <cellStyle name="Good 14" xfId="1635"/>
    <cellStyle name="Good 15" xfId="1636"/>
    <cellStyle name="Good 16" xfId="1637"/>
    <cellStyle name="Good 17" xfId="1638"/>
    <cellStyle name="Good 18" xfId="1639"/>
    <cellStyle name="Good 19" xfId="1640"/>
    <cellStyle name="Good 2" xfId="1641"/>
    <cellStyle name="Good 2 10" xfId="1642"/>
    <cellStyle name="Good 2 2" xfId="1643"/>
    <cellStyle name="Good 2 2 2" xfId="1644"/>
    <cellStyle name="Good 2 2 2 2" xfId="1645"/>
    <cellStyle name="Good 2 2 2 2 2" xfId="1646"/>
    <cellStyle name="Good 2 2 2 2 3" xfId="1647"/>
    <cellStyle name="Good 2 2 2 3" xfId="1648"/>
    <cellStyle name="Good 2 2 2 4" xfId="1649"/>
    <cellStyle name="Good 2 2 2 5" xfId="1650"/>
    <cellStyle name="Good 2 2 2 6" xfId="1651"/>
    <cellStyle name="Good 2 2 3" xfId="1652"/>
    <cellStyle name="Good 2 2 4" xfId="1653"/>
    <cellStyle name="Good 2 2 5" xfId="1654"/>
    <cellStyle name="Good 2 2 6" xfId="1655"/>
    <cellStyle name="Good 2 3" xfId="1656"/>
    <cellStyle name="Good 2 4" xfId="1657"/>
    <cellStyle name="Good 2 5" xfId="1658"/>
    <cellStyle name="Good 2 6" xfId="1659"/>
    <cellStyle name="Good 2 7" xfId="1660"/>
    <cellStyle name="Good 2 8" xfId="1661"/>
    <cellStyle name="Good 2 9" xfId="1662"/>
    <cellStyle name="Good 20" xfId="1663"/>
    <cellStyle name="Good 21" xfId="1664"/>
    <cellStyle name="Good 22" xfId="1665"/>
    <cellStyle name="Good 23" xfId="1666"/>
    <cellStyle name="Good 3" xfId="1667"/>
    <cellStyle name="Good 4" xfId="1668"/>
    <cellStyle name="Good 5" xfId="1669"/>
    <cellStyle name="Good 6" xfId="1670"/>
    <cellStyle name="Good 7" xfId="1671"/>
    <cellStyle name="Good 8" xfId="1672"/>
    <cellStyle name="Good 9" xfId="1673"/>
    <cellStyle name="Heading 1 10" xfId="1674"/>
    <cellStyle name="Heading 1 11" xfId="1675"/>
    <cellStyle name="Heading 1 12" xfId="1676"/>
    <cellStyle name="Heading 1 13" xfId="1677"/>
    <cellStyle name="Heading 1 14" xfId="1678"/>
    <cellStyle name="Heading 1 15" xfId="1679"/>
    <cellStyle name="Heading 1 16" xfId="1680"/>
    <cellStyle name="Heading 1 17" xfId="1681"/>
    <cellStyle name="Heading 1 18" xfId="1682"/>
    <cellStyle name="Heading 1 19" xfId="1683"/>
    <cellStyle name="Heading 1 2" xfId="1684"/>
    <cellStyle name="Heading 1 2 10" xfId="1685"/>
    <cellStyle name="Heading 1 2 2" xfId="1686"/>
    <cellStyle name="Heading 1 2 2 2" xfId="1687"/>
    <cellStyle name="Heading 1 2 2 2 2" xfId="1688"/>
    <cellStyle name="Heading 1 2 2 2 2 2" xfId="1689"/>
    <cellStyle name="Heading 1 2 2 2 2 3" xfId="1690"/>
    <cellStyle name="Heading 1 2 2 2 3" xfId="1691"/>
    <cellStyle name="Heading 1 2 2 2 4" xfId="1692"/>
    <cellStyle name="Heading 1 2 2 2 5" xfId="1693"/>
    <cellStyle name="Heading 1 2 2 2 6" xfId="1694"/>
    <cellStyle name="Heading 1 2 2 3" xfId="1695"/>
    <cellStyle name="Heading 1 2 2 4" xfId="1696"/>
    <cellStyle name="Heading 1 2 2 5" xfId="1697"/>
    <cellStyle name="Heading 1 2 2 6" xfId="1698"/>
    <cellStyle name="Heading 1 2 3" xfId="1699"/>
    <cellStyle name="Heading 1 2 4" xfId="1700"/>
    <cellStyle name="Heading 1 2 5" xfId="1701"/>
    <cellStyle name="Heading 1 2 6" xfId="1702"/>
    <cellStyle name="Heading 1 2 7" xfId="1703"/>
    <cellStyle name="Heading 1 2 8" xfId="1704"/>
    <cellStyle name="Heading 1 2 9" xfId="1705"/>
    <cellStyle name="Heading 1 20" xfId="1706"/>
    <cellStyle name="Heading 1 21" xfId="1707"/>
    <cellStyle name="Heading 1 22" xfId="1708"/>
    <cellStyle name="Heading 1 23" xfId="1709"/>
    <cellStyle name="Heading 1 24" xfId="1710"/>
    <cellStyle name="Heading 1 25" xfId="1711"/>
    <cellStyle name="Heading 1 3" xfId="1712"/>
    <cellStyle name="Heading 1 4" xfId="1713"/>
    <cellStyle name="Heading 1 5" xfId="1714"/>
    <cellStyle name="Heading 1 6" xfId="1715"/>
    <cellStyle name="Heading 1 7" xfId="1716"/>
    <cellStyle name="Heading 1 8" xfId="1717"/>
    <cellStyle name="Heading 1 9" xfId="1718"/>
    <cellStyle name="Heading 2 10" xfId="1719"/>
    <cellStyle name="Heading 2 11" xfId="1720"/>
    <cellStyle name="Heading 2 12" xfId="1721"/>
    <cellStyle name="Heading 2 13" xfId="1722"/>
    <cellStyle name="Heading 2 14" xfId="1723"/>
    <cellStyle name="Heading 2 15" xfId="1724"/>
    <cellStyle name="Heading 2 16" xfId="1725"/>
    <cellStyle name="Heading 2 17" xfId="1726"/>
    <cellStyle name="Heading 2 18" xfId="1727"/>
    <cellStyle name="Heading 2 19" xfId="1728"/>
    <cellStyle name="Heading 2 2" xfId="1729"/>
    <cellStyle name="Heading 2 2 10" xfId="1730"/>
    <cellStyle name="Heading 2 2 2" xfId="1731"/>
    <cellStyle name="Heading 2 2 2 2" xfId="1732"/>
    <cellStyle name="Heading 2 2 2 2 2" xfId="1733"/>
    <cellStyle name="Heading 2 2 2 2 2 2" xfId="1734"/>
    <cellStyle name="Heading 2 2 2 2 2 3" xfId="1735"/>
    <cellStyle name="Heading 2 2 2 2 3" xfId="1736"/>
    <cellStyle name="Heading 2 2 2 2 4" xfId="1737"/>
    <cellStyle name="Heading 2 2 2 2 5" xfId="1738"/>
    <cellStyle name="Heading 2 2 2 2 6" xfId="1739"/>
    <cellStyle name="Heading 2 2 2 3" xfId="1740"/>
    <cellStyle name="Heading 2 2 2 4" xfId="1741"/>
    <cellStyle name="Heading 2 2 2 5" xfId="1742"/>
    <cellStyle name="Heading 2 2 2 6" xfId="1743"/>
    <cellStyle name="Heading 2 2 3" xfId="1744"/>
    <cellStyle name="Heading 2 2 4" xfId="1745"/>
    <cellStyle name="Heading 2 2 5" xfId="1746"/>
    <cellStyle name="Heading 2 2 6" xfId="1747"/>
    <cellStyle name="Heading 2 2 7" xfId="1748"/>
    <cellStyle name="Heading 2 2 8" xfId="1749"/>
    <cellStyle name="Heading 2 2 9" xfId="1750"/>
    <cellStyle name="Heading 2 20" xfId="1751"/>
    <cellStyle name="Heading 2 21" xfId="1752"/>
    <cellStyle name="Heading 2 22" xfId="1753"/>
    <cellStyle name="Heading 2 23" xfId="1754"/>
    <cellStyle name="Heading 2 24" xfId="1755"/>
    <cellStyle name="Heading 2 25" xfId="1756"/>
    <cellStyle name="Heading 2 3" xfId="1757"/>
    <cellStyle name="Heading 2 4" xfId="1758"/>
    <cellStyle name="Heading 2 5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10" xfId="1775"/>
    <cellStyle name="Heading 3 2 2" xfId="1776"/>
    <cellStyle name="Heading 3 2 2 2" xfId="1777"/>
    <cellStyle name="Heading 3 2 2 2 2" xfId="1778"/>
    <cellStyle name="Heading 3 2 2 2 2 2" xfId="1779"/>
    <cellStyle name="Heading 3 2 2 2 2 3" xfId="1780"/>
    <cellStyle name="Heading 3 2 2 2 3" xfId="1781"/>
    <cellStyle name="Heading 3 2 2 2 4" xfId="1782"/>
    <cellStyle name="Heading 3 2 2 2 5" xfId="1783"/>
    <cellStyle name="Heading 3 2 2 2 6" xfId="1784"/>
    <cellStyle name="Heading 3 2 2 3" xfId="1785"/>
    <cellStyle name="Heading 3 2 2 4" xfId="1786"/>
    <cellStyle name="Heading 3 2 2 5" xfId="1787"/>
    <cellStyle name="Heading 3 2 2 6" xfId="1788"/>
    <cellStyle name="Heading 3 2 3" xfId="1789"/>
    <cellStyle name="Heading 3 2 4" xfId="1790"/>
    <cellStyle name="Heading 3 2 5" xfId="1791"/>
    <cellStyle name="Heading 3 2 6" xfId="1792"/>
    <cellStyle name="Heading 3 2 7" xfId="1793"/>
    <cellStyle name="Heading 3 2 8" xfId="1794"/>
    <cellStyle name="Heading 3 2 9" xfId="1795"/>
    <cellStyle name="Heading 3 20" xfId="1796"/>
    <cellStyle name="Heading 3 21" xfId="1797"/>
    <cellStyle name="Heading 3 22" xfId="1798"/>
    <cellStyle name="Heading 3 23" xfId="1799"/>
    <cellStyle name="Heading 3 3" xfId="1800"/>
    <cellStyle name="Heading 3 4" xfId="1801"/>
    <cellStyle name="Heading 3 5" xfId="1802"/>
    <cellStyle name="Heading 3 6" xfId="1803"/>
    <cellStyle name="Heading 3 7" xfId="1804"/>
    <cellStyle name="Heading 3 8" xfId="1805"/>
    <cellStyle name="Heading 3 9" xfId="1806"/>
    <cellStyle name="Heading 4 10" xfId="1807"/>
    <cellStyle name="Heading 4 11" xfId="1808"/>
    <cellStyle name="Heading 4 12" xfId="1809"/>
    <cellStyle name="Heading 4 13" xfId="1810"/>
    <cellStyle name="Heading 4 14" xfId="1811"/>
    <cellStyle name="Heading 4 15" xfId="1812"/>
    <cellStyle name="Heading 4 16" xfId="1813"/>
    <cellStyle name="Heading 4 17" xfId="1814"/>
    <cellStyle name="Heading 4 18" xfId="1815"/>
    <cellStyle name="Heading 4 19" xfId="1816"/>
    <cellStyle name="Heading 4 2" xfId="1817"/>
    <cellStyle name="Heading 4 2 10" xfId="1818"/>
    <cellStyle name="Heading 4 2 2" xfId="1819"/>
    <cellStyle name="Heading 4 2 2 2" xfId="1820"/>
    <cellStyle name="Heading 4 2 2 2 2" xfId="1821"/>
    <cellStyle name="Heading 4 2 2 2 2 2" xfId="1822"/>
    <cellStyle name="Heading 4 2 2 2 2 3" xfId="1823"/>
    <cellStyle name="Heading 4 2 2 2 3" xfId="1824"/>
    <cellStyle name="Heading 4 2 2 2 4" xfId="1825"/>
    <cellStyle name="Heading 4 2 2 2 5" xfId="1826"/>
    <cellStyle name="Heading 4 2 2 2 6" xfId="1827"/>
    <cellStyle name="Heading 4 2 2 3" xfId="1828"/>
    <cellStyle name="Heading 4 2 2 4" xfId="1829"/>
    <cellStyle name="Heading 4 2 2 5" xfId="1830"/>
    <cellStyle name="Heading 4 2 2 6" xfId="1831"/>
    <cellStyle name="Heading 4 2 3" xfId="1832"/>
    <cellStyle name="Heading 4 2 4" xfId="1833"/>
    <cellStyle name="Heading 4 2 5" xfId="1834"/>
    <cellStyle name="Heading 4 2 6" xfId="1835"/>
    <cellStyle name="Heading 4 2 7" xfId="1836"/>
    <cellStyle name="Heading 4 2 8" xfId="1837"/>
    <cellStyle name="Heading 4 2 9" xfId="1838"/>
    <cellStyle name="Heading 4 20" xfId="1839"/>
    <cellStyle name="Heading 4 21" xfId="1840"/>
    <cellStyle name="Heading 4 22" xfId="1841"/>
    <cellStyle name="Heading 4 23" xfId="1842"/>
    <cellStyle name="Heading 4 3" xfId="1843"/>
    <cellStyle name="Heading 4 4" xfId="1844"/>
    <cellStyle name="Heading 4 5" xfId="1845"/>
    <cellStyle name="Heading 4 6" xfId="1846"/>
    <cellStyle name="Heading 4 7" xfId="1847"/>
    <cellStyle name="Heading 4 8" xfId="1848"/>
    <cellStyle name="Heading 4 9" xfId="1849"/>
    <cellStyle name="Input 10" xfId="1850"/>
    <cellStyle name="Input 11" xfId="1851"/>
    <cellStyle name="Input 12" xfId="1852"/>
    <cellStyle name="Input 13" xfId="1853"/>
    <cellStyle name="Input 14" xfId="1854"/>
    <cellStyle name="Input 15" xfId="1855"/>
    <cellStyle name="Input 16" xfId="1856"/>
    <cellStyle name="Input 17" xfId="1857"/>
    <cellStyle name="Input 18" xfId="1858"/>
    <cellStyle name="Input 19" xfId="1859"/>
    <cellStyle name="Input 2" xfId="1860"/>
    <cellStyle name="Input 2 10" xfId="1861"/>
    <cellStyle name="Input 2 2" xfId="1862"/>
    <cellStyle name="Input 2 2 2" xfId="1863"/>
    <cellStyle name="Input 2 2 2 2" xfId="1864"/>
    <cellStyle name="Input 2 2 2 2 2" xfId="1865"/>
    <cellStyle name="Input 2 2 2 2 3" xfId="1866"/>
    <cellStyle name="Input 2 2 2 3" xfId="1867"/>
    <cellStyle name="Input 2 2 2 4" xfId="1868"/>
    <cellStyle name="Input 2 2 2 5" xfId="1869"/>
    <cellStyle name="Input 2 2 2 6" xfId="1870"/>
    <cellStyle name="Input 2 2 3" xfId="1871"/>
    <cellStyle name="Input 2 2 4" xfId="1872"/>
    <cellStyle name="Input 2 2 5" xfId="1873"/>
    <cellStyle name="Input 2 2 6" xfId="1874"/>
    <cellStyle name="Input 2 3" xfId="1875"/>
    <cellStyle name="Input 2 4" xfId="1876"/>
    <cellStyle name="Input 2 5" xfId="1877"/>
    <cellStyle name="Input 2 6" xfId="1878"/>
    <cellStyle name="Input 2 7" xfId="1879"/>
    <cellStyle name="Input 2 8" xfId="1880"/>
    <cellStyle name="Input 2 9" xfId="1881"/>
    <cellStyle name="Input 20" xfId="1882"/>
    <cellStyle name="Input 21" xfId="1883"/>
    <cellStyle name="Input 22" xfId="1884"/>
    <cellStyle name="Input 23" xfId="1885"/>
    <cellStyle name="Input 3" xfId="1886"/>
    <cellStyle name="Input 4" xfId="1887"/>
    <cellStyle name="Input 5" xfId="1888"/>
    <cellStyle name="Input 6" xfId="1889"/>
    <cellStyle name="Input 7" xfId="1890"/>
    <cellStyle name="Input 8" xfId="1891"/>
    <cellStyle name="Input 9" xfId="1892"/>
    <cellStyle name="LineItemPrompt" xfId="1893"/>
    <cellStyle name="LineItemValue" xfId="1894"/>
    <cellStyle name="Linked Cell 10" xfId="1895"/>
    <cellStyle name="Linked Cell 11" xfId="1896"/>
    <cellStyle name="Linked Cell 12" xfId="1897"/>
    <cellStyle name="Linked Cell 13" xfId="1898"/>
    <cellStyle name="Linked Cell 14" xfId="1899"/>
    <cellStyle name="Linked Cell 15" xfId="1900"/>
    <cellStyle name="Linked Cell 16" xfId="1901"/>
    <cellStyle name="Linked Cell 17" xfId="1902"/>
    <cellStyle name="Linked Cell 18" xfId="1903"/>
    <cellStyle name="Linked Cell 19" xfId="1904"/>
    <cellStyle name="Linked Cell 2" xfId="1905"/>
    <cellStyle name="Linked Cell 2 10" xfId="1906"/>
    <cellStyle name="Linked Cell 2 2" xfId="1907"/>
    <cellStyle name="Linked Cell 2 2 2" xfId="1908"/>
    <cellStyle name="Linked Cell 2 2 2 2" xfId="1909"/>
    <cellStyle name="Linked Cell 2 2 2 2 2" xfId="1910"/>
    <cellStyle name="Linked Cell 2 2 2 2 3" xfId="1911"/>
    <cellStyle name="Linked Cell 2 2 2 3" xfId="1912"/>
    <cellStyle name="Linked Cell 2 2 2 4" xfId="1913"/>
    <cellStyle name="Linked Cell 2 2 2 5" xfId="1914"/>
    <cellStyle name="Linked Cell 2 2 2 6" xfId="1915"/>
    <cellStyle name="Linked Cell 2 2 3" xfId="1916"/>
    <cellStyle name="Linked Cell 2 2 4" xfId="1917"/>
    <cellStyle name="Linked Cell 2 2 5" xfId="1918"/>
    <cellStyle name="Linked Cell 2 2 6" xfId="1919"/>
    <cellStyle name="Linked Cell 2 3" xfId="1920"/>
    <cellStyle name="Linked Cell 2 4" xfId="1921"/>
    <cellStyle name="Linked Cell 2 5" xfId="1922"/>
    <cellStyle name="Linked Cell 2 6" xfId="1923"/>
    <cellStyle name="Linked Cell 2 7" xfId="1924"/>
    <cellStyle name="Linked Cell 2 8" xfId="1925"/>
    <cellStyle name="Linked Cell 2 9" xfId="1926"/>
    <cellStyle name="Linked Cell 20" xfId="1927"/>
    <cellStyle name="Linked Cell 21" xfId="1928"/>
    <cellStyle name="Linked Cell 22" xfId="1929"/>
    <cellStyle name="Linked Cell 23" xfId="1930"/>
    <cellStyle name="Linked Cell 3" xfId="1931"/>
    <cellStyle name="Linked Cell 4" xfId="1932"/>
    <cellStyle name="Linked Cell 5" xfId="1933"/>
    <cellStyle name="Linked Cell 6" xfId="1934"/>
    <cellStyle name="Linked Cell 7" xfId="1935"/>
    <cellStyle name="Linked Cell 8" xfId="1936"/>
    <cellStyle name="Linked Cell 9" xfId="1937"/>
    <cellStyle name="Neutral 10" xfId="1938"/>
    <cellStyle name="Neutral 11" xfId="1939"/>
    <cellStyle name="Neutral 12" xfId="1940"/>
    <cellStyle name="Neutral 13" xfId="1941"/>
    <cellStyle name="Neutral 14" xfId="1942"/>
    <cellStyle name="Neutral 15" xfId="1943"/>
    <cellStyle name="Neutral 16" xfId="1944"/>
    <cellStyle name="Neutral 17" xfId="1945"/>
    <cellStyle name="Neutral 18" xfId="1946"/>
    <cellStyle name="Neutral 19" xfId="1947"/>
    <cellStyle name="Neutral 2" xfId="1948"/>
    <cellStyle name="Neutral 2 10" xfId="1949"/>
    <cellStyle name="Neutral 2 2" xfId="1950"/>
    <cellStyle name="Neutral 2 2 2" xfId="1951"/>
    <cellStyle name="Neutral 2 2 2 2" xfId="1952"/>
    <cellStyle name="Neutral 2 2 2 2 2" xfId="1953"/>
    <cellStyle name="Neutral 2 2 2 2 3" xfId="1954"/>
    <cellStyle name="Neutral 2 2 2 3" xfId="1955"/>
    <cellStyle name="Neutral 2 2 2 4" xfId="1956"/>
    <cellStyle name="Neutral 2 2 2 5" xfId="1957"/>
    <cellStyle name="Neutral 2 2 2 6" xfId="1958"/>
    <cellStyle name="Neutral 2 2 3" xfId="1959"/>
    <cellStyle name="Neutral 2 2 4" xfId="1960"/>
    <cellStyle name="Neutral 2 2 5" xfId="1961"/>
    <cellStyle name="Neutral 2 2 6" xfId="1962"/>
    <cellStyle name="Neutral 2 3" xfId="1963"/>
    <cellStyle name="Neutral 2 4" xfId="1964"/>
    <cellStyle name="Neutral 2 5" xfId="1965"/>
    <cellStyle name="Neutral 2 6" xfId="1966"/>
    <cellStyle name="Neutral 2 7" xfId="1967"/>
    <cellStyle name="Neutral 2 8" xfId="1968"/>
    <cellStyle name="Neutral 2 9" xfId="1969"/>
    <cellStyle name="Neutral 20" xfId="1970"/>
    <cellStyle name="Neutral 21" xfId="1971"/>
    <cellStyle name="Neutral 22" xfId="1972"/>
    <cellStyle name="Neutral 23" xfId="1973"/>
    <cellStyle name="Neutral 3" xfId="1974"/>
    <cellStyle name="Neutral 4" xfId="1975"/>
    <cellStyle name="Neutral 5" xfId="1976"/>
    <cellStyle name="Neutral 6" xfId="1977"/>
    <cellStyle name="Neutral 7" xfId="1978"/>
    <cellStyle name="Neutral 8" xfId="1979"/>
    <cellStyle name="Neutral 9" xfId="1980"/>
    <cellStyle name="Normal" xfId="0" builtinId="0"/>
    <cellStyle name="Normal 10" xfId="1981"/>
    <cellStyle name="Normal 11" xfId="1982"/>
    <cellStyle name="Normal 11 2" xfId="1983"/>
    <cellStyle name="Normal 11 3" xfId="1984"/>
    <cellStyle name="Normal 11 4" xfId="1985"/>
    <cellStyle name="Normal 11 5" xfId="1986"/>
    <cellStyle name="Normal 12" xfId="1987"/>
    <cellStyle name="Normal 13" xfId="1988"/>
    <cellStyle name="Normal 13 2" xfId="1989"/>
    <cellStyle name="Normal 13 3" xfId="1990"/>
    <cellStyle name="Normal 13 4" xfId="1991"/>
    <cellStyle name="Normal 13 5" xfId="1992"/>
    <cellStyle name="Normal 14" xfId="1993"/>
    <cellStyle name="Normal 15" xfId="1994"/>
    <cellStyle name="Normal 16" xfId="1995"/>
    <cellStyle name="Normal 17" xfId="1996"/>
    <cellStyle name="Normal 18" xfId="1997"/>
    <cellStyle name="Normal 19" xfId="1998"/>
    <cellStyle name="Normal 2" xfId="6"/>
    <cellStyle name="Normal 2 10" xfId="1999"/>
    <cellStyle name="Normal 2 11" xfId="2000"/>
    <cellStyle name="Normal 2 12" xfId="2001"/>
    <cellStyle name="Normal 2 13" xfId="2002"/>
    <cellStyle name="Normal 2 14" xfId="2003"/>
    <cellStyle name="Normal 2 15" xfId="2004"/>
    <cellStyle name="Normal 2 16" xfId="2005"/>
    <cellStyle name="Normal 2 17" xfId="2006"/>
    <cellStyle name="Normal 2 18" xfId="2007"/>
    <cellStyle name="Normal 2 19" xfId="2008"/>
    <cellStyle name="Normal 2 19 2" xfId="2009"/>
    <cellStyle name="Normal 2 19 3" xfId="2010"/>
    <cellStyle name="Normal 2 19 4" xfId="2011"/>
    <cellStyle name="Normal 2 19 5" xfId="2012"/>
    <cellStyle name="Normal 2 2" xfId="9"/>
    <cellStyle name="Normal 2 2 2" xfId="2013"/>
    <cellStyle name="Normal 2 2 2 2" xfId="2014"/>
    <cellStyle name="Normal 2 2 2 3" xfId="2015"/>
    <cellStyle name="Normal 2 2 3" xfId="2016"/>
    <cellStyle name="Normal 2 20" xfId="2017"/>
    <cellStyle name="Normal 2 21" xfId="2018"/>
    <cellStyle name="Normal 2 22" xfId="2019"/>
    <cellStyle name="Normal 2 23" xfId="2020"/>
    <cellStyle name="Normal 2 24" xfId="2021"/>
    <cellStyle name="Normal 2 25" xfId="2022"/>
    <cellStyle name="Normal 2 26" xfId="2023"/>
    <cellStyle name="Normal 2 3" xfId="2024"/>
    <cellStyle name="Normal 2 4" xfId="2025"/>
    <cellStyle name="Normal 2 5" xfId="2026"/>
    <cellStyle name="Normal 2 6" xfId="2027"/>
    <cellStyle name="Normal 2 7" xfId="2028"/>
    <cellStyle name="Normal 2 8" xfId="2029"/>
    <cellStyle name="Normal 2 9" xfId="2030"/>
    <cellStyle name="Normal 20" xfId="2031"/>
    <cellStyle name="Normal 20 2" xfId="2032"/>
    <cellStyle name="Normal 20 3" xfId="2033"/>
    <cellStyle name="Normal 20 4" xfId="2034"/>
    <cellStyle name="Normal 20 5" xfId="2035"/>
    <cellStyle name="Normal 21" xfId="2036"/>
    <cellStyle name="Normal 22" xfId="2037"/>
    <cellStyle name="Normal 23" xfId="2038"/>
    <cellStyle name="Normal 24" xfId="2039"/>
    <cellStyle name="Normal 25" xfId="2040"/>
    <cellStyle name="Normal 26" xfId="2041"/>
    <cellStyle name="Normal 27" xfId="2042"/>
    <cellStyle name="Normal 28" xfId="2043"/>
    <cellStyle name="Normal 29" xfId="2044"/>
    <cellStyle name="Normal 3" xfId="4"/>
    <cellStyle name="Normal 3 10" xfId="2045"/>
    <cellStyle name="Normal 3 11" xfId="2046"/>
    <cellStyle name="Normal 3 12" xfId="2047"/>
    <cellStyle name="Normal 3 13" xfId="2048"/>
    <cellStyle name="Normal 3 14" xfId="2049"/>
    <cellStyle name="Normal 3 15" xfId="2050"/>
    <cellStyle name="Normal 3 16" xfId="2051"/>
    <cellStyle name="Normal 3 17" xfId="2052"/>
    <cellStyle name="Normal 3 18" xfId="2053"/>
    <cellStyle name="Normal 3 2" xfId="2054"/>
    <cellStyle name="Normal 3 3" xfId="2055"/>
    <cellStyle name="Normal 3 4" xfId="2056"/>
    <cellStyle name="Normal 3 5" xfId="2057"/>
    <cellStyle name="Normal 3 6" xfId="2058"/>
    <cellStyle name="Normal 3 7" xfId="2059"/>
    <cellStyle name="Normal 3 8" xfId="2060"/>
    <cellStyle name="Normal 3 9" xfId="2061"/>
    <cellStyle name="Normal 30" xfId="2062"/>
    <cellStyle name="Normal 31" xfId="2063"/>
    <cellStyle name="Normal 31 2" xfId="2064"/>
    <cellStyle name="Normal 31 3" xfId="2065"/>
    <cellStyle name="Normal 31 4" xfId="2066"/>
    <cellStyle name="Normal 31 5" xfId="2067"/>
    <cellStyle name="Normal 32" xfId="2068"/>
    <cellStyle name="Normal 33" xfId="2069"/>
    <cellStyle name="Normal 34" xfId="2070"/>
    <cellStyle name="Normal 35" xfId="2071"/>
    <cellStyle name="Normal 36" xfId="2383"/>
    <cellStyle name="Normal 36 2" xfId="2072"/>
    <cellStyle name="Normal 36 3" xfId="2073"/>
    <cellStyle name="Normal 36 4" xfId="2074"/>
    <cellStyle name="Normal 36 5" xfId="2075"/>
    <cellStyle name="Normal 37" xfId="2076"/>
    <cellStyle name="Normal 38" xfId="2077"/>
    <cellStyle name="Normal 39" xfId="2386"/>
    <cellStyle name="Normal 4" xfId="2078"/>
    <cellStyle name="Normal 40" xfId="2079"/>
    <cellStyle name="Normal 42" xfId="2080"/>
    <cellStyle name="Normal 43" xfId="2081"/>
    <cellStyle name="Normal 45" xfId="2082"/>
    <cellStyle name="Normal 46" xfId="2083"/>
    <cellStyle name="Normal 48" xfId="2084"/>
    <cellStyle name="Normal 49" xfId="2085"/>
    <cellStyle name="Normal 5" xfId="2086"/>
    <cellStyle name="Normal 50" xfId="2087"/>
    <cellStyle name="Normal 51" xfId="2088"/>
    <cellStyle name="Normal 52" xfId="2089"/>
    <cellStyle name="Normal 6" xfId="2090"/>
    <cellStyle name="Normal 7" xfId="2091"/>
    <cellStyle name="Normal 8" xfId="2092"/>
    <cellStyle name="Normal 9" xfId="2093"/>
    <cellStyle name="Note 10" xfId="2094"/>
    <cellStyle name="Note 10 2" xfId="2095"/>
    <cellStyle name="Note 10 3" xfId="2096"/>
    <cellStyle name="Note 10 4" xfId="2097"/>
    <cellStyle name="Note 10 5" xfId="2098"/>
    <cellStyle name="Note 11" xfId="2099"/>
    <cellStyle name="Note 11 2" xfId="2100"/>
    <cellStyle name="Note 11 3" xfId="2101"/>
    <cellStyle name="Note 11 4" xfId="2102"/>
    <cellStyle name="Note 11 5" xfId="2103"/>
    <cellStyle name="Note 12" xfId="2104"/>
    <cellStyle name="Note 13" xfId="2105"/>
    <cellStyle name="Note 14" xfId="2106"/>
    <cellStyle name="Note 15" xfId="2107"/>
    <cellStyle name="Note 15 2" xfId="2108"/>
    <cellStyle name="Note 15 3" xfId="2109"/>
    <cellStyle name="Note 15 4" xfId="2110"/>
    <cellStyle name="Note 15 5" xfId="2111"/>
    <cellStyle name="Note 16" xfId="2112"/>
    <cellStyle name="Note 16 2" xfId="2113"/>
    <cellStyle name="Note 16 3" xfId="2114"/>
    <cellStyle name="Note 16 4" xfId="2115"/>
    <cellStyle name="Note 16 5" xfId="2116"/>
    <cellStyle name="Note 17" xfId="2117"/>
    <cellStyle name="Note 18" xfId="2118"/>
    <cellStyle name="Note 18 2" xfId="2119"/>
    <cellStyle name="Note 18 3" xfId="2120"/>
    <cellStyle name="Note 18 4" xfId="2121"/>
    <cellStyle name="Note 18 5" xfId="2122"/>
    <cellStyle name="Note 19" xfId="2123"/>
    <cellStyle name="Note 2" xfId="2124"/>
    <cellStyle name="Note 2 2" xfId="2125"/>
    <cellStyle name="Note 2 2 2" xfId="2126"/>
    <cellStyle name="Note 2 2 3" xfId="2127"/>
    <cellStyle name="Note 2 3" xfId="2128"/>
    <cellStyle name="Note 20" xfId="2129"/>
    <cellStyle name="Note 21" xfId="2130"/>
    <cellStyle name="Note 22" xfId="2131"/>
    <cellStyle name="Note 23" xfId="2132"/>
    <cellStyle name="Note 24" xfId="2133"/>
    <cellStyle name="Note 25" xfId="2134"/>
    <cellStyle name="Note 26" xfId="2135"/>
    <cellStyle name="Note 27" xfId="2136"/>
    <cellStyle name="Note 28" xfId="2137"/>
    <cellStyle name="Note 29" xfId="2138"/>
    <cellStyle name="Note 3" xfId="2139"/>
    <cellStyle name="Note 30" xfId="2140"/>
    <cellStyle name="Note 31" xfId="2141"/>
    <cellStyle name="Note 32" xfId="2142"/>
    <cellStyle name="Note 33" xfId="2143"/>
    <cellStyle name="Note 34" xfId="2144"/>
    <cellStyle name="Note 35" xfId="2145"/>
    <cellStyle name="Note 4" xfId="2146"/>
    <cellStyle name="Note 5" xfId="2147"/>
    <cellStyle name="Note 6" xfId="2148"/>
    <cellStyle name="Note 7" xfId="2149"/>
    <cellStyle name="Note 8" xfId="2150"/>
    <cellStyle name="Note 9" xfId="2151"/>
    <cellStyle name="Note 9 2" xfId="2152"/>
    <cellStyle name="Note 9 3" xfId="2153"/>
    <cellStyle name="Note 9 4" xfId="2154"/>
    <cellStyle name="Note 9 5" xfId="2155"/>
    <cellStyle name="Output 10" xfId="2156"/>
    <cellStyle name="Output 11" xfId="2157"/>
    <cellStyle name="Output 12" xfId="2158"/>
    <cellStyle name="Output 13" xfId="2159"/>
    <cellStyle name="Output 14" xfId="2160"/>
    <cellStyle name="Output 15" xfId="2161"/>
    <cellStyle name="Output 16" xfId="2162"/>
    <cellStyle name="Output 17" xfId="2163"/>
    <cellStyle name="Output 18" xfId="2164"/>
    <cellStyle name="Output 19" xfId="2165"/>
    <cellStyle name="Output 2" xfId="2166"/>
    <cellStyle name="Output 2 10" xfId="2167"/>
    <cellStyle name="Output 2 2" xfId="2168"/>
    <cellStyle name="Output 2 2 2" xfId="2169"/>
    <cellStyle name="Output 2 2 2 2" xfId="2170"/>
    <cellStyle name="Output 2 2 2 2 2" xfId="2171"/>
    <cellStyle name="Output 2 2 2 2 3" xfId="2172"/>
    <cellStyle name="Output 2 2 2 3" xfId="2173"/>
    <cellStyle name="Output 2 2 2 4" xfId="2174"/>
    <cellStyle name="Output 2 2 2 5" xfId="2175"/>
    <cellStyle name="Output 2 2 2 6" xfId="2176"/>
    <cellStyle name="Output 2 2 3" xfId="2177"/>
    <cellStyle name="Output 2 2 4" xfId="2178"/>
    <cellStyle name="Output 2 2 5" xfId="2179"/>
    <cellStyle name="Output 2 2 6" xfId="2180"/>
    <cellStyle name="Output 2 3" xfId="2181"/>
    <cellStyle name="Output 2 4" xfId="2182"/>
    <cellStyle name="Output 2 5" xfId="2183"/>
    <cellStyle name="Output 2 6" xfId="2184"/>
    <cellStyle name="Output 2 7" xfId="2185"/>
    <cellStyle name="Output 2 8" xfId="2186"/>
    <cellStyle name="Output 2 9" xfId="2187"/>
    <cellStyle name="Output 20" xfId="2188"/>
    <cellStyle name="Output 21" xfId="2189"/>
    <cellStyle name="Output 22" xfId="2190"/>
    <cellStyle name="Output 23" xfId="2191"/>
    <cellStyle name="Output 3" xfId="2192"/>
    <cellStyle name="Output 4" xfId="2193"/>
    <cellStyle name="Output 5" xfId="2194"/>
    <cellStyle name="Output 6" xfId="2195"/>
    <cellStyle name="Output 7" xfId="2196"/>
    <cellStyle name="Output 8" xfId="2197"/>
    <cellStyle name="Output 9" xfId="2198"/>
    <cellStyle name="Output Amounts" xfId="2199"/>
    <cellStyle name="Output Column Headings" xfId="2200"/>
    <cellStyle name="Output Column Headings 2" xfId="2201"/>
    <cellStyle name="Output Column Headings 3" xfId="2202"/>
    <cellStyle name="Output Column Headings 4" xfId="2203"/>
    <cellStyle name="Output Column Headings 5" xfId="2204"/>
    <cellStyle name="Output Column Headings 6" xfId="2205"/>
    <cellStyle name="Output Column Headings 7" xfId="2206"/>
    <cellStyle name="Output Line Items" xfId="2207"/>
    <cellStyle name="Output Line Items 2" xfId="2208"/>
    <cellStyle name="Output Line Items 3" xfId="2209"/>
    <cellStyle name="Output Line Items 4" xfId="2210"/>
    <cellStyle name="Output Line Items 5" xfId="2211"/>
    <cellStyle name="Output Line Items 6" xfId="2212"/>
    <cellStyle name="Output Line Items 7" xfId="2213"/>
    <cellStyle name="Output Report Heading" xfId="2214"/>
    <cellStyle name="Output Report Heading 2" xfId="2215"/>
    <cellStyle name="Output Report Heading 3" xfId="2216"/>
    <cellStyle name="Output Report Heading 4" xfId="2217"/>
    <cellStyle name="Output Report Heading 5" xfId="2218"/>
    <cellStyle name="Output Report Heading 6" xfId="2219"/>
    <cellStyle name="Output Report Heading 7" xfId="2220"/>
    <cellStyle name="Output Report Title" xfId="2221"/>
    <cellStyle name="Output Report Title 2" xfId="2222"/>
    <cellStyle name="Output Report Title 3" xfId="2223"/>
    <cellStyle name="Output Report Title 4" xfId="2224"/>
    <cellStyle name="Output Report Title 5" xfId="2225"/>
    <cellStyle name="Output Report Title 6" xfId="2226"/>
    <cellStyle name="Output Report Title 7" xfId="2227"/>
    <cellStyle name="Percent" xfId="3" builtinId="5"/>
    <cellStyle name="Percent 2" xfId="7"/>
    <cellStyle name="Percent 2 2" xfId="2228"/>
    <cellStyle name="Percent 2 3" xfId="2229"/>
    <cellStyle name="Percent 2 4" xfId="2230"/>
    <cellStyle name="Percent 2 5" xfId="2231"/>
    <cellStyle name="Percent 2 6" xfId="2232"/>
    <cellStyle name="Percent 3" xfId="2385"/>
    <cellStyle name="ReportTitlePrompt" xfId="2233"/>
    <cellStyle name="ReportTitleValue" xfId="2234"/>
    <cellStyle name="RowAcctAbovePrompt" xfId="2235"/>
    <cellStyle name="RowAcctSOBAbovePrompt" xfId="2236"/>
    <cellStyle name="RowAcctSOBValue" xfId="2237"/>
    <cellStyle name="RowAcctValue" xfId="2238"/>
    <cellStyle name="RowAttrAbovePrompt" xfId="2239"/>
    <cellStyle name="RowAttrValue" xfId="2240"/>
    <cellStyle name="RowColSetAbovePrompt" xfId="2241"/>
    <cellStyle name="RowColSetLeftPrompt" xfId="2242"/>
    <cellStyle name="RowColSetValue" xfId="2243"/>
    <cellStyle name="RowLeftPrompt" xfId="2244"/>
    <cellStyle name="SampleUsingFormatMask" xfId="2245"/>
    <cellStyle name="SampleWithNoFormatMask" xfId="2246"/>
    <cellStyle name="STYL5 - Style5" xfId="2247"/>
    <cellStyle name="STYL6 - Style6" xfId="2248"/>
    <cellStyle name="STYLE1 - Style1" xfId="2249"/>
    <cellStyle name="STYLE2 - Style2" xfId="2250"/>
    <cellStyle name="STYLE3 - Style3" xfId="2251"/>
    <cellStyle name="STYLE4 - Style4" xfId="2252"/>
    <cellStyle name="Title 10" xfId="2253"/>
    <cellStyle name="Title 11" xfId="2254"/>
    <cellStyle name="Title 12" xfId="2255"/>
    <cellStyle name="Title 13" xfId="2256"/>
    <cellStyle name="Title 14" xfId="2257"/>
    <cellStyle name="Title 15" xfId="2258"/>
    <cellStyle name="Title 16" xfId="2259"/>
    <cellStyle name="Title 17" xfId="2260"/>
    <cellStyle name="Title 17 2" xfId="2261"/>
    <cellStyle name="Title 17 3" xfId="2262"/>
    <cellStyle name="Title 17 4" xfId="2263"/>
    <cellStyle name="Title 17 5" xfId="2264"/>
    <cellStyle name="Title 18" xfId="2265"/>
    <cellStyle name="Title 19" xfId="2266"/>
    <cellStyle name="Title 2" xfId="2267"/>
    <cellStyle name="Title 2 2" xfId="2268"/>
    <cellStyle name="Title 2 2 2" xfId="2269"/>
    <cellStyle name="Title 2 2 2 2" xfId="2270"/>
    <cellStyle name="Title 2 2 2 3" xfId="2271"/>
    <cellStyle name="Title 2 2 3" xfId="2272"/>
    <cellStyle name="Title 2 2 4" xfId="2273"/>
    <cellStyle name="Title 2 2 5" xfId="2274"/>
    <cellStyle name="Title 2 2 6" xfId="2275"/>
    <cellStyle name="Title 2 3" xfId="2276"/>
    <cellStyle name="Title 2 4" xfId="2277"/>
    <cellStyle name="Title 2 5" xfId="2278"/>
    <cellStyle name="Title 2 6" xfId="2279"/>
    <cellStyle name="Title 2 7" xfId="2280"/>
    <cellStyle name="Title 2 8" xfId="2281"/>
    <cellStyle name="Title 2 9" xfId="2282"/>
    <cellStyle name="Title 20" xfId="2283"/>
    <cellStyle name="Title 21" xfId="2284"/>
    <cellStyle name="Title 22" xfId="2285"/>
    <cellStyle name="Title 23" xfId="2286"/>
    <cellStyle name="Title 3" xfId="2287"/>
    <cellStyle name="Title 4" xfId="2288"/>
    <cellStyle name="Title 5" xfId="2289"/>
    <cellStyle name="Title 6" xfId="2290"/>
    <cellStyle name="Title 7" xfId="2291"/>
    <cellStyle name="Title 8" xfId="2292"/>
    <cellStyle name="Title 9" xfId="2293"/>
    <cellStyle name="Total 10" xfId="2294"/>
    <cellStyle name="Total 11" xfId="2295"/>
    <cellStyle name="Total 12" xfId="2296"/>
    <cellStyle name="Total 13" xfId="2297"/>
    <cellStyle name="Total 14" xfId="2298"/>
    <cellStyle name="Total 15" xfId="2299"/>
    <cellStyle name="Total 16" xfId="2300"/>
    <cellStyle name="Total 17" xfId="2301"/>
    <cellStyle name="Total 18" xfId="2302"/>
    <cellStyle name="Total 19" xfId="2303"/>
    <cellStyle name="Total 2" xfId="2304"/>
    <cellStyle name="Total 2 10" xfId="2305"/>
    <cellStyle name="Total 2 2" xfId="2306"/>
    <cellStyle name="Total 2 2 2" xfId="2307"/>
    <cellStyle name="Total 2 2 2 2" xfId="2308"/>
    <cellStyle name="Total 2 2 2 2 2" xfId="2309"/>
    <cellStyle name="Total 2 2 2 2 3" xfId="2310"/>
    <cellStyle name="Total 2 2 2 3" xfId="2311"/>
    <cellStyle name="Total 2 2 2 4" xfId="2312"/>
    <cellStyle name="Total 2 2 2 5" xfId="2313"/>
    <cellStyle name="Total 2 2 2 6" xfId="2314"/>
    <cellStyle name="Total 2 2 3" xfId="2315"/>
    <cellStyle name="Total 2 2 4" xfId="2316"/>
    <cellStyle name="Total 2 2 5" xfId="2317"/>
    <cellStyle name="Total 2 2 6" xfId="2318"/>
    <cellStyle name="Total 2 3" xfId="2319"/>
    <cellStyle name="Total 2 4" xfId="2320"/>
    <cellStyle name="Total 2 5" xfId="2321"/>
    <cellStyle name="Total 2 6" xfId="2322"/>
    <cellStyle name="Total 2 7" xfId="2323"/>
    <cellStyle name="Total 2 8" xfId="2324"/>
    <cellStyle name="Total 2 9" xfId="2325"/>
    <cellStyle name="Total 20" xfId="2326"/>
    <cellStyle name="Total 21" xfId="2327"/>
    <cellStyle name="Total 22" xfId="2328"/>
    <cellStyle name="Total 23" xfId="2329"/>
    <cellStyle name="Total 24" xfId="2330"/>
    <cellStyle name="Total 25" xfId="2331"/>
    <cellStyle name="Total 3" xfId="2332"/>
    <cellStyle name="Total 4" xfId="2333"/>
    <cellStyle name="Total 5" xfId="2334"/>
    <cellStyle name="Total 6" xfId="2335"/>
    <cellStyle name="Total 7" xfId="2336"/>
    <cellStyle name="Total 8" xfId="2337"/>
    <cellStyle name="Total 9" xfId="2338"/>
    <cellStyle name="UploadThisRowValue" xfId="2339"/>
    <cellStyle name="Warning Text 10" xfId="2340"/>
    <cellStyle name="Warning Text 11" xfId="2341"/>
    <cellStyle name="Warning Text 12" xfId="2342"/>
    <cellStyle name="Warning Text 13" xfId="2343"/>
    <cellStyle name="Warning Text 14" xfId="2344"/>
    <cellStyle name="Warning Text 15" xfId="2345"/>
    <cellStyle name="Warning Text 16" xfId="2346"/>
    <cellStyle name="Warning Text 17" xfId="2347"/>
    <cellStyle name="Warning Text 18" xfId="2348"/>
    <cellStyle name="Warning Text 19" xfId="2349"/>
    <cellStyle name="Warning Text 2" xfId="2350"/>
    <cellStyle name="Warning Text 2 10" xfId="2351"/>
    <cellStyle name="Warning Text 2 2" xfId="2352"/>
    <cellStyle name="Warning Text 2 2 2" xfId="2353"/>
    <cellStyle name="Warning Text 2 2 2 2" xfId="2354"/>
    <cellStyle name="Warning Text 2 2 2 2 2" xfId="2355"/>
    <cellStyle name="Warning Text 2 2 2 2 3" xfId="2356"/>
    <cellStyle name="Warning Text 2 2 2 3" xfId="2357"/>
    <cellStyle name="Warning Text 2 2 2 4" xfId="2358"/>
    <cellStyle name="Warning Text 2 2 2 5" xfId="2359"/>
    <cellStyle name="Warning Text 2 2 2 6" xfId="2360"/>
    <cellStyle name="Warning Text 2 2 3" xfId="2361"/>
    <cellStyle name="Warning Text 2 2 4" xfId="2362"/>
    <cellStyle name="Warning Text 2 2 5" xfId="2363"/>
    <cellStyle name="Warning Text 2 2 6" xfId="2364"/>
    <cellStyle name="Warning Text 2 3" xfId="2365"/>
    <cellStyle name="Warning Text 2 4" xfId="2366"/>
    <cellStyle name="Warning Text 2 5" xfId="2367"/>
    <cellStyle name="Warning Text 2 6" xfId="2368"/>
    <cellStyle name="Warning Text 2 7" xfId="2369"/>
    <cellStyle name="Warning Text 2 8" xfId="2370"/>
    <cellStyle name="Warning Text 2 9" xfId="2371"/>
    <cellStyle name="Warning Text 20" xfId="2372"/>
    <cellStyle name="Warning Text 21" xfId="2373"/>
    <cellStyle name="Warning Text 22" xfId="2374"/>
    <cellStyle name="Warning Text 23" xfId="2375"/>
    <cellStyle name="Warning Text 3" xfId="2376"/>
    <cellStyle name="Warning Text 4" xfId="2377"/>
    <cellStyle name="Warning Text 5" xfId="2378"/>
    <cellStyle name="Warning Text 6" xfId="2379"/>
    <cellStyle name="Warning Text 7" xfId="2380"/>
    <cellStyle name="Warning Text 8" xfId="2381"/>
    <cellStyle name="Warning Text 9" xfId="2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%5e@%2038.9%25" TargetMode="External"/><Relationship Id="rId1" Type="http://schemas.openxmlformats.org/officeDocument/2006/relationships/hyperlink" Target="mailto:%5e@%2038.9%2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tabSelected="1" zoomScaleNormal="100" workbookViewId="0">
      <selection sqref="A1:M1"/>
    </sheetView>
  </sheetViews>
  <sheetFormatPr defaultRowHeight="20.25"/>
  <cols>
    <col min="1" max="1" width="7" style="141" customWidth="1"/>
    <col min="2" max="2" width="49.7109375" style="85" customWidth="1"/>
    <col min="3" max="3" width="25.7109375" style="85" customWidth="1"/>
    <col min="4" max="4" width="2.7109375" style="85" customWidth="1"/>
    <col min="5" max="5" width="14.7109375" style="85" customWidth="1"/>
    <col min="6" max="6" width="2.7109375" style="85" customWidth="1"/>
    <col min="7" max="7" width="16.7109375" style="85" customWidth="1"/>
    <col min="8" max="8" width="2.7109375" style="85" customWidth="1"/>
    <col min="9" max="9" width="12.7109375" style="85" customWidth="1"/>
    <col min="10" max="10" width="2.7109375" style="85" customWidth="1"/>
    <col min="11" max="11" width="16.7109375" style="85" customWidth="1"/>
    <col min="12" max="12" width="2.7109375" style="85" customWidth="1"/>
    <col min="13" max="13" width="15.140625" style="85" customWidth="1"/>
    <col min="14" max="14" width="3.28515625" style="85" customWidth="1"/>
    <col min="15" max="15" width="15.140625" style="85" customWidth="1"/>
    <col min="16" max="16" width="14.28515625" style="85" customWidth="1"/>
    <col min="17" max="17" width="12.42578125" style="85" customWidth="1"/>
    <col min="18" max="18" width="13.140625" style="85" customWidth="1"/>
    <col min="19" max="19" width="11.5703125" style="85" customWidth="1"/>
    <col min="20" max="20" width="14.28515625" style="85" customWidth="1"/>
    <col min="21" max="21" width="11.42578125" style="85" customWidth="1"/>
    <col min="22" max="31" width="12.7109375" style="85" bestFit="1" customWidth="1"/>
    <col min="32" max="16384" width="9.140625" style="85"/>
  </cols>
  <sheetData>
    <row r="1" spans="1:32">
      <c r="A1" s="313" t="s">
        <v>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73"/>
    </row>
    <row r="2" spans="1:32">
      <c r="A2" s="314" t="s">
        <v>305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174"/>
      <c r="O2" s="86"/>
      <c r="P2" s="87"/>
    </row>
    <row r="3" spans="1:32">
      <c r="A3" s="313" t="s">
        <v>83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73"/>
      <c r="O3" s="87"/>
    </row>
    <row r="4" spans="1:32">
      <c r="A4" s="88"/>
    </row>
    <row r="6" spans="1:32" s="93" customFormat="1" ht="119.25" customHeight="1">
      <c r="A6" s="89" t="s">
        <v>74</v>
      </c>
      <c r="B6" s="89" t="s">
        <v>283</v>
      </c>
      <c r="C6" s="89" t="s">
        <v>281</v>
      </c>
      <c r="D6" s="90"/>
      <c r="E6" s="89" t="s">
        <v>71</v>
      </c>
      <c r="F6" s="90"/>
      <c r="G6" s="89" t="s">
        <v>173</v>
      </c>
      <c r="H6" s="90"/>
      <c r="I6" s="89" t="s">
        <v>310</v>
      </c>
      <c r="J6" s="91"/>
      <c r="K6" s="92" t="s">
        <v>311</v>
      </c>
      <c r="M6" s="94" t="s">
        <v>246</v>
      </c>
      <c r="O6" s="94" t="s">
        <v>208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93" customFormat="1" ht="15.75">
      <c r="A7" s="97" t="s">
        <v>230</v>
      </c>
      <c r="B7" s="97" t="s">
        <v>231</v>
      </c>
      <c r="C7" s="97" t="s">
        <v>232</v>
      </c>
      <c r="D7" s="90"/>
      <c r="E7" s="97" t="s">
        <v>233</v>
      </c>
      <c r="F7" s="90"/>
      <c r="G7" s="97" t="s">
        <v>234</v>
      </c>
      <c r="H7" s="90"/>
      <c r="I7" s="97" t="s">
        <v>235</v>
      </c>
      <c r="J7" s="91"/>
      <c r="K7" s="97" t="s">
        <v>236</v>
      </c>
      <c r="M7" s="97" t="s">
        <v>237</v>
      </c>
      <c r="O7" s="97" t="s">
        <v>238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93" customFormat="1" ht="15.75">
      <c r="A8" s="58"/>
      <c r="B8" s="91"/>
      <c r="C8" s="98"/>
      <c r="D8" s="90"/>
      <c r="E8" s="99"/>
      <c r="F8" s="90"/>
      <c r="G8" s="99"/>
      <c r="H8" s="90"/>
      <c r="I8" s="100"/>
      <c r="J8" s="91"/>
      <c r="K8" s="100"/>
      <c r="M8" s="101"/>
      <c r="O8" s="1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93" customFormat="1" ht="15.75">
      <c r="B9" s="56">
        <v>2017</v>
      </c>
      <c r="C9" s="98"/>
      <c r="D9" s="90"/>
      <c r="E9" s="99"/>
      <c r="F9" s="90"/>
      <c r="G9" s="99"/>
      <c r="H9" s="90"/>
      <c r="I9" s="100"/>
      <c r="J9" s="91"/>
      <c r="K9" s="100"/>
      <c r="M9" s="101"/>
      <c r="O9" s="10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93" customFormat="1" ht="15.75">
      <c r="A10" s="84">
        <v>1</v>
      </c>
      <c r="B10" s="103" t="s">
        <v>67</v>
      </c>
      <c r="C10" s="104">
        <v>224794817.10642615</v>
      </c>
      <c r="D10" s="105"/>
      <c r="E10" s="106">
        <f>C10/$C$13</f>
        <v>0.67923682130261442</v>
      </c>
      <c r="F10" s="105"/>
      <c r="G10" s="104">
        <f>E10*G$13</f>
        <v>1031901.3517439186</v>
      </c>
      <c r="H10" s="105"/>
      <c r="I10" s="105">
        <v>1773842</v>
      </c>
      <c r="J10" s="107"/>
      <c r="K10" s="108">
        <f>G10/I10</f>
        <v>0.58173239315785652</v>
      </c>
      <c r="M10" s="109">
        <v>0.25859427994895751</v>
      </c>
      <c r="O10" s="109">
        <f>K10+M10</f>
        <v>0.84032667310681397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93" customFormat="1" ht="15.75">
      <c r="A11" s="84">
        <f>A10+1</f>
        <v>2</v>
      </c>
      <c r="B11" s="103" t="s">
        <v>68</v>
      </c>
      <c r="C11" s="104">
        <f>93369606.1808071+60516</f>
        <v>93430122.180807099</v>
      </c>
      <c r="D11" s="105"/>
      <c r="E11" s="106">
        <f>C11/$C$13</f>
        <v>0.28230712798846003</v>
      </c>
      <c r="F11" s="105"/>
      <c r="G11" s="104">
        <f>E11*G$13</f>
        <v>428882.97253904201</v>
      </c>
      <c r="H11" s="105"/>
      <c r="I11" s="105">
        <v>148905</v>
      </c>
      <c r="J11" s="107"/>
      <c r="K11" s="108">
        <f>G11/I11</f>
        <v>2.8802456098790641</v>
      </c>
      <c r="M11" s="109">
        <v>1.3790643369376057</v>
      </c>
      <c r="O11" s="109">
        <f>K11+M11</f>
        <v>4.2593099468166695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93" customFormat="1" ht="15.75">
      <c r="A12" s="84">
        <f>A11+1</f>
        <v>3</v>
      </c>
      <c r="B12" s="103" t="s">
        <v>69</v>
      </c>
      <c r="C12" s="111">
        <f>11713427.7412044+1005352+8329</f>
        <v>12727108.7412044</v>
      </c>
      <c r="D12" s="105"/>
      <c r="E12" s="112">
        <f>C12/$C$13</f>
        <v>3.8456050708925667E-2</v>
      </c>
      <c r="F12" s="105"/>
      <c r="G12" s="111">
        <f>E12*G$13</f>
        <v>58422.702457694832</v>
      </c>
      <c r="H12" s="105"/>
      <c r="I12" s="113">
        <v>1632</v>
      </c>
      <c r="J12" s="107"/>
      <c r="K12" s="108">
        <f>G12/I12</f>
        <v>35.798224545156145</v>
      </c>
      <c r="M12" s="109">
        <v>13.059703065316686</v>
      </c>
      <c r="O12" s="109">
        <f>K12+M12</f>
        <v>48.857927610472828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93" customFormat="1" ht="16.5" thickBot="1">
      <c r="A13" s="84">
        <f>A12+1</f>
        <v>4</v>
      </c>
      <c r="B13" s="114" t="s">
        <v>3</v>
      </c>
      <c r="C13" s="115">
        <f>SUM(C10:C12)</f>
        <v>330952048.02843761</v>
      </c>
      <c r="D13" s="116"/>
      <c r="E13" s="117">
        <f>SUM(E10:E12)</f>
        <v>1.0000000000000002</v>
      </c>
      <c r="F13" s="116"/>
      <c r="G13" s="51">
        <f>'Rev Req 2017-Distr'!AE31</f>
        <v>1519207.0267406553</v>
      </c>
      <c r="H13" s="116"/>
      <c r="I13" s="118">
        <f>SUM(I10:I12)</f>
        <v>1924379</v>
      </c>
      <c r="J13" s="116"/>
      <c r="K13" s="116"/>
      <c r="M13" s="116"/>
      <c r="N13" s="116"/>
      <c r="O13" s="10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93" customFormat="1" ht="16.5" thickTop="1">
      <c r="A14" s="84"/>
      <c r="O14" s="3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93" customFormat="1" ht="15.75">
      <c r="A15" s="84"/>
      <c r="B15" s="93" t="s">
        <v>286</v>
      </c>
      <c r="O15" s="109"/>
      <c r="P15" s="3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93" customFormat="1" ht="15.75">
      <c r="A16" s="84"/>
      <c r="B16" s="93" t="s">
        <v>285</v>
      </c>
      <c r="O16" s="109"/>
      <c r="P16" s="3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93" customFormat="1" ht="15.75">
      <c r="A17" s="84"/>
      <c r="B17" s="93" t="s">
        <v>302</v>
      </c>
      <c r="O17" s="109"/>
      <c r="P17" s="3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93" customFormat="1" ht="15.75">
      <c r="A18" s="84"/>
      <c r="B18" s="93" t="s">
        <v>303</v>
      </c>
      <c r="O18" s="109"/>
      <c r="P18" s="3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93" customFormat="1" ht="15.75">
      <c r="A19" s="84"/>
      <c r="O19" s="109"/>
      <c r="P19" s="3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93" customFormat="1" ht="15.75">
      <c r="A20" s="84"/>
      <c r="O20" s="109"/>
      <c r="P20" s="3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93" customFormat="1" ht="60.75">
      <c r="A21" s="89" t="s">
        <v>74</v>
      </c>
      <c r="B21" s="89" t="s">
        <v>282</v>
      </c>
      <c r="C21" s="89" t="s">
        <v>281</v>
      </c>
      <c r="D21" s="90"/>
      <c r="E21" s="89" t="s">
        <v>71</v>
      </c>
      <c r="F21" s="90"/>
      <c r="G21" s="89" t="s">
        <v>173</v>
      </c>
      <c r="H21" s="90"/>
      <c r="I21" s="89" t="s">
        <v>309</v>
      </c>
      <c r="J21" s="91"/>
      <c r="K21" s="92" t="s">
        <v>308</v>
      </c>
      <c r="M21"/>
      <c r="N21"/>
      <c r="O21" s="96"/>
      <c r="P21" s="3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93" customFormat="1" ht="15.75">
      <c r="A22" s="97" t="s">
        <v>230</v>
      </c>
      <c r="B22" s="97" t="s">
        <v>231</v>
      </c>
      <c r="C22" s="97" t="s">
        <v>232</v>
      </c>
      <c r="D22" s="90"/>
      <c r="E22" s="97" t="s">
        <v>233</v>
      </c>
      <c r="F22" s="90"/>
      <c r="G22" s="97" t="s">
        <v>234</v>
      </c>
      <c r="H22" s="90"/>
      <c r="I22" s="97" t="s">
        <v>235</v>
      </c>
      <c r="J22" s="91"/>
      <c r="K22" s="97" t="s">
        <v>236</v>
      </c>
      <c r="M22"/>
      <c r="N22"/>
      <c r="P22" s="96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2" s="93" customFormat="1" ht="15.75">
      <c r="B23" s="91"/>
      <c r="C23" s="98"/>
      <c r="D23" s="90"/>
      <c r="E23" s="99"/>
      <c r="F23" s="90"/>
      <c r="G23" s="99"/>
      <c r="H23" s="90"/>
      <c r="I23" s="100"/>
      <c r="J23" s="91"/>
      <c r="K23" s="100"/>
      <c r="M23"/>
      <c r="N23"/>
      <c r="O23" s="39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2" s="93" customFormat="1" ht="15.75">
      <c r="A24" s="58"/>
      <c r="B24" s="56">
        <v>2017</v>
      </c>
      <c r="C24" s="98"/>
      <c r="D24" s="90"/>
      <c r="E24" s="99"/>
      <c r="F24" s="90"/>
      <c r="G24" s="99"/>
      <c r="H24" s="90"/>
      <c r="I24" s="100"/>
      <c r="J24" s="91"/>
      <c r="K24" s="100"/>
      <c r="M24"/>
      <c r="N24"/>
      <c r="O24" s="102"/>
      <c r="P24" s="39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2" s="93" customFormat="1" ht="15.75">
      <c r="A25" s="84">
        <f>A13+1</f>
        <v>5</v>
      </c>
      <c r="B25" s="103" t="s">
        <v>67</v>
      </c>
      <c r="C25" s="104">
        <f>C10</f>
        <v>224794817.10642615</v>
      </c>
      <c r="D25" s="105"/>
      <c r="E25" s="106">
        <f>C25/$C$29</f>
        <v>0.66334899446120854</v>
      </c>
      <c r="F25" s="105"/>
      <c r="G25" s="104">
        <f>E25*$G$29</f>
        <v>46149.211460376267</v>
      </c>
      <c r="H25" s="105"/>
      <c r="I25" s="105">
        <v>6917038.9198963931</v>
      </c>
      <c r="J25" s="107"/>
      <c r="K25" s="180">
        <f>G25/I25</f>
        <v>6.6718160754641979E-3</v>
      </c>
      <c r="M25" s="302">
        <f>K25/10</f>
        <v>6.6718160754641984E-4</v>
      </c>
      <c r="N25"/>
      <c r="O25" s="102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2" s="93" customFormat="1" ht="15.75">
      <c r="A26" s="84">
        <f t="shared" ref="A26:A29" si="0">A25+1</f>
        <v>6</v>
      </c>
      <c r="B26" s="103" t="s">
        <v>68</v>
      </c>
      <c r="C26" s="104">
        <f>C11</f>
        <v>93430122.180807099</v>
      </c>
      <c r="D26" s="105"/>
      <c r="E26" s="106">
        <f>C26/$C$29</f>
        <v>0.27570376576646849</v>
      </c>
      <c r="F26" s="105"/>
      <c r="G26" s="104">
        <f>E26*$G$29</f>
        <v>19180.720093068372</v>
      </c>
      <c r="H26" s="105"/>
      <c r="I26" s="105">
        <v>3772998.1161934799</v>
      </c>
      <c r="J26" s="107"/>
      <c r="K26" s="180">
        <f>G26/I26</f>
        <v>5.0836813330878382E-3</v>
      </c>
      <c r="M26" s="302">
        <f t="shared" ref="M26:M28" si="1">K26/10</f>
        <v>5.0836813330878386E-4</v>
      </c>
      <c r="N26"/>
      <c r="O26" s="102"/>
      <c r="P26" s="110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2" s="93" customFormat="1" ht="15.75">
      <c r="A27" s="84">
        <f t="shared" si="0"/>
        <v>7</v>
      </c>
      <c r="B27" s="103" t="s">
        <v>69</v>
      </c>
      <c r="C27" s="104">
        <f>C12</f>
        <v>12727108.7412044</v>
      </c>
      <c r="D27" s="105"/>
      <c r="E27" s="106">
        <f>C27/$C$29</f>
        <v>3.7556536643277669E-2</v>
      </c>
      <c r="F27" s="105"/>
      <c r="G27" s="104">
        <f>E27*$G$29</f>
        <v>2612.8094950648874</v>
      </c>
      <c r="H27" s="105"/>
      <c r="I27" s="105">
        <v>1285232.1894543527</v>
      </c>
      <c r="J27" s="107"/>
      <c r="K27" s="180">
        <f>G27/I27</f>
        <v>2.0329474444412722E-3</v>
      </c>
      <c r="M27" s="302">
        <f t="shared" si="1"/>
        <v>2.0329474444412722E-4</v>
      </c>
      <c r="N27"/>
      <c r="O27" s="102"/>
      <c r="P27" s="110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2" s="93" customFormat="1" ht="15.75" customHeight="1">
      <c r="A28" s="84">
        <f t="shared" si="0"/>
        <v>8</v>
      </c>
      <c r="B28" s="103" t="s">
        <v>280</v>
      </c>
      <c r="C28" s="177">
        <f>7926610.08878933+0</f>
        <v>7926610.0887893299</v>
      </c>
      <c r="D28" s="181"/>
      <c r="E28" s="106">
        <f>C28/$C$29</f>
        <v>2.3390703129045409E-2</v>
      </c>
      <c r="F28" s="181"/>
      <c r="G28" s="104">
        <f>E28*$G$29</f>
        <v>1627.2919894692423</v>
      </c>
      <c r="H28" s="181"/>
      <c r="I28" s="116">
        <v>6233208.6450796295</v>
      </c>
      <c r="J28" s="181"/>
      <c r="K28" s="180">
        <f>G28/I28</f>
        <v>2.6106810827739485E-4</v>
      </c>
      <c r="L28" s="178"/>
      <c r="M28" s="302">
        <f t="shared" si="1"/>
        <v>2.6106810827739484E-5</v>
      </c>
      <c r="N28"/>
      <c r="O28" s="179"/>
      <c r="P28" s="110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32" ht="15.75" customHeight="1" thickBot="1">
      <c r="A29" s="84">
        <f t="shared" si="0"/>
        <v>9</v>
      </c>
      <c r="B29" s="114" t="s">
        <v>3</v>
      </c>
      <c r="C29" s="182">
        <f>SUM(C25:C28)</f>
        <v>338878658.11722696</v>
      </c>
      <c r="D29" s="93"/>
      <c r="E29" s="183">
        <f>SUM(E25:E28)</f>
        <v>1</v>
      </c>
      <c r="F29" s="93"/>
      <c r="G29" s="182">
        <f>'Rev Req 2017-Trans'!AE31</f>
        <v>69570.033037978763</v>
      </c>
      <c r="H29" s="93"/>
      <c r="I29" s="184">
        <f>SUM(I25:I28)</f>
        <v>18208477.870623857</v>
      </c>
      <c r="J29" s="93"/>
      <c r="K29" s="93"/>
      <c r="L29" s="93"/>
      <c r="M29" s="93"/>
      <c r="N29" s="93"/>
      <c r="O29" s="3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32" s="93" customFormat="1" ht="16.5" thickTop="1">
      <c r="A30" s="84"/>
      <c r="B30" s="103"/>
      <c r="O30" s="39"/>
      <c r="P30" s="39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32" s="93" customFormat="1" ht="15.75">
      <c r="A31" s="84"/>
      <c r="B31" s="93" t="s">
        <v>286</v>
      </c>
      <c r="O31" s="39"/>
      <c r="P31" s="39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32" s="93" customFormat="1" ht="15.75">
      <c r="A32" s="84"/>
      <c r="B32" s="93" t="s">
        <v>285</v>
      </c>
      <c r="O32" s="109"/>
      <c r="P32" s="39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93" customFormat="1" ht="15.75">
      <c r="A33" s="84"/>
      <c r="B33" s="93" t="s">
        <v>302</v>
      </c>
      <c r="O33" s="109"/>
      <c r="P33" s="39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93" customFormat="1" ht="15.75">
      <c r="A34" s="84"/>
      <c r="B34" s="93" t="s">
        <v>303</v>
      </c>
      <c r="O34" s="109"/>
      <c r="P34" s="39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93" customFormat="1" ht="15.75">
      <c r="A35" s="84"/>
      <c r="B35" s="93" t="s">
        <v>304</v>
      </c>
      <c r="O35" s="109"/>
      <c r="P35" s="39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93" customFormat="1" ht="15.75">
      <c r="A36" s="84"/>
      <c r="O36" s="109"/>
      <c r="P36" s="39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93" customFormat="1" ht="81">
      <c r="A37" s="89" t="s">
        <v>74</v>
      </c>
      <c r="B37" s="89" t="s">
        <v>73</v>
      </c>
      <c r="C37" s="89" t="s">
        <v>229</v>
      </c>
      <c r="D37" s="90"/>
      <c r="E37" s="89" t="s">
        <v>71</v>
      </c>
      <c r="F37" s="90"/>
      <c r="G37" s="89" t="s">
        <v>173</v>
      </c>
      <c r="H37" s="90"/>
      <c r="I37" s="89" t="s">
        <v>72</v>
      </c>
      <c r="J37" s="91"/>
      <c r="K37" s="92" t="s">
        <v>284</v>
      </c>
      <c r="O37" s="109"/>
      <c r="P37" s="39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93" customFormat="1">
      <c r="A38" s="97" t="s">
        <v>230</v>
      </c>
      <c r="B38" s="97" t="s">
        <v>231</v>
      </c>
      <c r="C38" s="97" t="s">
        <v>232</v>
      </c>
      <c r="D38" s="90"/>
      <c r="E38" s="97" t="s">
        <v>233</v>
      </c>
      <c r="F38" s="90"/>
      <c r="G38" s="97" t="s">
        <v>234</v>
      </c>
      <c r="H38" s="90"/>
      <c r="I38" s="97" t="s">
        <v>235</v>
      </c>
      <c r="J38" s="91"/>
      <c r="K38" s="97" t="s">
        <v>236</v>
      </c>
      <c r="M38" s="94"/>
      <c r="N38" s="94"/>
      <c r="O38" s="39"/>
      <c r="P38" s="39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93" customFormat="1" ht="15.75">
      <c r="A39"/>
      <c r="L39"/>
      <c r="M39"/>
      <c r="N39"/>
      <c r="O39" s="39"/>
      <c r="P39" s="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93" customFormat="1" ht="15.75">
      <c r="A40" s="84"/>
      <c r="B40" s="119" t="s">
        <v>277</v>
      </c>
      <c r="C40" s="120"/>
      <c r="D40" s="121"/>
      <c r="E40" s="122"/>
      <c r="F40" s="121"/>
      <c r="G40" s="122"/>
      <c r="H40" s="121"/>
      <c r="I40" s="101"/>
      <c r="J40" s="123"/>
      <c r="K40" s="101"/>
      <c r="O40" s="39"/>
      <c r="P40" s="39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93" customFormat="1" ht="15.75">
      <c r="A41" s="84">
        <f>A29+1</f>
        <v>10</v>
      </c>
      <c r="B41" s="124" t="s">
        <v>67</v>
      </c>
      <c r="C41" s="125">
        <v>224938107</v>
      </c>
      <c r="D41" s="126"/>
      <c r="E41" s="127">
        <f>C41/C46</f>
        <v>0.6743747433110675</v>
      </c>
      <c r="F41" s="126"/>
      <c r="G41" s="125">
        <f>E41*G$46</f>
        <v>914231.63138874481</v>
      </c>
      <c r="H41" s="126"/>
      <c r="I41" s="126">
        <v>3535390</v>
      </c>
      <c r="J41" s="107"/>
      <c r="K41" s="109">
        <f>G41/I41</f>
        <v>0.25859427994895751</v>
      </c>
      <c r="L41" s="95"/>
      <c r="M41" s="101"/>
      <c r="N41" s="101"/>
      <c r="O41" s="95"/>
      <c r="P41" s="39"/>
    </row>
    <row r="42" spans="1:29" s="95" customFormat="1" ht="15.75">
      <c r="A42" s="84">
        <f>A41+1</f>
        <v>11</v>
      </c>
      <c r="B42" s="124" t="s">
        <v>68</v>
      </c>
      <c r="C42" s="125">
        <v>96486702</v>
      </c>
      <c r="D42" s="126"/>
      <c r="E42" s="127">
        <f>C42/C46</f>
        <v>0.28927155012548172</v>
      </c>
      <c r="F42" s="126"/>
      <c r="G42" s="125">
        <f>E42*G$46</f>
        <v>392157.63017326221</v>
      </c>
      <c r="H42" s="126"/>
      <c r="I42" s="126">
        <v>284365</v>
      </c>
      <c r="J42" s="107"/>
      <c r="K42" s="109">
        <f>G42/I42</f>
        <v>1.3790643369376057</v>
      </c>
      <c r="M42" s="109"/>
      <c r="N42" s="109"/>
    </row>
    <row r="43" spans="1:29" s="95" customFormat="1" ht="15.75">
      <c r="A43" s="84">
        <f>A42+1</f>
        <v>12</v>
      </c>
      <c r="B43" s="124" t="s">
        <v>69</v>
      </c>
      <c r="C43" s="125">
        <v>9700703</v>
      </c>
      <c r="D43" s="126"/>
      <c r="E43" s="127">
        <f>C43/C46</f>
        <v>2.9083151729208351E-2</v>
      </c>
      <c r="F43" s="126"/>
      <c r="G43" s="125">
        <f>E43*G$46</f>
        <v>39427.243554191075</v>
      </c>
      <c r="H43" s="126"/>
      <c r="I43" s="126">
        <v>3019</v>
      </c>
      <c r="J43" s="107"/>
      <c r="K43" s="109">
        <f>G43/I43</f>
        <v>13.059703065316686</v>
      </c>
      <c r="M43" s="109"/>
      <c r="N43" s="109"/>
    </row>
    <row r="44" spans="1:29" s="95" customFormat="1" ht="15.75">
      <c r="A44" s="84">
        <f>A43+1</f>
        <v>13</v>
      </c>
      <c r="B44" s="124" t="s">
        <v>70</v>
      </c>
      <c r="C44" s="125">
        <v>2425098</v>
      </c>
      <c r="D44" s="126"/>
      <c r="E44" s="127">
        <f>C44/C46</f>
        <v>7.2705548342423959E-3</v>
      </c>
      <c r="F44" s="126"/>
      <c r="G44" s="125">
        <f>E44*G$46</f>
        <v>9856.4948838018918</v>
      </c>
      <c r="H44" s="126"/>
      <c r="I44" s="126">
        <v>69</v>
      </c>
      <c r="J44" s="107"/>
      <c r="K44" s="109">
        <f>G44/I44</f>
        <v>142.84775193915786</v>
      </c>
      <c r="M44" s="109"/>
      <c r="N44" s="109"/>
    </row>
    <row r="45" spans="1:29" s="95" customFormat="1" ht="15.75">
      <c r="A45" s="84">
        <f>A44+1</f>
        <v>14</v>
      </c>
      <c r="B45" s="124" t="s">
        <v>184</v>
      </c>
      <c r="C45" s="128">
        <v>0</v>
      </c>
      <c r="D45" s="126"/>
      <c r="E45" s="129">
        <f>C45/C46</f>
        <v>0</v>
      </c>
      <c r="F45" s="126"/>
      <c r="G45" s="130">
        <f>E45*G$13</f>
        <v>0</v>
      </c>
      <c r="H45" s="126"/>
      <c r="I45" s="131">
        <v>0</v>
      </c>
      <c r="J45" s="107"/>
      <c r="K45" s="109">
        <v>0</v>
      </c>
      <c r="M45" s="109"/>
      <c r="N45" s="109"/>
    </row>
    <row r="46" spans="1:29" s="95" customFormat="1" ht="16.5" thickBot="1">
      <c r="A46" s="84">
        <f>A45+1</f>
        <v>15</v>
      </c>
      <c r="B46" s="132" t="s">
        <v>3</v>
      </c>
      <c r="C46" s="133">
        <f>SUM(C41:C44)</f>
        <v>333550610</v>
      </c>
      <c r="D46" s="134"/>
      <c r="E46" s="135">
        <f>SUM(E41:E44)</f>
        <v>1</v>
      </c>
      <c r="F46" s="134"/>
      <c r="G46" s="136">
        <v>1355673</v>
      </c>
      <c r="H46" s="134"/>
      <c r="I46" s="137">
        <f>SUM(I41:I44)</f>
        <v>3822843</v>
      </c>
      <c r="J46" s="134"/>
      <c r="K46" s="134"/>
      <c r="M46" s="109"/>
      <c r="N46" s="109"/>
    </row>
    <row r="47" spans="1:29" s="95" customFormat="1" ht="16.5" thickTop="1">
      <c r="A47" s="138"/>
      <c r="E47" s="139"/>
      <c r="G47" s="140"/>
    </row>
    <row r="48" spans="1:29" s="95" customFormat="1" ht="15.75">
      <c r="A48" s="138"/>
      <c r="B48" s="95" t="s">
        <v>174</v>
      </c>
    </row>
    <row r="49" spans="1:18" s="95" customFormat="1" ht="15.75">
      <c r="A49" s="138"/>
      <c r="B49" s="56"/>
      <c r="C49" s="98"/>
      <c r="D49" s="90"/>
      <c r="E49" s="99"/>
      <c r="F49" s="90"/>
      <c r="G49" s="99"/>
      <c r="H49" s="90"/>
      <c r="I49" s="100"/>
      <c r="J49" s="91"/>
      <c r="K49" s="100"/>
    </row>
    <row r="50" spans="1:18" s="95" customFormat="1" ht="15.75">
      <c r="A50" s="93"/>
      <c r="B50" s="103"/>
      <c r="C50" s="104"/>
      <c r="D50" s="105"/>
      <c r="E50" s="106"/>
      <c r="F50" s="105"/>
      <c r="G50" s="104"/>
      <c r="H50" s="105"/>
      <c r="I50" s="105"/>
      <c r="J50" s="107"/>
      <c r="K50" s="108"/>
      <c r="L50" s="93"/>
      <c r="M50" s="100"/>
      <c r="N50" s="100"/>
      <c r="O50" s="93"/>
    </row>
    <row r="51" spans="1:18" s="93" customFormat="1" ht="15.75">
      <c r="A51" s="84"/>
      <c r="B51" s="103"/>
      <c r="C51" s="104"/>
      <c r="D51" s="105"/>
      <c r="E51" s="106"/>
      <c r="F51" s="105"/>
      <c r="G51" s="104"/>
      <c r="H51" s="105"/>
      <c r="I51" s="105"/>
      <c r="J51" s="107"/>
      <c r="K51" s="108"/>
      <c r="M51"/>
      <c r="N51"/>
      <c r="O51"/>
    </row>
    <row r="52" spans="1:18" s="93" customFormat="1" ht="15.75">
      <c r="A52" s="84"/>
      <c r="B52" s="103"/>
      <c r="C52" s="104"/>
      <c r="D52" s="105"/>
      <c r="E52" s="106"/>
      <c r="F52" s="105"/>
      <c r="G52" s="104"/>
      <c r="H52" s="105"/>
      <c r="I52" s="105"/>
      <c r="J52" s="107"/>
      <c r="K52" s="108"/>
      <c r="M52"/>
      <c r="N52"/>
      <c r="O52"/>
      <c r="P52"/>
      <c r="Q52"/>
      <c r="R52"/>
    </row>
    <row r="53" spans="1:18" s="93" customFormat="1" ht="15.75">
      <c r="A53" s="84"/>
      <c r="B53" s="39"/>
      <c r="C53" s="39"/>
      <c r="D53" s="39"/>
      <c r="E53" s="39"/>
      <c r="F53" s="39"/>
      <c r="G53" s="39"/>
      <c r="H53" s="39"/>
      <c r="I53" s="39"/>
      <c r="J53" s="39"/>
      <c r="K53" s="39"/>
      <c r="M53"/>
      <c r="N53"/>
      <c r="O53"/>
      <c r="P53"/>
      <c r="Q53"/>
      <c r="R53"/>
    </row>
    <row r="54" spans="1:18" s="93" customFormat="1" ht="15.75">
      <c r="A54" s="8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/>
      <c r="N54"/>
      <c r="O54"/>
      <c r="P54"/>
      <c r="Q54"/>
      <c r="R54"/>
    </row>
    <row r="55" spans="1:18" s="93" customFormat="1" ht="15.75">
      <c r="A55" s="8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/>
      <c r="N55"/>
      <c r="O55"/>
      <c r="P55"/>
      <c r="Q55"/>
      <c r="R55"/>
    </row>
    <row r="56" spans="1:18" s="93" customFormat="1" ht="15.75">
      <c r="A56" s="84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/>
      <c r="N56"/>
      <c r="O56"/>
      <c r="P56"/>
      <c r="Q56"/>
      <c r="R56"/>
    </row>
    <row r="57" spans="1:18" s="93" customFormat="1" ht="15.75">
      <c r="A57" s="84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/>
      <c r="N57"/>
      <c r="O57"/>
      <c r="P57"/>
      <c r="Q57"/>
      <c r="R57"/>
    </row>
    <row r="58" spans="1:18" s="93" customFormat="1" ht="15.75">
      <c r="A58" s="84"/>
      <c r="L58" s="39"/>
      <c r="M58"/>
      <c r="N58"/>
      <c r="O58"/>
      <c r="P58"/>
      <c r="Q58"/>
      <c r="R58"/>
    </row>
    <row r="59" spans="1:18" s="93" customForma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P59"/>
      <c r="Q59"/>
      <c r="R59"/>
    </row>
    <row r="60" spans="1:18" s="93" customFormat="1">
      <c r="A60" s="141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</sheetData>
  <mergeCells count="3">
    <mergeCell ref="A1:M1"/>
    <mergeCell ref="A3:M3"/>
    <mergeCell ref="A2:M2"/>
  </mergeCells>
  <printOptions horizontalCentered="1"/>
  <pageMargins left="0" right="0" top="0.5" bottom="0.75" header="0.3" footer="0.3"/>
  <pageSetup scale="53" orientation="landscape" r:id="rId1"/>
  <headerFooter scaleWithDoc="0">
    <oddFooter xml:space="preserve">&amp;R&amp;"Times New Roman,Bold"&amp;12
Exhibit CMG-5
Page 1 of 12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264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114</v>
      </c>
      <c r="G6" s="20"/>
      <c r="H6" s="20"/>
      <c r="I6" s="20"/>
      <c r="J6" s="20" t="s">
        <v>114</v>
      </c>
      <c r="K6" s="20"/>
      <c r="L6" s="20" t="s">
        <v>114</v>
      </c>
      <c r="M6" s="20"/>
      <c r="N6" s="20"/>
      <c r="O6" s="20"/>
      <c r="P6" s="20"/>
      <c r="Q6" s="20"/>
      <c r="R6" s="20" t="s">
        <v>114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>
        <f>'201710 Bk Depr'!R13</f>
        <v>5590283.2400000002</v>
      </c>
      <c r="H13" s="1">
        <f>1.99%/12</f>
        <v>1.6583333333333335E-3</v>
      </c>
      <c r="J13" s="9">
        <f>F13*H13</f>
        <v>9270.5530396666672</v>
      </c>
      <c r="L13" s="9">
        <f>'Cap&amp;OpEx 2017'!G10</f>
        <v>982437.45000000007</v>
      </c>
      <c r="N13" s="9">
        <f>H13*L13*0.5</f>
        <v>814.60438562500019</v>
      </c>
      <c r="P13" s="16">
        <f>J13+N13</f>
        <v>10085.157425291667</v>
      </c>
      <c r="R13" s="16">
        <f>L13+F13</f>
        <v>6572720.6900000004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>
        <f>'201710 Bk Depr'!R14</f>
        <v>714617.17</v>
      </c>
      <c r="H14" s="1">
        <f>3.28%/12</f>
        <v>2.7333333333333328E-3</v>
      </c>
      <c r="J14" s="9">
        <f>F14*H14</f>
        <v>1953.2869313333331</v>
      </c>
      <c r="L14" s="9">
        <f>'Cap&amp;OpEx 2017'!G12</f>
        <v>173112.47</v>
      </c>
      <c r="N14" s="9">
        <f>H14*L14*0.5</f>
        <v>236.5870423333333</v>
      </c>
      <c r="P14" s="16">
        <f>J14+N14</f>
        <v>2189.8739736666662</v>
      </c>
      <c r="R14" s="16">
        <f>L14+F14</f>
        <v>887729.64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>
        <f>'201710 Bk Depr'!R15</f>
        <v>9189089.7699999996</v>
      </c>
      <c r="H15" s="1">
        <f t="shared" ref="H15:H16" si="0">3.28%/12</f>
        <v>2.7333333333333328E-3</v>
      </c>
      <c r="J15" s="9">
        <f>F15*H15</f>
        <v>25116.845371333329</v>
      </c>
      <c r="L15" s="9">
        <f>'Cap&amp;OpEx 2017'!G13</f>
        <v>2221422.0099999998</v>
      </c>
      <c r="N15" s="9">
        <f>H15*L15*0.5</f>
        <v>3035.9434136666659</v>
      </c>
      <c r="P15" s="16">
        <f>J15+N15</f>
        <v>28152.788784999997</v>
      </c>
      <c r="R15" s="16">
        <f>L15+F15</f>
        <v>11410511.779999999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>
        <f>'201710 Bk Depr'!R16</f>
        <v>2154593.63</v>
      </c>
      <c r="H16" s="1">
        <f t="shared" si="0"/>
        <v>2.7333333333333328E-3</v>
      </c>
      <c r="J16" s="9">
        <f>F16*H16</f>
        <v>5889.2225886666656</v>
      </c>
      <c r="L16" s="9">
        <f>'Cap&amp;OpEx 2017'!G14</f>
        <v>521380.14999999997</v>
      </c>
      <c r="N16" s="9">
        <f>H16*L16*0.5</f>
        <v>712.55287166666653</v>
      </c>
      <c r="P16" s="16">
        <f>J16+N16</f>
        <v>6601.7754603333324</v>
      </c>
      <c r="R16" s="16">
        <f>L16+F16</f>
        <v>2675973.7799999998</v>
      </c>
    </row>
    <row r="17" spans="1:18">
      <c r="A17" s="11">
        <f>A16+1</f>
        <v>5</v>
      </c>
      <c r="B17" s="8"/>
      <c r="C17" s="8" t="s">
        <v>22</v>
      </c>
      <c r="F17" s="17">
        <f>SUM(F13:F16)</f>
        <v>17648583.809999999</v>
      </c>
      <c r="J17" s="17">
        <f>SUM(J13:J16)</f>
        <v>42229.907930999994</v>
      </c>
      <c r="L17" s="17">
        <f>SUM(L13:L16)</f>
        <v>3898352.0799999996</v>
      </c>
      <c r="N17" s="17">
        <f>SUM(N13:N16)</f>
        <v>4799.6877132916661</v>
      </c>
      <c r="P17" s="17">
        <f>SUM(P13:P16)</f>
        <v>47029.595644291665</v>
      </c>
      <c r="R17" s="17">
        <f>SUM(R13:R16)</f>
        <v>21546935.890000001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>
        <f>'201710 Bk Depr'!R20</f>
        <v>0</v>
      </c>
      <c r="H20" s="1">
        <f>1.99%/12</f>
        <v>1.6583333333333335E-3</v>
      </c>
      <c r="J20" s="9">
        <f>F20*H20</f>
        <v>0</v>
      </c>
      <c r="L20" s="9">
        <f>'Cap&amp;OpEx 2017'!G17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>
        <f>'201710 Bk Depr'!R21</f>
        <v>0</v>
      </c>
      <c r="H21" s="1">
        <f>3.28%/12</f>
        <v>2.7333333333333328E-3</v>
      </c>
      <c r="J21" s="9">
        <f>F21*H21</f>
        <v>0</v>
      </c>
      <c r="L21" s="9">
        <f>'Cap&amp;OpEx 2017'!G18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>
        <f>'201710 Bk Depr'!R22</f>
        <v>0</v>
      </c>
      <c r="H22" s="1">
        <f t="shared" ref="H22" si="1">3.28%/12</f>
        <v>2.7333333333333328E-3</v>
      </c>
      <c r="J22" s="9">
        <f>F22*H22</f>
        <v>0</v>
      </c>
      <c r="L22" s="9">
        <f>'Cap&amp;OpEx 2017'!G19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17648583.809999999</v>
      </c>
      <c r="J25" s="19">
        <f>J17+J23</f>
        <v>42229.907930999994</v>
      </c>
      <c r="L25" s="19">
        <f>L17+L23</f>
        <v>3898352.0799999996</v>
      </c>
      <c r="N25" s="19">
        <f>N17+N23</f>
        <v>4799.6877132916661</v>
      </c>
      <c r="P25" s="19">
        <f>P17+P23</f>
        <v>47029.595644291665</v>
      </c>
      <c r="R25" s="19">
        <f>R17+R23</f>
        <v>21546935.890000001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>
        <f>'201710 Bk Depr'!R28</f>
        <v>297540</v>
      </c>
      <c r="L28" s="9">
        <f>'Cap&amp;OpEx 2017'!G24</f>
        <v>76380</v>
      </c>
      <c r="R28" s="16">
        <f>L28+F28</f>
        <v>373920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>
        <f>'201710 Bk Depr'!R29</f>
        <v>125791.62000000001</v>
      </c>
      <c r="L29" s="9">
        <f>'Cap&amp;OpEx 2017'!G25</f>
        <v>28899.46</v>
      </c>
      <c r="R29" s="16">
        <f>L29+F29</f>
        <v>154691.08000000002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>
        <f>'201710 Bk Depr'!R30</f>
        <v>0</v>
      </c>
      <c r="L30" s="9">
        <f>'Cap&amp;OpEx 2017'!G26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423331.62</v>
      </c>
      <c r="J31" s="17">
        <f>SUM(J28:J30)</f>
        <v>0</v>
      </c>
      <c r="L31" s="17">
        <f>SUM(L28:L30)</f>
        <v>105279.45999999999</v>
      </c>
      <c r="N31" s="17">
        <f>SUM(N28:N30)</f>
        <v>0</v>
      </c>
      <c r="P31" s="17">
        <f>SUM(P28:P30)</f>
        <v>0</v>
      </c>
      <c r="R31" s="17">
        <f>SUM(R28:R30)</f>
        <v>528611.08000000007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10 of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251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115</v>
      </c>
      <c r="G6" s="20"/>
      <c r="H6" s="20"/>
      <c r="I6" s="20"/>
      <c r="J6" s="20" t="s">
        <v>115</v>
      </c>
      <c r="K6" s="20"/>
      <c r="L6" s="20" t="s">
        <v>115</v>
      </c>
      <c r="M6" s="20"/>
      <c r="N6" s="20"/>
      <c r="O6" s="20"/>
      <c r="P6" s="20"/>
      <c r="Q6" s="20"/>
      <c r="R6" s="20" t="s">
        <v>115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>
        <f>'201711 Bk Depr'!R13</f>
        <v>6572720.6900000004</v>
      </c>
      <c r="H13" s="1">
        <f>1.99%/12</f>
        <v>1.6583333333333335E-3</v>
      </c>
      <c r="J13" s="9">
        <f>F13*H13</f>
        <v>10899.761810916669</v>
      </c>
      <c r="L13" s="9">
        <f>'Cap&amp;OpEx 2017'!H10</f>
        <v>907979.32000000007</v>
      </c>
      <c r="N13" s="9">
        <f>H13*L13*0.5</f>
        <v>752.86618616666681</v>
      </c>
      <c r="P13" s="16">
        <f>J13+N13</f>
        <v>11652.627997083335</v>
      </c>
      <c r="R13" s="16">
        <f>L13+F13</f>
        <v>7480700.0100000007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>
        <f>'201711 Bk Depr'!R14</f>
        <v>887729.64</v>
      </c>
      <c r="H14" s="1">
        <f>3.28%/12</f>
        <v>2.7333333333333328E-3</v>
      </c>
      <c r="J14" s="9">
        <f>F14*H14</f>
        <v>2426.4610159999997</v>
      </c>
      <c r="L14" s="9">
        <f>'Cap&amp;OpEx 2017'!H12</f>
        <v>146258.91</v>
      </c>
      <c r="N14" s="9">
        <f>H14*L14*0.5</f>
        <v>199.88717699999998</v>
      </c>
      <c r="P14" s="16">
        <f>J14+N14</f>
        <v>2626.3481929999998</v>
      </c>
      <c r="R14" s="16">
        <f>L14+F14</f>
        <v>1033988.55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>
        <f>'201711 Bk Depr'!R15</f>
        <v>11410511.779999999</v>
      </c>
      <c r="H15" s="1">
        <f t="shared" ref="H15:H16" si="0">3.28%/12</f>
        <v>2.7333333333333328E-3</v>
      </c>
      <c r="J15" s="9">
        <f>F15*H15</f>
        <v>31188.732198666657</v>
      </c>
      <c r="L15" s="9">
        <f>'Cap&amp;OpEx 2017'!H13</f>
        <v>1859739.66</v>
      </c>
      <c r="N15" s="9">
        <f>H15*L15*0.5</f>
        <v>2541.6442019999995</v>
      </c>
      <c r="P15" s="16">
        <f>J15+N15</f>
        <v>33730.376400666661</v>
      </c>
      <c r="R15" s="16">
        <f>L15+F15</f>
        <v>13270251.439999999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>
        <f>'201711 Bk Depr'!R16</f>
        <v>2675973.7799999998</v>
      </c>
      <c r="H16" s="1">
        <f t="shared" si="0"/>
        <v>2.7333333333333328E-3</v>
      </c>
      <c r="J16" s="9">
        <f>F16*H16</f>
        <v>7314.3283319999982</v>
      </c>
      <c r="L16" s="9">
        <f>'Cap&amp;OpEx 2017'!H14</f>
        <v>476052.85999999993</v>
      </c>
      <c r="N16" s="9">
        <f>H16*L16*0.5</f>
        <v>650.60557533333315</v>
      </c>
      <c r="P16" s="16">
        <f>J16+N16</f>
        <v>7964.9339073333313</v>
      </c>
      <c r="R16" s="16">
        <f>L16+F16</f>
        <v>3152026.6399999997</v>
      </c>
    </row>
    <row r="17" spans="1:18">
      <c r="A17" s="11">
        <f>A16+1</f>
        <v>5</v>
      </c>
      <c r="B17" s="8"/>
      <c r="C17" s="8" t="s">
        <v>22</v>
      </c>
      <c r="F17" s="17">
        <f>SUM(F13:F16)</f>
        <v>21546935.890000001</v>
      </c>
      <c r="J17" s="17">
        <f>SUM(J13:J16)</f>
        <v>51829.283357583321</v>
      </c>
      <c r="L17" s="17">
        <f>SUM(L13:L16)</f>
        <v>3390030.7499999995</v>
      </c>
      <c r="N17" s="17">
        <f>SUM(N13:N16)</f>
        <v>4145.0031404999991</v>
      </c>
      <c r="P17" s="17">
        <f>SUM(P13:P16)</f>
        <v>55974.286498083326</v>
      </c>
      <c r="R17" s="17">
        <f>SUM(R13:R16)</f>
        <v>24936966.640000001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>
        <f>'201711 Bk Depr'!R20</f>
        <v>0</v>
      </c>
      <c r="H20" s="1">
        <f>1.99%/12</f>
        <v>1.6583333333333335E-3</v>
      </c>
      <c r="J20" s="9">
        <f>F20*H20</f>
        <v>0</v>
      </c>
      <c r="L20" s="9">
        <f>'Cap&amp;OpEx 2017'!H17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>
        <f>'201711 Bk Depr'!R21</f>
        <v>0</v>
      </c>
      <c r="H21" s="1">
        <f>3.28%/12</f>
        <v>2.7333333333333328E-3</v>
      </c>
      <c r="J21" s="9">
        <f>F21*H21</f>
        <v>0</v>
      </c>
      <c r="L21" s="9">
        <f>'Cap&amp;OpEx 2017'!H18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>
        <f>'201711 Bk Depr'!R22</f>
        <v>0</v>
      </c>
      <c r="H22" s="1">
        <f t="shared" ref="H22" si="1">3.28%/12</f>
        <v>2.7333333333333328E-3</v>
      </c>
      <c r="J22" s="9">
        <f>F22*H22</f>
        <v>0</v>
      </c>
      <c r="L22" s="9">
        <f>'Cap&amp;OpEx 2017'!H19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21546935.890000001</v>
      </c>
      <c r="J25" s="19">
        <f>J17+J23</f>
        <v>51829.283357583321</v>
      </c>
      <c r="L25" s="19">
        <f>L17+L23</f>
        <v>3390030.7499999995</v>
      </c>
      <c r="N25" s="19">
        <f>N17+N23</f>
        <v>4145.0031404999991</v>
      </c>
      <c r="P25" s="19">
        <f>P17+P23</f>
        <v>55974.286498083326</v>
      </c>
      <c r="R25" s="19">
        <f>R17+R23</f>
        <v>24936966.640000001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>
        <f>'201711 Bk Depr'!R28</f>
        <v>373920</v>
      </c>
      <c r="L28" s="9">
        <f>'Cap&amp;OpEx 2017'!H24</f>
        <v>79800</v>
      </c>
      <c r="R28" s="16">
        <f>L28+F28</f>
        <v>453720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>
        <f>'201711 Bk Depr'!R29</f>
        <v>154691.08000000002</v>
      </c>
      <c r="L29" s="9">
        <f>'Cap&amp;OpEx 2017'!H25</f>
        <v>27551.32</v>
      </c>
      <c r="R29" s="16">
        <f>L29+F29</f>
        <v>182242.40000000002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>
        <f>'201711 Bk Depr'!R30</f>
        <v>0</v>
      </c>
      <c r="L30" s="9">
        <f>'Cap&amp;OpEx 2017'!H26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528611.08000000007</v>
      </c>
      <c r="J31" s="17">
        <f>SUM(J28:J30)</f>
        <v>0</v>
      </c>
      <c r="L31" s="17">
        <f>SUM(L28:L30)</f>
        <v>107351.32</v>
      </c>
      <c r="N31" s="17">
        <f>SUM(N28:N30)</f>
        <v>0</v>
      </c>
      <c r="P31" s="17">
        <f>SUM(P28:P30)</f>
        <v>0</v>
      </c>
      <c r="R31" s="17">
        <f>SUM(R28:R30)</f>
        <v>635962.4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11 of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0"/>
  <sheetViews>
    <sheetView zoomScale="85" zoomScaleNormal="85" workbookViewId="0">
      <selection sqref="A1:AP1"/>
    </sheetView>
  </sheetViews>
  <sheetFormatPr defaultRowHeight="12.75"/>
  <cols>
    <col min="1" max="1" width="5.140625" style="68" customWidth="1"/>
    <col min="2" max="2" width="3.28515625" style="68" customWidth="1"/>
    <col min="3" max="3" width="11.7109375" style="68" customWidth="1"/>
    <col min="4" max="4" width="11.7109375" style="68" hidden="1" customWidth="1"/>
    <col min="5" max="5" width="1.28515625" style="68" customWidth="1"/>
    <col min="6" max="6" width="6.140625" style="68" bestFit="1" customWidth="1"/>
    <col min="7" max="7" width="1.28515625" style="68" customWidth="1"/>
    <col min="8" max="8" width="13.7109375" style="68" bestFit="1" customWidth="1"/>
    <col min="9" max="9" width="3.28515625" style="68" customWidth="1"/>
    <col min="10" max="10" width="13.7109375" style="68" bestFit="1" customWidth="1"/>
    <col min="11" max="11" width="3.28515625" style="68" customWidth="1"/>
    <col min="12" max="12" width="13.7109375" style="68" bestFit="1" customWidth="1"/>
    <col min="13" max="13" width="3.28515625" style="68" customWidth="1"/>
    <col min="14" max="14" width="13.7109375" style="68" customWidth="1"/>
    <col min="15" max="15" width="3.140625" style="68" customWidth="1"/>
    <col min="16" max="16" width="12.140625" style="68" customWidth="1"/>
    <col min="17" max="17" width="2.7109375" style="68" customWidth="1"/>
    <col min="18" max="18" width="14.28515625" style="68" bestFit="1" customWidth="1"/>
    <col min="19" max="19" width="2.85546875" style="68" customWidth="1"/>
    <col min="20" max="20" width="15" style="68" bestFit="1" customWidth="1"/>
    <col min="21" max="21" width="1.28515625" style="68" customWidth="1"/>
    <col min="22" max="22" width="13.7109375" style="68" bestFit="1" customWidth="1"/>
    <col min="23" max="23" width="1.7109375" style="68" customWidth="1"/>
    <col min="24" max="24" width="14.42578125" style="68" bestFit="1" customWidth="1"/>
    <col min="25" max="25" width="1.7109375" style="68" customWidth="1"/>
    <col min="26" max="26" width="13.7109375" style="68" bestFit="1" customWidth="1"/>
    <col min="27" max="27" width="1.7109375" style="68" customWidth="1"/>
    <col min="28" max="28" width="11.140625" style="68" customWidth="1"/>
    <col min="29" max="29" width="1.28515625" style="68" customWidth="1"/>
    <col min="30" max="30" width="10.85546875" style="68" customWidth="1"/>
    <col min="31" max="31" width="1.28515625" style="68" customWidth="1"/>
    <col min="32" max="32" width="11.42578125" style="68" customWidth="1"/>
    <col min="33" max="33" width="1.28515625" style="68" customWidth="1"/>
    <col min="34" max="34" width="11.140625" style="68" customWidth="1"/>
    <col min="35" max="35" width="1.7109375" style="68" customWidth="1"/>
    <col min="36" max="36" width="14.85546875" style="68" customWidth="1"/>
    <col min="37" max="37" width="1.7109375" style="68" customWidth="1"/>
    <col min="38" max="38" width="12" style="68" customWidth="1"/>
    <col min="39" max="39" width="2" style="68" customWidth="1"/>
    <col min="40" max="40" width="9.140625" style="68"/>
    <col min="41" max="41" width="1.85546875" style="68" customWidth="1"/>
    <col min="42" max="42" width="13.7109375" style="68" customWidth="1"/>
    <col min="43" max="45" width="9.140625" style="68"/>
    <col min="46" max="46" width="11.85546875" style="68" customWidth="1"/>
    <col min="47" max="16384" width="9.140625" style="68"/>
  </cols>
  <sheetData>
    <row r="1" spans="1:47" ht="18.75">
      <c r="A1" s="313" t="s">
        <v>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</row>
    <row r="2" spans="1:47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</row>
    <row r="3" spans="1:47" ht="18.75">
      <c r="A3" s="313" t="s">
        <v>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</row>
    <row r="4" spans="1:47">
      <c r="A4" s="69"/>
    </row>
    <row r="6" spans="1:47">
      <c r="A6" s="70"/>
      <c r="B6" s="70"/>
      <c r="C6" s="70"/>
      <c r="D6" s="70" t="s">
        <v>25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282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47" ht="25.5">
      <c r="A7" s="70"/>
      <c r="B7" s="70"/>
      <c r="C7" s="71" t="s">
        <v>210</v>
      </c>
      <c r="D7" s="70" t="s">
        <v>26</v>
      </c>
      <c r="E7" s="70"/>
      <c r="F7" s="70"/>
      <c r="G7" s="70"/>
      <c r="H7" s="70">
        <v>2012</v>
      </c>
      <c r="I7" s="70"/>
      <c r="J7" s="70">
        <v>2013</v>
      </c>
      <c r="K7" s="70"/>
      <c r="L7" s="70">
        <v>2014</v>
      </c>
      <c r="M7" s="70"/>
      <c r="N7" s="70">
        <v>2015</v>
      </c>
      <c r="O7" s="70"/>
      <c r="P7" s="70">
        <v>2016</v>
      </c>
      <c r="Q7" s="70"/>
      <c r="R7" s="70">
        <v>2017</v>
      </c>
      <c r="S7" s="70"/>
      <c r="T7" s="70"/>
      <c r="U7" s="70"/>
      <c r="V7" s="70" t="s">
        <v>36</v>
      </c>
      <c r="W7" s="70"/>
      <c r="X7" s="70"/>
      <c r="Y7" s="70"/>
      <c r="Z7" s="70"/>
      <c r="AA7" s="70"/>
      <c r="AB7" s="71" t="s">
        <v>199</v>
      </c>
      <c r="AC7" s="70"/>
      <c r="AD7" s="71" t="s">
        <v>200</v>
      </c>
      <c r="AE7" s="70"/>
      <c r="AF7" s="71" t="s">
        <v>205</v>
      </c>
      <c r="AG7" s="70"/>
      <c r="AH7" s="71" t="s">
        <v>207</v>
      </c>
      <c r="AI7" s="70"/>
      <c r="AJ7" s="70" t="s">
        <v>43</v>
      </c>
      <c r="AL7" s="71" t="s">
        <v>178</v>
      </c>
      <c r="AM7" s="70"/>
      <c r="AN7" s="71"/>
      <c r="AO7" s="70"/>
      <c r="AP7" s="71" t="s">
        <v>273</v>
      </c>
    </row>
    <row r="8" spans="1:47">
      <c r="A8" s="70" t="s">
        <v>4</v>
      </c>
      <c r="B8" s="70"/>
      <c r="C8" s="70" t="s">
        <v>27</v>
      </c>
      <c r="D8" s="70" t="s">
        <v>27</v>
      </c>
      <c r="E8" s="70"/>
      <c r="F8" s="70"/>
      <c r="G8" s="70"/>
      <c r="H8" s="70" t="s">
        <v>29</v>
      </c>
      <c r="I8" s="70"/>
      <c r="J8" s="70" t="s">
        <v>30</v>
      </c>
      <c r="K8" s="70"/>
      <c r="L8" s="70" t="s">
        <v>31</v>
      </c>
      <c r="M8" s="70"/>
      <c r="N8" s="70" t="s">
        <v>32</v>
      </c>
      <c r="O8" s="70"/>
      <c r="P8" s="70" t="s">
        <v>33</v>
      </c>
      <c r="Q8" s="70"/>
      <c r="R8" s="70" t="s">
        <v>34</v>
      </c>
      <c r="S8" s="70"/>
      <c r="T8" s="70" t="s">
        <v>35</v>
      </c>
      <c r="U8" s="70"/>
      <c r="V8" s="70" t="s">
        <v>37</v>
      </c>
      <c r="W8" s="70"/>
      <c r="X8" s="70" t="s">
        <v>39</v>
      </c>
      <c r="Y8" s="70"/>
      <c r="Z8" s="70"/>
      <c r="AA8" s="70"/>
      <c r="AB8" s="70" t="s">
        <v>35</v>
      </c>
      <c r="AC8" s="70"/>
      <c r="AD8" s="70" t="s">
        <v>35</v>
      </c>
      <c r="AE8" s="70"/>
      <c r="AF8" s="70" t="s">
        <v>206</v>
      </c>
      <c r="AG8" s="70"/>
      <c r="AH8" s="70" t="s">
        <v>209</v>
      </c>
      <c r="AI8" s="70"/>
      <c r="AJ8" s="70" t="s">
        <v>41</v>
      </c>
      <c r="AL8" s="70" t="s">
        <v>274</v>
      </c>
      <c r="AM8" s="70"/>
      <c r="AN8" s="70" t="s">
        <v>178</v>
      </c>
      <c r="AO8" s="70"/>
      <c r="AP8" s="70" t="s">
        <v>41</v>
      </c>
    </row>
    <row r="9" spans="1:47">
      <c r="A9" s="164" t="s">
        <v>5</v>
      </c>
      <c r="B9" s="164"/>
      <c r="C9" s="164" t="s">
        <v>2</v>
      </c>
      <c r="D9" s="164" t="s">
        <v>2</v>
      </c>
      <c r="E9" s="164"/>
      <c r="F9" s="164" t="s">
        <v>116</v>
      </c>
      <c r="G9" s="164"/>
      <c r="H9" s="164" t="s">
        <v>20</v>
      </c>
      <c r="I9" s="164"/>
      <c r="J9" s="164" t="s">
        <v>20</v>
      </c>
      <c r="K9" s="164"/>
      <c r="L9" s="164" t="s">
        <v>20</v>
      </c>
      <c r="M9" s="164"/>
      <c r="N9" s="164" t="s">
        <v>20</v>
      </c>
      <c r="O9" s="164"/>
      <c r="P9" s="164" t="s">
        <v>20</v>
      </c>
      <c r="Q9" s="164"/>
      <c r="R9" s="164" t="s">
        <v>20</v>
      </c>
      <c r="S9" s="164"/>
      <c r="T9" s="164" t="s">
        <v>0</v>
      </c>
      <c r="U9" s="164"/>
      <c r="V9" s="164" t="s">
        <v>38</v>
      </c>
      <c r="W9" s="164"/>
      <c r="X9" s="164" t="s">
        <v>0</v>
      </c>
      <c r="Y9" s="164"/>
      <c r="Z9" s="164" t="s">
        <v>40</v>
      </c>
      <c r="AA9" s="164"/>
      <c r="AB9" s="72" t="s">
        <v>201</v>
      </c>
      <c r="AC9" s="164"/>
      <c r="AD9" s="72" t="s">
        <v>204</v>
      </c>
      <c r="AE9" s="164"/>
      <c r="AF9" s="72" t="s">
        <v>201</v>
      </c>
      <c r="AG9" s="164"/>
      <c r="AH9" s="72" t="s">
        <v>12</v>
      </c>
      <c r="AI9" s="164"/>
      <c r="AJ9" s="164" t="s">
        <v>44</v>
      </c>
      <c r="AL9" s="72" t="s">
        <v>275</v>
      </c>
      <c r="AM9" s="170"/>
      <c r="AN9" s="72" t="s">
        <v>276</v>
      </c>
      <c r="AO9" s="170"/>
      <c r="AP9" s="170" t="s">
        <v>44</v>
      </c>
    </row>
    <row r="10" spans="1:47">
      <c r="C10" s="73"/>
      <c r="D10" s="73" t="s">
        <v>79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U10" s="74"/>
      <c r="W10" s="74"/>
      <c r="Y10" s="74"/>
      <c r="AA10" s="74"/>
      <c r="AC10" s="74"/>
      <c r="AE10" s="74"/>
      <c r="AG10" s="74"/>
      <c r="AI10" s="74"/>
      <c r="AM10" s="74"/>
      <c r="AO10" s="74"/>
    </row>
    <row r="11" spans="1:47">
      <c r="A11" s="68">
        <v>1</v>
      </c>
      <c r="C11" s="73" t="s">
        <v>78</v>
      </c>
      <c r="D11" s="75"/>
      <c r="H11" s="36"/>
      <c r="I11" s="76"/>
      <c r="J11" s="36"/>
      <c r="K11" s="36"/>
      <c r="L11" s="36"/>
      <c r="M11" s="36"/>
      <c r="N11" s="36"/>
      <c r="O11" s="36"/>
      <c r="P11" s="36"/>
      <c r="Q11" s="36"/>
      <c r="R11" s="36">
        <f>SUM('Capital Budget 2017'!K15:P15)-R12-R13</f>
        <v>12894623.510000002</v>
      </c>
    </row>
    <row r="12" spans="1:47">
      <c r="A12" s="68">
        <v>2</v>
      </c>
      <c r="C12" s="73" t="s">
        <v>82</v>
      </c>
      <c r="D12" s="75"/>
      <c r="H12" s="36"/>
      <c r="J12" s="36"/>
      <c r="K12" s="36"/>
      <c r="L12" s="36"/>
      <c r="M12" s="36"/>
      <c r="N12" s="36"/>
      <c r="O12" s="36"/>
      <c r="P12" s="36"/>
      <c r="Q12" s="36"/>
      <c r="R12" s="36">
        <f>SUM('Capital Budget 2017'!K3:P5,'Capital Budget 2017'!K11:P14)</f>
        <v>4373636.9100000011</v>
      </c>
    </row>
    <row r="13" spans="1:47">
      <c r="A13" s="68">
        <v>3</v>
      </c>
      <c r="C13" s="73" t="s">
        <v>203</v>
      </c>
      <c r="D13" s="75"/>
      <c r="H13" s="36"/>
      <c r="J13" s="36"/>
      <c r="K13" s="36"/>
      <c r="L13" s="36"/>
      <c r="M13" s="36"/>
      <c r="N13" s="36"/>
      <c r="O13" s="36"/>
      <c r="P13" s="36"/>
      <c r="Q13" s="36"/>
      <c r="R13" s="36">
        <f>SUM('Capital Budget 2017'!K6:P7,'Capital Budget 2017'!K9:P9)*0.5</f>
        <v>7668706.2199999997</v>
      </c>
    </row>
    <row r="14" spans="1:47">
      <c r="C14" s="75"/>
      <c r="H14" s="36"/>
      <c r="L14" s="36"/>
      <c r="AR14" s="65"/>
      <c r="AS14" s="65"/>
      <c r="AT14" s="65"/>
      <c r="AU14" s="65"/>
    </row>
    <row r="15" spans="1:47">
      <c r="H15" s="330" t="s">
        <v>45</v>
      </c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AR15" s="65"/>
      <c r="AS15" s="65"/>
      <c r="AT15" s="65"/>
      <c r="AU15" s="65"/>
    </row>
    <row r="16" spans="1:47">
      <c r="AH16" s="36"/>
      <c r="AJ16" s="36"/>
      <c r="AP16" s="36">
        <f>AJ16</f>
        <v>0</v>
      </c>
      <c r="AR16" s="65"/>
      <c r="AS16" s="65"/>
      <c r="AT16" s="65"/>
      <c r="AU16" s="65"/>
    </row>
    <row r="17" spans="1:47">
      <c r="A17" s="68">
        <f>A13+1</f>
        <v>4</v>
      </c>
      <c r="C17" s="77">
        <v>3.7499999999999999E-2</v>
      </c>
      <c r="D17" s="77">
        <v>0.05</v>
      </c>
      <c r="F17" s="68">
        <v>1</v>
      </c>
      <c r="H17" s="36"/>
      <c r="I17" s="76"/>
      <c r="J17" s="36"/>
      <c r="L17" s="36"/>
      <c r="N17" s="36"/>
      <c r="P17" s="36"/>
      <c r="R17" s="36"/>
      <c r="T17" s="36"/>
      <c r="V17" s="36"/>
      <c r="X17" s="36"/>
      <c r="Z17" s="36"/>
      <c r="AB17" s="36"/>
      <c r="AD17" s="36"/>
      <c r="AF17" s="36"/>
      <c r="AH17" s="36"/>
      <c r="AJ17" s="36"/>
      <c r="AL17" s="36">
        <f>AJ17-AJ16</f>
        <v>0</v>
      </c>
      <c r="AN17" s="172"/>
      <c r="AP17" s="36">
        <f>AP16+AL17*335/365</f>
        <v>0</v>
      </c>
      <c r="AR17" s="65"/>
      <c r="AS17" s="65"/>
      <c r="AT17" s="67"/>
      <c r="AU17" s="65"/>
    </row>
    <row r="18" spans="1:47">
      <c r="A18" s="68">
        <f>A17+1</f>
        <v>5</v>
      </c>
      <c r="C18" s="77">
        <v>7.2190000000000004E-2</v>
      </c>
      <c r="D18" s="77">
        <v>9.5000000000000001E-2</v>
      </c>
      <c r="F18" s="68">
        <v>2</v>
      </c>
      <c r="H18" s="36"/>
      <c r="I18" s="76"/>
      <c r="J18" s="36"/>
      <c r="L18" s="36"/>
      <c r="N18" s="36"/>
      <c r="P18" s="36"/>
      <c r="R18" s="36"/>
      <c r="T18" s="36"/>
      <c r="V18" s="36"/>
      <c r="X18" s="36"/>
      <c r="Z18" s="36"/>
      <c r="AB18" s="36"/>
      <c r="AD18" s="36"/>
      <c r="AF18" s="36"/>
      <c r="AH18" s="36"/>
      <c r="AJ18" s="36"/>
      <c r="AL18" s="36">
        <f t="shared" ref="AL18:AL28" si="0">AJ18-AJ17</f>
        <v>0</v>
      </c>
      <c r="AN18" s="172"/>
      <c r="AP18" s="36">
        <f>AP17+AL18*307/365</f>
        <v>0</v>
      </c>
      <c r="AR18" s="65"/>
      <c r="AS18" s="65"/>
      <c r="AT18" s="67"/>
      <c r="AU18" s="65"/>
    </row>
    <row r="19" spans="1:47">
      <c r="A19" s="68">
        <f t="shared" ref="A19:A44" si="1">A18+1</f>
        <v>6</v>
      </c>
      <c r="C19" s="77">
        <v>6.6769999999999996E-2</v>
      </c>
      <c r="D19" s="77">
        <v>8.5500000000000007E-2</v>
      </c>
      <c r="F19" s="68">
        <v>3</v>
      </c>
      <c r="H19" s="36"/>
      <c r="I19" s="76"/>
      <c r="J19" s="36"/>
      <c r="L19" s="36"/>
      <c r="N19" s="36"/>
      <c r="P19" s="36"/>
      <c r="R19" s="36"/>
      <c r="T19" s="36"/>
      <c r="V19" s="36"/>
      <c r="X19" s="36"/>
      <c r="Z19" s="36"/>
      <c r="AB19" s="36"/>
      <c r="AD19" s="36"/>
      <c r="AF19" s="36"/>
      <c r="AH19" s="36"/>
      <c r="AJ19" s="36"/>
      <c r="AL19" s="36">
        <f t="shared" si="0"/>
        <v>0</v>
      </c>
      <c r="AN19" s="172"/>
      <c r="AP19" s="36">
        <f>AP18+AL19*276/365</f>
        <v>0</v>
      </c>
      <c r="AR19" s="65"/>
      <c r="AS19" s="65"/>
      <c r="AT19" s="67"/>
      <c r="AU19" s="65"/>
    </row>
    <row r="20" spans="1:47">
      <c r="A20" s="68">
        <f t="shared" si="1"/>
        <v>7</v>
      </c>
      <c r="C20" s="77">
        <v>6.1769999999999999E-2</v>
      </c>
      <c r="D20" s="77">
        <v>7.6999999999999999E-2</v>
      </c>
      <c r="F20" s="68">
        <v>4</v>
      </c>
      <c r="H20" s="36"/>
      <c r="I20" s="76"/>
      <c r="J20" s="36"/>
      <c r="L20" s="36"/>
      <c r="N20" s="36"/>
      <c r="P20" s="36"/>
      <c r="R20" s="36"/>
      <c r="T20" s="36"/>
      <c r="V20" s="36"/>
      <c r="X20" s="36"/>
      <c r="Z20" s="36"/>
      <c r="AB20" s="36"/>
      <c r="AD20" s="36"/>
      <c r="AF20" s="36"/>
      <c r="AH20" s="36"/>
      <c r="AJ20" s="36"/>
      <c r="AL20" s="36">
        <f t="shared" si="0"/>
        <v>0</v>
      </c>
      <c r="AN20" s="172"/>
      <c r="AP20" s="36">
        <f>AP19+AL20*246/365</f>
        <v>0</v>
      </c>
      <c r="AR20" s="65"/>
      <c r="AS20" s="280"/>
      <c r="AT20" s="67"/>
      <c r="AU20" s="65"/>
    </row>
    <row r="21" spans="1:47">
      <c r="A21" s="68">
        <f t="shared" si="1"/>
        <v>8</v>
      </c>
      <c r="C21" s="77">
        <v>5.713E-2</v>
      </c>
      <c r="D21" s="77">
        <v>6.93E-2</v>
      </c>
      <c r="F21" s="68">
        <v>5</v>
      </c>
      <c r="H21" s="36"/>
      <c r="I21" s="76"/>
      <c r="J21" s="36"/>
      <c r="L21" s="36"/>
      <c r="N21" s="36"/>
      <c r="P21" s="36"/>
      <c r="R21" s="36"/>
      <c r="T21" s="36"/>
      <c r="V21" s="36"/>
      <c r="X21" s="36"/>
      <c r="Z21" s="36"/>
      <c r="AB21" s="36"/>
      <c r="AD21" s="36"/>
      <c r="AF21" s="36"/>
      <c r="AH21" s="36"/>
      <c r="AJ21" s="36"/>
      <c r="AL21" s="36">
        <f t="shared" si="0"/>
        <v>0</v>
      </c>
      <c r="AN21" s="172"/>
      <c r="AP21" s="36">
        <f>AP20+AL21*215/365</f>
        <v>0</v>
      </c>
      <c r="AR21" s="65"/>
      <c r="AS21" s="65"/>
      <c r="AT21" s="67"/>
      <c r="AU21" s="65"/>
    </row>
    <row r="22" spans="1:47">
      <c r="A22" s="68">
        <f t="shared" si="1"/>
        <v>9</v>
      </c>
      <c r="C22" s="77">
        <v>5.2850000000000001E-2</v>
      </c>
      <c r="D22" s="77">
        <v>6.2300000000000001E-2</v>
      </c>
      <c r="F22" s="68">
        <v>6</v>
      </c>
      <c r="H22" s="36"/>
      <c r="I22" s="76"/>
      <c r="J22" s="36"/>
      <c r="L22" s="36"/>
      <c r="N22" s="36"/>
      <c r="P22" s="36"/>
      <c r="R22" s="36"/>
      <c r="T22" s="36"/>
      <c r="V22" s="36"/>
      <c r="X22" s="36"/>
      <c r="Z22" s="36"/>
      <c r="AB22" s="36"/>
      <c r="AD22" s="36"/>
      <c r="AF22" s="36"/>
      <c r="AH22" s="36"/>
      <c r="AJ22" s="36"/>
      <c r="AL22" s="36">
        <f t="shared" si="0"/>
        <v>0</v>
      </c>
      <c r="AN22" s="172"/>
      <c r="AP22" s="36">
        <f>AP21+AL22*185/365</f>
        <v>0</v>
      </c>
      <c r="AR22" s="65"/>
      <c r="AS22" s="65"/>
      <c r="AT22" s="65"/>
      <c r="AU22" s="65"/>
    </row>
    <row r="23" spans="1:47">
      <c r="A23" s="68">
        <f t="shared" si="1"/>
        <v>10</v>
      </c>
      <c r="C23" s="77">
        <v>4.888E-2</v>
      </c>
      <c r="D23" s="77">
        <v>5.8999999999999997E-2</v>
      </c>
      <c r="F23" s="68">
        <v>7</v>
      </c>
      <c r="H23" s="36"/>
      <c r="I23" s="76"/>
      <c r="J23" s="36"/>
      <c r="L23" s="36"/>
      <c r="N23" s="36"/>
      <c r="P23" s="36"/>
      <c r="R23" s="283">
        <f>(('201707 Bk Depr'!$L$17-SUM('Capital Budget 2017'!K$3:K$5,'Capital Budget 2017'!K$11:K$14)-(1/6*R13))*$C$17)+SUM('Capital Budget 2017'!K$3:K$5,'Capital Budget 2017'!K$11:K$14)+(1/6*R13)</f>
        <v>2162738.8767083329</v>
      </c>
      <c r="T23" s="36">
        <f t="shared" ref="T23:T28" si="2">SUM(H23:S23)</f>
        <v>2162738.8767083329</v>
      </c>
      <c r="V23" s="36">
        <f>'201707 Bk Depr'!L$31</f>
        <v>98875.65</v>
      </c>
      <c r="X23" s="36">
        <f>'201707 Bk Depr'!P$17</f>
        <v>5144.5105125416667</v>
      </c>
      <c r="Z23" s="36">
        <f t="shared" ref="Z23:Z28" si="3">T23+V23-X23</f>
        <v>2256470.0161957913</v>
      </c>
      <c r="AB23" s="36">
        <f t="shared" ref="AB23:AB28" si="4">Z23*0.35</f>
        <v>789764.50566852686</v>
      </c>
      <c r="AD23" s="36">
        <f t="shared" ref="AD23:AD28" si="5">AB71</f>
        <v>61576.903604247491</v>
      </c>
      <c r="AF23" s="36">
        <f t="shared" ref="AF23:AF28" si="6">-AD23*0.35</f>
        <v>-21551.916261486622</v>
      </c>
      <c r="AH23" s="36"/>
      <c r="AJ23" s="36">
        <f>AJ22+AB23+AD23+AF23+AH23</f>
        <v>829789.49301128776</v>
      </c>
      <c r="AL23" s="36">
        <f t="shared" si="0"/>
        <v>829789.49301128776</v>
      </c>
      <c r="AN23" s="172" t="s">
        <v>297</v>
      </c>
      <c r="AP23" s="36">
        <f>AP22+AL23*154/184</f>
        <v>694497.72784640384</v>
      </c>
      <c r="AR23" s="65"/>
      <c r="AS23" s="65"/>
      <c r="AT23" s="65"/>
      <c r="AU23" s="65"/>
    </row>
    <row r="24" spans="1:47">
      <c r="A24" s="68">
        <f t="shared" si="1"/>
        <v>11</v>
      </c>
      <c r="C24" s="77">
        <v>4.5220000000000003E-2</v>
      </c>
      <c r="D24" s="77">
        <v>5.8999999999999997E-2</v>
      </c>
      <c r="F24" s="68">
        <v>8</v>
      </c>
      <c r="H24" s="36"/>
      <c r="I24" s="76"/>
      <c r="J24" s="36"/>
      <c r="L24" s="36"/>
      <c r="N24" s="36"/>
      <c r="P24" s="36"/>
      <c r="R24" s="283">
        <f>(('201708 Bk Depr'!$L$17-SUM('Capital Budget 2017'!L$3:L$5,'Capital Budget 2017'!L$11:L$14)-(1/6*R13))*$C$17)+SUM('Capital Budget 2017'!L$3:L$5,'Capital Budget 2017'!L$11:L$14)+(1/6*R13)</f>
        <v>2275903.141458333</v>
      </c>
      <c r="T24" s="36">
        <f t="shared" si="2"/>
        <v>2275903.141458333</v>
      </c>
      <c r="V24" s="36">
        <f>'201708 Bk Depr'!L$31</f>
        <v>109834.08</v>
      </c>
      <c r="X24" s="36">
        <f>'201708 Bk Depr'!P$17</f>
        <v>15931.071814541665</v>
      </c>
      <c r="Z24" s="36">
        <f t="shared" si="3"/>
        <v>2369806.1496437914</v>
      </c>
      <c r="AB24" s="36">
        <f t="shared" si="4"/>
        <v>829432.15237532696</v>
      </c>
      <c r="AD24" s="36">
        <f t="shared" si="5"/>
        <v>68377.071611127496</v>
      </c>
      <c r="AF24" s="36">
        <f t="shared" si="6"/>
        <v>-23931.975063894621</v>
      </c>
      <c r="AH24" s="36"/>
      <c r="AJ24" s="36">
        <f t="shared" ref="AJ24:AJ28" si="7">AJ23+AB24+AD24+AF24+AH24</f>
        <v>1703666.7419338478</v>
      </c>
      <c r="AL24" s="36">
        <f t="shared" si="0"/>
        <v>873877.24892256001</v>
      </c>
      <c r="AN24" s="172" t="s">
        <v>296</v>
      </c>
      <c r="AP24" s="36">
        <f>AP23+AL24*123/184</f>
        <v>1278665.6714196368</v>
      </c>
      <c r="AR24" s="281"/>
      <c r="AS24" s="65"/>
      <c r="AT24" s="65"/>
      <c r="AU24" s="65"/>
    </row>
    <row r="25" spans="1:47">
      <c r="A25" s="68">
        <f t="shared" si="1"/>
        <v>12</v>
      </c>
      <c r="C25" s="77">
        <v>4.462E-2</v>
      </c>
      <c r="D25" s="77">
        <v>5.91E-2</v>
      </c>
      <c r="F25" s="68">
        <v>9</v>
      </c>
      <c r="H25" s="36"/>
      <c r="I25" s="76"/>
      <c r="J25" s="36"/>
      <c r="L25" s="36"/>
      <c r="N25" s="36"/>
      <c r="P25" s="36"/>
      <c r="R25" s="283">
        <f>(('201709 Bk Depr'!$L$17-SUM('Capital Budget 2017'!M$3:M$5,'Capital Budget 2017'!M$11:M$14)-(1/6*R13))*$C$17)+SUM('Capital Budget 2017'!M$3:M$5,'Capital Budget 2017'!M$11:M$14)+(1/6*R13)</f>
        <v>2163587.327583333</v>
      </c>
      <c r="T25" s="36">
        <f t="shared" si="2"/>
        <v>2163587.327583333</v>
      </c>
      <c r="V25" s="36">
        <f>'201709 Bk Depr'!L$31</f>
        <v>109423.45</v>
      </c>
      <c r="X25" s="36">
        <f>'201709 Bk Depr'!P$17</f>
        <v>26682.035176333331</v>
      </c>
      <c r="Z25" s="36">
        <f t="shared" si="3"/>
        <v>2246328.7424069997</v>
      </c>
      <c r="AB25" s="36">
        <f t="shared" si="4"/>
        <v>786215.05984244985</v>
      </c>
      <c r="AD25" s="36">
        <f t="shared" si="5"/>
        <v>60968.427176919999</v>
      </c>
      <c r="AF25" s="36">
        <f t="shared" si="6"/>
        <v>-21338.949511921997</v>
      </c>
      <c r="AH25" s="36"/>
      <c r="AJ25" s="36">
        <f t="shared" si="7"/>
        <v>2529511.2794412952</v>
      </c>
      <c r="AL25" s="36">
        <f t="shared" si="0"/>
        <v>825844.53750744741</v>
      </c>
      <c r="AN25" s="172" t="s">
        <v>295</v>
      </c>
      <c r="AP25" s="36">
        <f>AP24+AL25*93/184</f>
        <v>1696076.2257032923</v>
      </c>
    </row>
    <row r="26" spans="1:47">
      <c r="A26" s="68">
        <f t="shared" si="1"/>
        <v>13</v>
      </c>
      <c r="C26" s="77">
        <v>4.4609999999999997E-2</v>
      </c>
      <c r="D26" s="77">
        <v>5.8999999999999997E-2</v>
      </c>
      <c r="F26" s="68">
        <v>10</v>
      </c>
      <c r="H26" s="36"/>
      <c r="I26" s="76"/>
      <c r="J26" s="36"/>
      <c r="L26" s="36"/>
      <c r="N26" s="36"/>
      <c r="P26" s="36"/>
      <c r="R26" s="283">
        <f>(('201710 Bk Depr'!$L$17-SUM('Capital Budget 2017'!N$3:N$5,'Capital Budget 2017'!N$11:N$14)-(1/6*R13))*$C$17)+SUM('Capital Budget 2017'!N$3:N$5,'Capital Budget 2017'!N$11:N$14)+(1/6*R13)</f>
        <v>2052252.6777083329</v>
      </c>
      <c r="T26" s="36">
        <f t="shared" si="2"/>
        <v>2052252.6777083329</v>
      </c>
      <c r="V26" s="36">
        <f>'201710 Bk Depr'!L$31</f>
        <v>105198.44</v>
      </c>
      <c r="X26" s="36">
        <f>'201710 Bk Depr'!P$17</f>
        <v>37010.427839833326</v>
      </c>
      <c r="Z26" s="36">
        <f t="shared" si="3"/>
        <v>2120440.6898684995</v>
      </c>
      <c r="AB26" s="36">
        <f t="shared" si="4"/>
        <v>742154.24145397474</v>
      </c>
      <c r="AD26" s="36">
        <f t="shared" si="5"/>
        <v>53415.144024609988</v>
      </c>
      <c r="AF26" s="36">
        <f t="shared" si="6"/>
        <v>-18695.300408613493</v>
      </c>
      <c r="AH26" s="36"/>
      <c r="AJ26" s="36">
        <f t="shared" si="7"/>
        <v>3306385.3645112664</v>
      </c>
      <c r="AL26" s="36">
        <f t="shared" si="0"/>
        <v>776874.08506997116</v>
      </c>
      <c r="AN26" s="172" t="s">
        <v>294</v>
      </c>
      <c r="AP26" s="36">
        <f>AP25+AL26*62/184</f>
        <v>1957849.0152377391</v>
      </c>
    </row>
    <row r="27" spans="1:47">
      <c r="A27" s="68">
        <f t="shared" si="1"/>
        <v>14</v>
      </c>
      <c r="C27" s="77">
        <v>4.462E-2</v>
      </c>
      <c r="D27" s="77">
        <v>5.91E-2</v>
      </c>
      <c r="F27" s="68">
        <v>11</v>
      </c>
      <c r="H27" s="36"/>
      <c r="I27" s="76"/>
      <c r="J27" s="36"/>
      <c r="L27" s="36"/>
      <c r="N27" s="36"/>
      <c r="P27" s="36"/>
      <c r="R27" s="283">
        <f>(('201711 Bk Depr'!$L$17-SUM('Capital Budget 2017'!O$3:O$5,'Capital Budget 2017'!O$11:O$14)-(1/6*R13))*$C$17)+SUM('Capital Budget 2017'!O$3:O$5,'Capital Budget 2017'!O$11:O$14)+(1/6*R13)</f>
        <v>2013737.938333333</v>
      </c>
      <c r="T27" s="36">
        <f t="shared" si="2"/>
        <v>2013737.938333333</v>
      </c>
      <c r="V27" s="36">
        <f>'201711 Bk Depr'!L$31</f>
        <v>105279.45999999999</v>
      </c>
      <c r="X27" s="36">
        <f>'201711 Bk Depr'!P$17</f>
        <v>47029.595644291665</v>
      </c>
      <c r="Z27" s="36">
        <f t="shared" si="3"/>
        <v>2071987.8026890412</v>
      </c>
      <c r="AB27" s="36">
        <f t="shared" si="4"/>
        <v>725195.73094116442</v>
      </c>
      <c r="AD27" s="36">
        <f t="shared" si="5"/>
        <v>50507.970793842491</v>
      </c>
      <c r="AF27" s="36">
        <f t="shared" si="6"/>
        <v>-17677.789777844871</v>
      </c>
      <c r="AH27" s="36"/>
      <c r="AJ27" s="36">
        <f t="shared" si="7"/>
        <v>4064411.2764684283</v>
      </c>
      <c r="AL27" s="36">
        <f t="shared" si="0"/>
        <v>758025.91195716197</v>
      </c>
      <c r="AN27" s="172" t="s">
        <v>293</v>
      </c>
      <c r="AP27" s="36">
        <f>AP26+AL27*32/184</f>
        <v>2089679.6086215933</v>
      </c>
    </row>
    <row r="28" spans="1:47">
      <c r="A28" s="68">
        <f t="shared" si="1"/>
        <v>15</v>
      </c>
      <c r="C28" s="77">
        <v>4.4609999999999997E-2</v>
      </c>
      <c r="D28" s="77">
        <v>5.8999999999999997E-2</v>
      </c>
      <c r="F28" s="68">
        <v>12</v>
      </c>
      <c r="H28" s="36"/>
      <c r="I28" s="76"/>
      <c r="J28" s="36"/>
      <c r="L28" s="36"/>
      <c r="N28" s="36"/>
      <c r="P28" s="36"/>
      <c r="R28" s="283">
        <f>(('201712 Bk Depr'!$L$17-SUM('Capital Budget 2017'!P$3:P$5,'Capital Budget 2017'!P$11:P$14)-(1/6*R13))*$C$17)+SUM('Capital Budget 2017'!P$3:P$5,'Capital Budget 2017'!P$11:P$14)+(1/6*R13)</f>
        <v>1857671.5498333331</v>
      </c>
      <c r="T28" s="36">
        <f t="shared" si="2"/>
        <v>1857671.5498333331</v>
      </c>
      <c r="V28" s="36">
        <f>'201712 Bk Depr'!L$31</f>
        <v>107351.32</v>
      </c>
      <c r="X28" s="36">
        <f>'201712 Bk Depr'!P$17</f>
        <v>55974.286498083326</v>
      </c>
      <c r="Z28" s="36">
        <f t="shared" si="3"/>
        <v>1909048.5833352499</v>
      </c>
      <c r="AB28" s="36">
        <f t="shared" si="4"/>
        <v>668167.00416733744</v>
      </c>
      <c r="AD28" s="36">
        <f t="shared" si="5"/>
        <v>40731.617632614994</v>
      </c>
      <c r="AF28" s="36">
        <f t="shared" si="6"/>
        <v>-14256.066171415247</v>
      </c>
      <c r="AH28" s="36"/>
      <c r="AJ28" s="36">
        <f t="shared" si="7"/>
        <v>4759053.832096966</v>
      </c>
      <c r="AL28" s="36">
        <f t="shared" si="0"/>
        <v>694642.55562853767</v>
      </c>
      <c r="AN28" s="172" t="s">
        <v>292</v>
      </c>
      <c r="AP28" s="36">
        <f>AP27+AL28*1/184</f>
        <v>2093454.8399021833</v>
      </c>
    </row>
    <row r="29" spans="1:47">
      <c r="A29" s="68">
        <f t="shared" si="1"/>
        <v>16</v>
      </c>
      <c r="C29" s="77">
        <v>4.462E-2</v>
      </c>
      <c r="D29" s="77">
        <v>5.91E-2</v>
      </c>
      <c r="H29" s="36"/>
      <c r="J29" s="36"/>
      <c r="L29" s="36"/>
      <c r="N29" s="36"/>
      <c r="P29" s="36"/>
      <c r="R29" s="36"/>
      <c r="T29" s="36"/>
      <c r="V29" s="36"/>
      <c r="X29" s="36"/>
      <c r="Z29" s="36"/>
      <c r="AB29" s="36"/>
      <c r="AD29" s="36"/>
      <c r="AF29" s="36"/>
      <c r="AH29" s="36" t="str">
        <f t="shared" ref="AH29:AH43" si="8">IF(AF29="","",AF29*0.389)</f>
        <v/>
      </c>
      <c r="AJ29" s="78"/>
      <c r="AP29" s="36"/>
    </row>
    <row r="30" spans="1:47">
      <c r="A30" s="68">
        <f t="shared" si="1"/>
        <v>17</v>
      </c>
      <c r="C30" s="77">
        <v>4.4609999999999997E-2</v>
      </c>
      <c r="D30" s="77">
        <v>5.8999999999999997E-2</v>
      </c>
      <c r="H30" s="36"/>
      <c r="J30" s="36"/>
      <c r="L30" s="36"/>
      <c r="N30" s="36"/>
      <c r="P30" s="36"/>
      <c r="R30" s="36"/>
      <c r="T30" s="36"/>
      <c r="V30" s="36"/>
      <c r="X30" s="36"/>
      <c r="Z30" s="36"/>
      <c r="AB30" s="36"/>
      <c r="AD30" s="36"/>
      <c r="AF30" s="36"/>
      <c r="AH30" s="36" t="str">
        <f t="shared" si="8"/>
        <v/>
      </c>
      <c r="AJ30" s="36" t="str">
        <f t="shared" ref="AJ30:AJ43" si="9">IF(AB30="","",AJ29+AB30)</f>
        <v/>
      </c>
    </row>
    <row r="31" spans="1:47">
      <c r="A31" s="68">
        <f t="shared" si="1"/>
        <v>18</v>
      </c>
      <c r="C31" s="77">
        <v>4.462E-2</v>
      </c>
      <c r="D31" s="77">
        <v>5.91E-2</v>
      </c>
      <c r="H31" s="36"/>
      <c r="J31" s="78"/>
      <c r="L31" s="36"/>
      <c r="N31" s="36"/>
      <c r="P31" s="36"/>
      <c r="R31" s="36"/>
      <c r="T31" s="36"/>
      <c r="V31" s="36"/>
      <c r="X31" s="36"/>
      <c r="Z31" s="36"/>
      <c r="AB31" s="36"/>
      <c r="AD31" s="36"/>
      <c r="AF31" s="36"/>
      <c r="AH31" s="36" t="str">
        <f t="shared" si="8"/>
        <v/>
      </c>
      <c r="AJ31" s="36" t="str">
        <f t="shared" si="9"/>
        <v/>
      </c>
    </row>
    <row r="32" spans="1:47">
      <c r="A32" s="68">
        <f t="shared" si="1"/>
        <v>19</v>
      </c>
      <c r="C32" s="77">
        <v>4.4609999999999997E-2</v>
      </c>
      <c r="D32" s="77">
        <v>2.9499999999999998E-2</v>
      </c>
      <c r="H32" s="36"/>
      <c r="J32" s="36"/>
      <c r="L32" s="36"/>
      <c r="N32" s="36"/>
      <c r="P32" s="36"/>
      <c r="R32" s="36"/>
      <c r="T32" s="36"/>
      <c r="V32" s="36"/>
      <c r="X32" s="36"/>
      <c r="Z32" s="36"/>
      <c r="AB32" s="36"/>
      <c r="AD32" s="36"/>
      <c r="AF32" s="36"/>
      <c r="AH32" s="36" t="str">
        <f t="shared" si="8"/>
        <v/>
      </c>
      <c r="AJ32" s="36" t="str">
        <f t="shared" si="9"/>
        <v/>
      </c>
    </row>
    <row r="33" spans="1:36">
      <c r="A33" s="68">
        <f t="shared" si="1"/>
        <v>20</v>
      </c>
      <c r="C33" s="77">
        <v>4.462E-2</v>
      </c>
      <c r="D33" s="77">
        <v>0</v>
      </c>
      <c r="H33" s="36"/>
      <c r="J33" s="36"/>
      <c r="L33" s="36"/>
      <c r="N33" s="36"/>
      <c r="P33" s="36"/>
      <c r="R33" s="36"/>
      <c r="T33" s="36"/>
      <c r="V33" s="36"/>
      <c r="X33" s="36"/>
      <c r="Z33" s="36"/>
      <c r="AB33" s="36"/>
      <c r="AD33" s="36"/>
      <c r="AF33" s="36"/>
      <c r="AH33" s="36" t="str">
        <f t="shared" si="8"/>
        <v/>
      </c>
      <c r="AJ33" s="36" t="str">
        <f t="shared" si="9"/>
        <v/>
      </c>
    </row>
    <row r="34" spans="1:36">
      <c r="A34" s="68">
        <f t="shared" si="1"/>
        <v>21</v>
      </c>
      <c r="C34" s="77">
        <v>4.4609999999999997E-2</v>
      </c>
      <c r="D34" s="77">
        <v>0</v>
      </c>
      <c r="H34" s="36"/>
      <c r="J34" s="36"/>
      <c r="L34" s="36"/>
      <c r="N34" s="36"/>
      <c r="P34" s="36"/>
      <c r="R34" s="36"/>
      <c r="T34" s="36"/>
      <c r="V34" s="36"/>
      <c r="X34" s="36"/>
      <c r="Z34" s="36"/>
      <c r="AB34" s="36"/>
      <c r="AD34" s="36"/>
      <c r="AF34" s="36"/>
      <c r="AH34" s="36" t="str">
        <f t="shared" si="8"/>
        <v/>
      </c>
      <c r="AJ34" s="36" t="str">
        <f t="shared" si="9"/>
        <v/>
      </c>
    </row>
    <row r="35" spans="1:36">
      <c r="A35" s="68">
        <f t="shared" si="1"/>
        <v>22</v>
      </c>
      <c r="C35" s="77">
        <v>4.462E-2</v>
      </c>
      <c r="D35" s="77">
        <v>0</v>
      </c>
      <c r="H35" s="36"/>
      <c r="J35" s="36"/>
      <c r="L35" s="36"/>
      <c r="N35" s="36"/>
      <c r="P35" s="36"/>
      <c r="R35" s="36"/>
      <c r="T35" s="36"/>
      <c r="V35" s="36"/>
      <c r="X35" s="36"/>
      <c r="Z35" s="36"/>
      <c r="AB35" s="36"/>
      <c r="AD35" s="36"/>
      <c r="AF35" s="36"/>
      <c r="AH35" s="36" t="str">
        <f t="shared" si="8"/>
        <v/>
      </c>
      <c r="AJ35" s="36" t="str">
        <f t="shared" si="9"/>
        <v/>
      </c>
    </row>
    <row r="36" spans="1:36">
      <c r="A36" s="68">
        <f t="shared" si="1"/>
        <v>23</v>
      </c>
      <c r="C36" s="77">
        <v>4.4609999999999997E-2</v>
      </c>
      <c r="D36" s="77">
        <v>0</v>
      </c>
      <c r="H36" s="36"/>
      <c r="J36" s="36"/>
      <c r="L36" s="36"/>
      <c r="N36" s="36"/>
      <c r="P36" s="36"/>
      <c r="R36" s="36"/>
      <c r="T36" s="36"/>
      <c r="V36" s="36"/>
      <c r="X36" s="36"/>
      <c r="Z36" s="36"/>
      <c r="AB36" s="36"/>
      <c r="AD36" s="36"/>
      <c r="AF36" s="36"/>
      <c r="AH36" s="36" t="str">
        <f t="shared" si="8"/>
        <v/>
      </c>
      <c r="AJ36" s="36" t="str">
        <f t="shared" si="9"/>
        <v/>
      </c>
    </row>
    <row r="37" spans="1:36">
      <c r="A37" s="68">
        <f t="shared" si="1"/>
        <v>24</v>
      </c>
      <c r="C37" s="77">
        <v>2.231E-2</v>
      </c>
      <c r="D37" s="77">
        <v>0</v>
      </c>
      <c r="H37" s="36"/>
      <c r="J37" s="36"/>
      <c r="L37" s="36"/>
      <c r="N37" s="36"/>
      <c r="P37" s="36"/>
      <c r="R37" s="36"/>
      <c r="T37" s="36"/>
      <c r="V37" s="36"/>
      <c r="X37" s="36"/>
      <c r="Z37" s="36"/>
      <c r="AB37" s="36"/>
      <c r="AD37" s="36"/>
      <c r="AF37" s="36"/>
      <c r="AH37" s="36" t="str">
        <f t="shared" si="8"/>
        <v/>
      </c>
      <c r="AJ37" s="36" t="str">
        <f t="shared" si="9"/>
        <v/>
      </c>
    </row>
    <row r="38" spans="1:36">
      <c r="A38" s="68">
        <f t="shared" si="1"/>
        <v>25</v>
      </c>
      <c r="C38" s="77">
        <v>0</v>
      </c>
      <c r="D38" s="77">
        <v>0</v>
      </c>
      <c r="J38" s="36"/>
      <c r="L38" s="36"/>
      <c r="N38" s="36"/>
      <c r="P38" s="36"/>
      <c r="R38" s="36"/>
      <c r="T38" s="36"/>
      <c r="V38" s="36"/>
      <c r="X38" s="36"/>
      <c r="Z38" s="36"/>
      <c r="AB38" s="36"/>
      <c r="AD38" s="36"/>
      <c r="AF38" s="36"/>
      <c r="AH38" s="36" t="str">
        <f t="shared" si="8"/>
        <v/>
      </c>
      <c r="AJ38" s="36" t="str">
        <f t="shared" si="9"/>
        <v/>
      </c>
    </row>
    <row r="39" spans="1:36">
      <c r="A39" s="68">
        <f t="shared" si="1"/>
        <v>26</v>
      </c>
      <c r="C39" s="77">
        <v>0</v>
      </c>
      <c r="L39" s="36"/>
      <c r="N39" s="36"/>
      <c r="P39" s="36"/>
      <c r="R39" s="36"/>
      <c r="T39" s="36"/>
      <c r="Z39" s="36"/>
      <c r="AB39" s="36"/>
      <c r="AD39" s="36"/>
      <c r="AF39" s="36"/>
      <c r="AH39" s="36" t="str">
        <f t="shared" si="8"/>
        <v/>
      </c>
      <c r="AJ39" s="36" t="str">
        <f t="shared" si="9"/>
        <v/>
      </c>
    </row>
    <row r="40" spans="1:36">
      <c r="A40" s="68">
        <f t="shared" si="1"/>
        <v>27</v>
      </c>
      <c r="C40" s="77">
        <v>0</v>
      </c>
      <c r="N40" s="36"/>
      <c r="P40" s="36"/>
      <c r="R40" s="36"/>
      <c r="T40" s="36"/>
      <c r="Z40" s="36"/>
      <c r="AB40" s="36"/>
      <c r="AD40" s="36"/>
      <c r="AF40" s="36"/>
      <c r="AH40" s="36" t="str">
        <f t="shared" si="8"/>
        <v/>
      </c>
      <c r="AJ40" s="36" t="str">
        <f t="shared" si="9"/>
        <v/>
      </c>
    </row>
    <row r="41" spans="1:36">
      <c r="A41" s="68">
        <f t="shared" si="1"/>
        <v>28</v>
      </c>
      <c r="C41" s="77">
        <v>0</v>
      </c>
      <c r="P41" s="36"/>
      <c r="R41" s="36"/>
      <c r="T41" s="36"/>
      <c r="Z41" s="36"/>
      <c r="AB41" s="36"/>
      <c r="AD41" s="36"/>
      <c r="AF41" s="36"/>
      <c r="AH41" s="36" t="str">
        <f t="shared" si="8"/>
        <v/>
      </c>
      <c r="AJ41" s="36" t="str">
        <f t="shared" si="9"/>
        <v/>
      </c>
    </row>
    <row r="42" spans="1:36">
      <c r="A42" s="68">
        <f t="shared" si="1"/>
        <v>29</v>
      </c>
      <c r="C42" s="77">
        <v>0</v>
      </c>
      <c r="R42" s="36"/>
      <c r="T42" s="36"/>
      <c r="Z42" s="36"/>
      <c r="AB42" s="36"/>
      <c r="AD42" s="36"/>
      <c r="AF42" s="36"/>
      <c r="AH42" s="36" t="str">
        <f t="shared" si="8"/>
        <v/>
      </c>
      <c r="AJ42" s="36" t="str">
        <f t="shared" si="9"/>
        <v/>
      </c>
    </row>
    <row r="43" spans="1:36">
      <c r="A43" s="68">
        <f t="shared" si="1"/>
        <v>30</v>
      </c>
      <c r="C43" s="77">
        <v>0</v>
      </c>
      <c r="T43" s="36"/>
      <c r="Z43" s="36"/>
      <c r="AB43" s="36"/>
      <c r="AD43" s="36"/>
      <c r="AF43" s="36"/>
      <c r="AH43" s="36" t="str">
        <f t="shared" si="8"/>
        <v/>
      </c>
      <c r="AJ43" s="36" t="str">
        <f t="shared" si="9"/>
        <v/>
      </c>
    </row>
    <row r="44" spans="1:36">
      <c r="A44" s="68">
        <f t="shared" si="1"/>
        <v>31</v>
      </c>
      <c r="H44" s="36">
        <f>SUM(H17:H43)</f>
        <v>0</v>
      </c>
      <c r="I44" s="76" t="s">
        <v>181</v>
      </c>
      <c r="J44" s="36">
        <f>SUM(J17:J43)</f>
        <v>0</v>
      </c>
      <c r="K44" s="76" t="s">
        <v>182</v>
      </c>
      <c r="L44" s="36">
        <f>SUM(L17:L43)</f>
        <v>0</v>
      </c>
      <c r="M44" s="76" t="s">
        <v>183</v>
      </c>
      <c r="N44" s="36">
        <f>SUM(N17:N43)</f>
        <v>0</v>
      </c>
      <c r="O44" s="76" t="s">
        <v>195</v>
      </c>
      <c r="P44" s="36">
        <f>SUM(P17:P43)</f>
        <v>0</v>
      </c>
      <c r="Q44" s="76" t="s">
        <v>245</v>
      </c>
      <c r="R44" s="36">
        <f>SUM(R17:R43)</f>
        <v>12525891.511624997</v>
      </c>
      <c r="S44" s="76" t="s">
        <v>265</v>
      </c>
      <c r="T44" s="36">
        <f>SUM(T17:T43)</f>
        <v>12525891.511624997</v>
      </c>
      <c r="V44" s="36">
        <f>SUM(V17:V43)</f>
        <v>635962.39999999991</v>
      </c>
      <c r="X44" s="36">
        <f>SUM(X17:X43)</f>
        <v>187771.92748562497</v>
      </c>
      <c r="Z44" s="36">
        <f>SUM(Z17:Z43)</f>
        <v>12974081.984139375</v>
      </c>
      <c r="AB44" s="36">
        <f>SUM(AB17:AB43)</f>
        <v>4540928.6944487803</v>
      </c>
      <c r="AD44" s="36">
        <f>SUM(AD17:AD43)</f>
        <v>335577.13484336244</v>
      </c>
      <c r="AF44" s="36">
        <f>SUM(AF17:AF43)</f>
        <v>-117451.99719517685</v>
      </c>
      <c r="AG44" s="76"/>
      <c r="AH44" s="36">
        <f>SUM(AH17:AH43)</f>
        <v>0</v>
      </c>
      <c r="AI44" s="76"/>
      <c r="AJ44" s="36">
        <f>AVERAGE(AJ16:AJ28)</f>
        <v>2865469.6645771819</v>
      </c>
    </row>
    <row r="45" spans="1:36">
      <c r="I45" s="76"/>
      <c r="J45" s="36"/>
      <c r="K45" s="76"/>
      <c r="L45" s="36"/>
      <c r="M45" s="76"/>
      <c r="N45" s="36"/>
      <c r="P45" s="36"/>
      <c r="R45" s="36"/>
      <c r="T45" s="36"/>
      <c r="V45" s="36"/>
      <c r="X45" s="36"/>
      <c r="AJ45" s="36"/>
    </row>
    <row r="46" spans="1:36">
      <c r="L46" s="78"/>
      <c r="N46" s="36"/>
      <c r="AD46" s="36"/>
      <c r="AF46" s="36"/>
      <c r="AH46" s="36"/>
    </row>
    <row r="47" spans="1:36">
      <c r="B47" s="76" t="s">
        <v>181</v>
      </c>
      <c r="C47" s="68" t="s">
        <v>266</v>
      </c>
    </row>
    <row r="48" spans="1:36">
      <c r="B48" s="76" t="s">
        <v>182</v>
      </c>
      <c r="C48" s="68" t="s">
        <v>267</v>
      </c>
    </row>
    <row r="49" spans="1:36">
      <c r="B49" s="76" t="s">
        <v>183</v>
      </c>
      <c r="C49" s="68" t="s">
        <v>268</v>
      </c>
    </row>
    <row r="50" spans="1:36">
      <c r="B50" s="76" t="s">
        <v>195</v>
      </c>
      <c r="C50" s="68" t="s">
        <v>269</v>
      </c>
      <c r="AC50" s="70"/>
      <c r="AD50" s="70"/>
      <c r="AE50" s="70"/>
      <c r="AF50" s="70"/>
      <c r="AG50" s="70"/>
      <c r="AH50" s="70"/>
    </row>
    <row r="51" spans="1:36">
      <c r="B51" s="76" t="s">
        <v>245</v>
      </c>
      <c r="C51" s="68" t="s">
        <v>270</v>
      </c>
      <c r="AC51" s="70"/>
      <c r="AD51" s="70"/>
      <c r="AE51" s="70"/>
      <c r="AF51" s="70"/>
      <c r="AG51" s="70"/>
      <c r="AH51" s="70"/>
    </row>
    <row r="52" spans="1:36">
      <c r="B52" s="76" t="s">
        <v>265</v>
      </c>
      <c r="C52" s="68" t="s">
        <v>271</v>
      </c>
      <c r="AC52" s="70"/>
      <c r="AD52" s="70"/>
      <c r="AE52" s="70"/>
      <c r="AF52" s="70"/>
      <c r="AG52" s="70"/>
      <c r="AH52" s="70"/>
    </row>
    <row r="53" spans="1:36">
      <c r="AC53" s="70"/>
      <c r="AD53" s="63"/>
      <c r="AE53" s="64"/>
      <c r="AF53" s="63"/>
      <c r="AG53" s="64"/>
      <c r="AH53" s="63"/>
    </row>
    <row r="54" spans="1:36">
      <c r="A54" s="70"/>
      <c r="B54" s="70"/>
      <c r="C54" s="70"/>
      <c r="D54" s="70" t="s">
        <v>25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4"/>
      <c r="AE54" s="64"/>
      <c r="AF54" s="64"/>
      <c r="AG54" s="64"/>
      <c r="AH54" s="64"/>
      <c r="AI54" s="70"/>
      <c r="AJ54" s="70"/>
    </row>
    <row r="55" spans="1:36" ht="25.5">
      <c r="A55" s="70"/>
      <c r="B55" s="70"/>
      <c r="C55" s="71" t="s">
        <v>210</v>
      </c>
      <c r="D55" s="70" t="s">
        <v>26</v>
      </c>
      <c r="E55" s="70"/>
      <c r="F55" s="70"/>
      <c r="G55" s="70"/>
      <c r="H55" s="70">
        <v>2012</v>
      </c>
      <c r="I55" s="70"/>
      <c r="J55" s="70">
        <v>2013</v>
      </c>
      <c r="K55" s="70"/>
      <c r="L55" s="70">
        <v>2014</v>
      </c>
      <c r="M55" s="70"/>
      <c r="N55" s="70">
        <v>2015</v>
      </c>
      <c r="O55" s="70"/>
      <c r="P55" s="70">
        <v>2016</v>
      </c>
      <c r="Q55" s="70"/>
      <c r="R55" s="70">
        <v>2017</v>
      </c>
      <c r="S55" s="70"/>
      <c r="T55" s="70"/>
      <c r="U55" s="70"/>
      <c r="V55" s="70" t="s">
        <v>36</v>
      </c>
      <c r="W55" s="70"/>
      <c r="X55" s="70"/>
      <c r="Y55" s="70"/>
      <c r="Z55" s="70"/>
      <c r="AA55" s="70"/>
      <c r="AB55" s="71" t="s">
        <v>200</v>
      </c>
      <c r="AC55" s="64"/>
      <c r="AI55" s="70"/>
      <c r="AJ55" s="64"/>
    </row>
    <row r="56" spans="1:36">
      <c r="A56" s="70" t="s">
        <v>4</v>
      </c>
      <c r="B56" s="70"/>
      <c r="C56" s="70" t="s">
        <v>27</v>
      </c>
      <c r="D56" s="70" t="s">
        <v>27</v>
      </c>
      <c r="E56" s="70"/>
      <c r="F56" s="70"/>
      <c r="G56" s="70"/>
      <c r="H56" s="70" t="s">
        <v>29</v>
      </c>
      <c r="I56" s="70"/>
      <c r="J56" s="70" t="s">
        <v>30</v>
      </c>
      <c r="K56" s="70"/>
      <c r="L56" s="70" t="s">
        <v>31</v>
      </c>
      <c r="M56" s="70"/>
      <c r="N56" s="70" t="s">
        <v>32</v>
      </c>
      <c r="O56" s="70"/>
      <c r="P56" s="70" t="s">
        <v>33</v>
      </c>
      <c r="Q56" s="70"/>
      <c r="R56" s="70" t="s">
        <v>34</v>
      </c>
      <c r="S56" s="70"/>
      <c r="T56" s="70" t="s">
        <v>35</v>
      </c>
      <c r="U56" s="70"/>
      <c r="V56" s="70" t="s">
        <v>37</v>
      </c>
      <c r="W56" s="70"/>
      <c r="X56" s="70" t="s">
        <v>39</v>
      </c>
      <c r="Y56" s="70"/>
      <c r="Z56" s="70"/>
      <c r="AA56" s="70"/>
      <c r="AB56" s="70" t="s">
        <v>35</v>
      </c>
      <c r="AC56" s="74"/>
      <c r="AI56" s="64"/>
      <c r="AJ56" s="64"/>
    </row>
    <row r="57" spans="1:36">
      <c r="A57" s="164" t="s">
        <v>5</v>
      </c>
      <c r="B57" s="164"/>
      <c r="C57" s="164" t="s">
        <v>2</v>
      </c>
      <c r="D57" s="164" t="s">
        <v>2</v>
      </c>
      <c r="E57" s="164"/>
      <c r="F57" s="164" t="s">
        <v>116</v>
      </c>
      <c r="G57" s="164"/>
      <c r="H57" s="164" t="s">
        <v>20</v>
      </c>
      <c r="I57" s="164"/>
      <c r="J57" s="164" t="s">
        <v>20</v>
      </c>
      <c r="K57" s="164"/>
      <c r="L57" s="164" t="s">
        <v>20</v>
      </c>
      <c r="M57" s="164"/>
      <c r="N57" s="164" t="s">
        <v>20</v>
      </c>
      <c r="O57" s="164"/>
      <c r="P57" s="164" t="s">
        <v>20</v>
      </c>
      <c r="Q57" s="164"/>
      <c r="R57" s="164" t="s">
        <v>20</v>
      </c>
      <c r="S57" s="164"/>
      <c r="T57" s="164" t="s">
        <v>0</v>
      </c>
      <c r="U57" s="164"/>
      <c r="V57" s="164" t="s">
        <v>38</v>
      </c>
      <c r="W57" s="164"/>
      <c r="X57" s="164" t="s">
        <v>0</v>
      </c>
      <c r="Y57" s="164"/>
      <c r="Z57" s="164" t="s">
        <v>40</v>
      </c>
      <c r="AA57" s="164"/>
      <c r="AB57" s="72" t="s">
        <v>202</v>
      </c>
      <c r="AI57" s="64"/>
      <c r="AJ57" s="64"/>
    </row>
    <row r="58" spans="1:36">
      <c r="C58" s="73"/>
      <c r="D58" s="73" t="s">
        <v>79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U58" s="74"/>
      <c r="W58" s="74"/>
      <c r="Y58" s="74"/>
      <c r="AA58" s="74"/>
      <c r="AI58" s="66"/>
      <c r="AJ58" s="65"/>
    </row>
    <row r="59" spans="1:36">
      <c r="A59" s="68">
        <v>1</v>
      </c>
      <c r="C59" s="73" t="s">
        <v>78</v>
      </c>
      <c r="D59" s="75"/>
      <c r="H59" s="36"/>
      <c r="I59" s="76"/>
      <c r="J59" s="36"/>
      <c r="K59" s="36"/>
      <c r="L59" s="36"/>
      <c r="M59" s="36"/>
      <c r="N59" s="36"/>
      <c r="O59" s="36"/>
      <c r="P59" s="36"/>
      <c r="Q59" s="36"/>
      <c r="R59" s="36">
        <f>R11+R13</f>
        <v>20563329.73</v>
      </c>
      <c r="T59" s="78"/>
      <c r="AI59" s="65"/>
      <c r="AJ59" s="65"/>
    </row>
    <row r="60" spans="1:36">
      <c r="A60" s="68">
        <v>2</v>
      </c>
      <c r="C60" s="73" t="s">
        <v>82</v>
      </c>
      <c r="D60" s="75"/>
      <c r="H60" s="36"/>
      <c r="J60" s="36"/>
      <c r="K60" s="36"/>
      <c r="L60" s="36"/>
      <c r="M60" s="36"/>
      <c r="N60" s="36"/>
      <c r="O60" s="36"/>
      <c r="P60" s="36"/>
      <c r="Q60" s="36"/>
      <c r="R60" s="36">
        <f>R12</f>
        <v>4373636.9100000011</v>
      </c>
      <c r="AJ60" s="65"/>
    </row>
    <row r="61" spans="1:36">
      <c r="A61" s="68">
        <v>3</v>
      </c>
      <c r="C61" s="73" t="s">
        <v>203</v>
      </c>
      <c r="D61" s="75"/>
      <c r="H61" s="36"/>
      <c r="J61" s="36"/>
      <c r="K61" s="36"/>
      <c r="L61" s="36"/>
      <c r="M61" s="36"/>
      <c r="N61" s="36"/>
      <c r="O61" s="36"/>
      <c r="P61" s="36"/>
      <c r="Q61" s="36"/>
      <c r="R61" s="36"/>
      <c r="AJ61" s="65"/>
    </row>
    <row r="62" spans="1:36">
      <c r="C62" s="75"/>
      <c r="H62" s="36"/>
      <c r="L62" s="36"/>
      <c r="AJ62" s="65"/>
    </row>
    <row r="63" spans="1:36">
      <c r="H63" s="330" t="s">
        <v>45</v>
      </c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AJ63" s="65"/>
    </row>
    <row r="64" spans="1:36">
      <c r="AJ64" s="67"/>
    </row>
    <row r="65" spans="1:36">
      <c r="A65" s="68">
        <f>A61+1</f>
        <v>4</v>
      </c>
      <c r="C65" s="77">
        <v>3.7499999999999999E-2</v>
      </c>
      <c r="D65" s="77">
        <v>0.05</v>
      </c>
      <c r="F65" s="68">
        <v>1</v>
      </c>
      <c r="H65" s="36"/>
      <c r="I65" s="76"/>
      <c r="J65" s="36"/>
      <c r="L65" s="36"/>
      <c r="N65" s="36"/>
      <c r="P65" s="36"/>
      <c r="R65" s="36"/>
      <c r="T65" s="36"/>
      <c r="V65" s="36"/>
      <c r="X65" s="36"/>
      <c r="Z65" s="36"/>
      <c r="AB65" s="36"/>
      <c r="AJ65" s="67"/>
    </row>
    <row r="66" spans="1:36">
      <c r="A66" s="68">
        <f>A65+1</f>
        <v>5</v>
      </c>
      <c r="C66" s="77">
        <v>7.2190000000000004E-2</v>
      </c>
      <c r="D66" s="77">
        <v>9.5000000000000001E-2</v>
      </c>
      <c r="F66" s="68">
        <v>2</v>
      </c>
      <c r="H66" s="36"/>
      <c r="I66" s="76"/>
      <c r="J66" s="36"/>
      <c r="L66" s="36"/>
      <c r="N66" s="36"/>
      <c r="P66" s="36"/>
      <c r="R66" s="36"/>
      <c r="T66" s="36"/>
      <c r="V66" s="36"/>
      <c r="X66" s="36"/>
      <c r="Z66" s="36"/>
      <c r="AB66" s="36"/>
      <c r="AJ66" s="67"/>
    </row>
    <row r="67" spans="1:36">
      <c r="A67" s="68">
        <f t="shared" ref="A67:A92" si="10">A66+1</f>
        <v>6</v>
      </c>
      <c r="C67" s="77">
        <v>6.6769999999999996E-2</v>
      </c>
      <c r="D67" s="77">
        <v>8.5500000000000007E-2</v>
      </c>
      <c r="F67" s="68">
        <v>3</v>
      </c>
      <c r="H67" s="36"/>
      <c r="I67" s="76"/>
      <c r="J67" s="36"/>
      <c r="L67" s="36"/>
      <c r="N67" s="36"/>
      <c r="P67" s="36"/>
      <c r="R67" s="36"/>
      <c r="T67" s="36"/>
      <c r="V67" s="36"/>
      <c r="X67" s="36"/>
      <c r="Z67" s="36"/>
      <c r="AB67" s="36"/>
      <c r="AJ67" s="67"/>
    </row>
    <row r="68" spans="1:36">
      <c r="A68" s="68">
        <f t="shared" si="10"/>
        <v>7</v>
      </c>
      <c r="C68" s="77">
        <v>6.1769999999999999E-2</v>
      </c>
      <c r="D68" s="77">
        <v>7.6999999999999999E-2</v>
      </c>
      <c r="F68" s="68">
        <v>4</v>
      </c>
      <c r="H68" s="36"/>
      <c r="I68" s="76"/>
      <c r="J68" s="36"/>
      <c r="L68" s="36"/>
      <c r="N68" s="36"/>
      <c r="P68" s="36"/>
      <c r="R68" s="36"/>
      <c r="T68" s="36"/>
      <c r="V68" s="36"/>
      <c r="X68" s="36"/>
      <c r="Z68" s="36"/>
      <c r="AB68" s="36"/>
      <c r="AJ68" s="67"/>
    </row>
    <row r="69" spans="1:36">
      <c r="A69" s="68">
        <f t="shared" si="10"/>
        <v>8</v>
      </c>
      <c r="C69" s="77">
        <v>5.713E-2</v>
      </c>
      <c r="D69" s="77">
        <v>6.93E-2</v>
      </c>
      <c r="F69" s="68">
        <v>5</v>
      </c>
      <c r="H69" s="36"/>
      <c r="I69" s="76"/>
      <c r="J69" s="36"/>
      <c r="L69" s="36"/>
      <c r="N69" s="36"/>
      <c r="P69" s="36"/>
      <c r="R69" s="36"/>
      <c r="T69" s="36"/>
      <c r="V69" s="36"/>
      <c r="X69" s="36"/>
      <c r="Z69" s="36"/>
      <c r="AB69" s="36"/>
      <c r="AJ69" s="67"/>
    </row>
    <row r="70" spans="1:36">
      <c r="A70" s="68">
        <f t="shared" si="10"/>
        <v>9</v>
      </c>
      <c r="C70" s="77">
        <v>5.2850000000000001E-2</v>
      </c>
      <c r="D70" s="77">
        <v>6.2300000000000001E-2</v>
      </c>
      <c r="F70" s="68">
        <v>6</v>
      </c>
      <c r="H70" s="36"/>
      <c r="I70" s="76"/>
      <c r="J70" s="36"/>
      <c r="L70" s="36"/>
      <c r="N70" s="36"/>
      <c r="P70" s="36"/>
      <c r="R70" s="36"/>
      <c r="T70" s="36"/>
      <c r="V70" s="36"/>
      <c r="X70" s="36"/>
      <c r="Z70" s="36"/>
      <c r="AB70" s="36"/>
      <c r="AJ70" s="67"/>
    </row>
    <row r="71" spans="1:36">
      <c r="A71" s="68">
        <f t="shared" si="10"/>
        <v>10</v>
      </c>
      <c r="C71" s="77">
        <v>4.888E-2</v>
      </c>
      <c r="D71" s="77">
        <v>5.8999999999999997E-2</v>
      </c>
      <c r="F71" s="68">
        <v>7</v>
      </c>
      <c r="H71" s="36"/>
      <c r="I71" s="76"/>
      <c r="J71" s="36"/>
      <c r="L71" s="36"/>
      <c r="N71" s="36"/>
      <c r="P71" s="36"/>
      <c r="R71" s="36">
        <f>(('201707 Bk Depr'!$L$17-SUM('Capital Budget 2017'!K$3:K$5,'Capital Budget 2017'!K$11:K$14))*'Tax Depr 2017'!$C$65)+SUM('Capital Budget 2017'!K$3:K$5,'Capital Budget 2017'!K$11:K$14)</f>
        <v>932550.58724999987</v>
      </c>
      <c r="T71" s="36">
        <f t="shared" ref="T71:T76" si="11">SUM(H71:S71)</f>
        <v>932550.58724999987</v>
      </c>
      <c r="V71" s="36">
        <f>'201707 Bk Depr'!L$31</f>
        <v>98875.65</v>
      </c>
      <c r="X71" s="36">
        <f>'201707 Bk Depr'!P$17</f>
        <v>5144.5105125416667</v>
      </c>
      <c r="Z71" s="36">
        <f t="shared" ref="Z71:Z76" si="12">T71+V71-X71</f>
        <v>1026281.7267374583</v>
      </c>
      <c r="AB71" s="36">
        <f t="shared" ref="AB71:AB76" si="13">Z71*0.06</f>
        <v>61576.903604247491</v>
      </c>
      <c r="AJ71" s="67"/>
    </row>
    <row r="72" spans="1:36">
      <c r="A72" s="68">
        <f t="shared" si="10"/>
        <v>11</v>
      </c>
      <c r="C72" s="77">
        <v>4.5220000000000003E-2</v>
      </c>
      <c r="D72" s="77">
        <v>5.8999999999999997E-2</v>
      </c>
      <c r="F72" s="68">
        <v>8</v>
      </c>
      <c r="H72" s="36"/>
      <c r="I72" s="76"/>
      <c r="J72" s="36"/>
      <c r="L72" s="36"/>
      <c r="N72" s="36"/>
      <c r="P72" s="36"/>
      <c r="R72" s="36">
        <f>(('201708 Bk Depr'!$L$17-SUM('Capital Budget 2017'!L$3:L$5,'Capital Budget 2017'!L$11:L$14))*'Tax Depr 2017'!$C$65)+SUM('Capital Budget 2017'!L$3:L$5,'Capital Budget 2017'!L$11:L$14)</f>
        <v>1045714.852</v>
      </c>
      <c r="T72" s="36">
        <f t="shared" si="11"/>
        <v>1045714.852</v>
      </c>
      <c r="V72" s="36">
        <f>'201708 Bk Depr'!L$31</f>
        <v>109834.08</v>
      </c>
      <c r="X72" s="36">
        <f>'201708 Bk Depr'!P$17</f>
        <v>15931.071814541665</v>
      </c>
      <c r="Z72" s="36">
        <f t="shared" si="12"/>
        <v>1139617.8601854583</v>
      </c>
      <c r="AB72" s="36">
        <f t="shared" si="13"/>
        <v>68377.071611127496</v>
      </c>
      <c r="AJ72" s="67"/>
    </row>
    <row r="73" spans="1:36">
      <c r="A73" s="68">
        <f t="shared" si="10"/>
        <v>12</v>
      </c>
      <c r="C73" s="77">
        <v>4.462E-2</v>
      </c>
      <c r="D73" s="77">
        <v>5.91E-2</v>
      </c>
      <c r="F73" s="68">
        <v>9</v>
      </c>
      <c r="H73" s="36"/>
      <c r="I73" s="76"/>
      <c r="J73" s="36"/>
      <c r="L73" s="36"/>
      <c r="N73" s="36"/>
      <c r="P73" s="36"/>
      <c r="R73" s="36">
        <f>(('201709 Bk Depr'!$L$17-SUM('Capital Budget 2017'!M$3:M$5,'Capital Budget 2017'!M$11:M$14))*'Tax Depr 2017'!$C$65)+SUM('Capital Budget 2017'!M$3:M$5,'Capital Budget 2017'!M$11:M$14)</f>
        <v>933399.03812499996</v>
      </c>
      <c r="T73" s="36">
        <f t="shared" si="11"/>
        <v>933399.03812499996</v>
      </c>
      <c r="V73" s="36">
        <f>'201709 Bk Depr'!L$31</f>
        <v>109423.45</v>
      </c>
      <c r="X73" s="36">
        <f>'201709 Bk Depr'!P$17</f>
        <v>26682.035176333331</v>
      </c>
      <c r="Z73" s="36">
        <f t="shared" si="12"/>
        <v>1016140.4529486666</v>
      </c>
      <c r="AB73" s="36">
        <f t="shared" si="13"/>
        <v>60968.427176919999</v>
      </c>
      <c r="AJ73" s="67"/>
    </row>
    <row r="74" spans="1:36">
      <c r="A74" s="68">
        <f t="shared" si="10"/>
        <v>13</v>
      </c>
      <c r="C74" s="77">
        <v>4.4609999999999997E-2</v>
      </c>
      <c r="D74" s="77">
        <v>5.8999999999999997E-2</v>
      </c>
      <c r="F74" s="68">
        <v>10</v>
      </c>
      <c r="H74" s="36"/>
      <c r="I74" s="76"/>
      <c r="J74" s="36"/>
      <c r="L74" s="36"/>
      <c r="N74" s="36"/>
      <c r="P74" s="36"/>
      <c r="R74" s="36">
        <f>(('201710 Bk Depr'!$L$17-SUM('Capital Budget 2017'!N$3:N$5,'Capital Budget 2017'!N$11:N$14))*'Tax Depr 2017'!$C$65)+SUM('Capital Budget 2017'!N$3:N$5,'Capital Budget 2017'!N$11:N$14)</f>
        <v>822064.38824999984</v>
      </c>
      <c r="T74" s="36">
        <f t="shared" si="11"/>
        <v>822064.38824999984</v>
      </c>
      <c r="V74" s="36">
        <f>'201710 Bk Depr'!L$31</f>
        <v>105198.44</v>
      </c>
      <c r="X74" s="36">
        <f>'201710 Bk Depr'!P$17</f>
        <v>37010.427839833326</v>
      </c>
      <c r="Z74" s="36">
        <f t="shared" si="12"/>
        <v>890252.40041016648</v>
      </c>
      <c r="AB74" s="36">
        <f t="shared" si="13"/>
        <v>53415.144024609988</v>
      </c>
      <c r="AJ74" s="67"/>
    </row>
    <row r="75" spans="1:36">
      <c r="A75" s="68">
        <f t="shared" si="10"/>
        <v>14</v>
      </c>
      <c r="C75" s="77">
        <v>4.462E-2</v>
      </c>
      <c r="D75" s="77">
        <v>5.91E-2</v>
      </c>
      <c r="F75" s="68">
        <v>11</v>
      </c>
      <c r="H75" s="36"/>
      <c r="I75" s="76"/>
      <c r="J75" s="36"/>
      <c r="L75" s="36"/>
      <c r="N75" s="36"/>
      <c r="P75" s="36"/>
      <c r="R75" s="36">
        <f>(('201711 Bk Depr'!$L$17-SUM('Capital Budget 2017'!O$3:O$5,'Capital Budget 2017'!O$11:O$14))*'Tax Depr 2017'!$C$65)+SUM('Capital Budget 2017'!O$3:O$5,'Capital Budget 2017'!O$11:O$14)</f>
        <v>783549.64887499996</v>
      </c>
      <c r="T75" s="36">
        <f t="shared" si="11"/>
        <v>783549.64887499996</v>
      </c>
      <c r="V75" s="36">
        <f>'201711 Bk Depr'!L$31</f>
        <v>105279.45999999999</v>
      </c>
      <c r="X75" s="36">
        <f>'201711 Bk Depr'!P$17</f>
        <v>47029.595644291665</v>
      </c>
      <c r="Z75" s="36">
        <f t="shared" si="12"/>
        <v>841799.51323070819</v>
      </c>
      <c r="AB75" s="36">
        <f t="shared" si="13"/>
        <v>50507.970793842491</v>
      </c>
      <c r="AJ75" s="67"/>
    </row>
    <row r="76" spans="1:36">
      <c r="A76" s="68">
        <f t="shared" si="10"/>
        <v>15</v>
      </c>
      <c r="C76" s="77">
        <v>4.4609999999999997E-2</v>
      </c>
      <c r="D76" s="77">
        <v>5.8999999999999997E-2</v>
      </c>
      <c r="F76" s="68">
        <v>12</v>
      </c>
      <c r="H76" s="36"/>
      <c r="I76" s="76"/>
      <c r="J76" s="36"/>
      <c r="L76" s="36"/>
      <c r="N76" s="36"/>
      <c r="P76" s="36"/>
      <c r="R76" s="36">
        <f>(('201712 Bk Depr'!$L$17-SUM('Capital Budget 2017'!P$3:P$5,'Capital Budget 2017'!P$11:P$14))*'Tax Depr 2017'!$C$65)+SUM('Capital Budget 2017'!P$3:P$5,'Capital Budget 2017'!P$11:P$14)</f>
        <v>627483.26037499995</v>
      </c>
      <c r="T76" s="36">
        <f t="shared" si="11"/>
        <v>627483.26037499995</v>
      </c>
      <c r="V76" s="36">
        <f>'201712 Bk Depr'!L$31</f>
        <v>107351.32</v>
      </c>
      <c r="X76" s="36">
        <f>'201712 Bk Depr'!P$17</f>
        <v>55974.286498083326</v>
      </c>
      <c r="Z76" s="36">
        <f t="shared" si="12"/>
        <v>678860.29387691664</v>
      </c>
      <c r="AB76" s="36">
        <f t="shared" si="13"/>
        <v>40731.617632614994</v>
      </c>
      <c r="AJ76" s="67"/>
    </row>
    <row r="77" spans="1:36">
      <c r="A77" s="68">
        <f t="shared" si="10"/>
        <v>16</v>
      </c>
      <c r="C77" s="77">
        <v>4.462E-2</v>
      </c>
      <c r="D77" s="77">
        <v>5.91E-2</v>
      </c>
      <c r="H77" s="36"/>
      <c r="J77" s="36"/>
      <c r="L77" s="36"/>
      <c r="N77" s="36"/>
      <c r="P77" s="36"/>
      <c r="R77" s="36"/>
      <c r="T77" s="36"/>
      <c r="V77" s="36"/>
      <c r="X77" s="36"/>
      <c r="Z77" s="36" t="str">
        <f t="shared" ref="Z77:Z91" si="14">IF(X77=0,"",T77+V77-X77)</f>
        <v/>
      </c>
      <c r="AB77" s="36" t="str">
        <f t="shared" ref="AB77:AB91" si="15">IF(Z77="","",Z77*0.389)</f>
        <v/>
      </c>
      <c r="AD77" s="67"/>
      <c r="AE77" s="65"/>
      <c r="AF77" s="67"/>
      <c r="AG77" s="65"/>
      <c r="AH77" s="67"/>
      <c r="AJ77" s="36" t="str">
        <f t="shared" ref="AJ77:AJ91" si="16">IF(AB77="","",AJ76+AB77)</f>
        <v/>
      </c>
    </row>
    <row r="78" spans="1:36">
      <c r="A78" s="68">
        <f t="shared" si="10"/>
        <v>17</v>
      </c>
      <c r="C78" s="77">
        <v>4.4609999999999997E-2</v>
      </c>
      <c r="D78" s="77">
        <v>5.8999999999999997E-2</v>
      </c>
      <c r="H78" s="36"/>
      <c r="J78" s="36"/>
      <c r="L78" s="36"/>
      <c r="N78" s="36"/>
      <c r="P78" s="36"/>
      <c r="R78" s="36"/>
      <c r="T78" s="36"/>
      <c r="V78" s="36"/>
      <c r="X78" s="36"/>
      <c r="Z78" s="36" t="str">
        <f t="shared" si="14"/>
        <v/>
      </c>
      <c r="AB78" s="36" t="str">
        <f t="shared" si="15"/>
        <v/>
      </c>
      <c r="AD78" s="67"/>
      <c r="AE78" s="65"/>
      <c r="AF78" s="67"/>
      <c r="AG78" s="65"/>
      <c r="AH78" s="67"/>
      <c r="AJ78" s="36" t="str">
        <f t="shared" si="16"/>
        <v/>
      </c>
    </row>
    <row r="79" spans="1:36">
      <c r="A79" s="68">
        <f t="shared" si="10"/>
        <v>18</v>
      </c>
      <c r="C79" s="77">
        <v>4.462E-2</v>
      </c>
      <c r="D79" s="77">
        <v>5.91E-2</v>
      </c>
      <c r="H79" s="36"/>
      <c r="J79" s="78"/>
      <c r="L79" s="36"/>
      <c r="N79" s="36"/>
      <c r="P79" s="36"/>
      <c r="R79" s="36"/>
      <c r="T79" s="36"/>
      <c r="V79" s="36"/>
      <c r="X79" s="36"/>
      <c r="Z79" s="36" t="str">
        <f t="shared" si="14"/>
        <v/>
      </c>
      <c r="AB79" s="36" t="str">
        <f t="shared" si="15"/>
        <v/>
      </c>
      <c r="AD79" s="67"/>
      <c r="AE79" s="65"/>
      <c r="AF79" s="67"/>
      <c r="AG79" s="65"/>
      <c r="AH79" s="67"/>
      <c r="AJ79" s="36" t="str">
        <f t="shared" si="16"/>
        <v/>
      </c>
    </row>
    <row r="80" spans="1:36">
      <c r="A80" s="68">
        <f t="shared" si="10"/>
        <v>19</v>
      </c>
      <c r="C80" s="77">
        <v>4.4609999999999997E-2</v>
      </c>
      <c r="D80" s="77">
        <v>2.9499999999999998E-2</v>
      </c>
      <c r="H80" s="36"/>
      <c r="J80" s="36"/>
      <c r="L80" s="36"/>
      <c r="N80" s="36"/>
      <c r="P80" s="36"/>
      <c r="R80" s="36"/>
      <c r="T80" s="36"/>
      <c r="V80" s="36"/>
      <c r="X80" s="36"/>
      <c r="Z80" s="36" t="str">
        <f t="shared" si="14"/>
        <v/>
      </c>
      <c r="AB80" s="36" t="str">
        <f t="shared" si="15"/>
        <v/>
      </c>
      <c r="AD80" s="67"/>
      <c r="AE80" s="65"/>
      <c r="AF80" s="67"/>
      <c r="AG80" s="65"/>
      <c r="AH80" s="67"/>
      <c r="AJ80" s="36" t="str">
        <f t="shared" si="16"/>
        <v/>
      </c>
    </row>
    <row r="81" spans="1:36">
      <c r="A81" s="68">
        <f t="shared" si="10"/>
        <v>20</v>
      </c>
      <c r="C81" s="77">
        <v>4.462E-2</v>
      </c>
      <c r="D81" s="77">
        <v>0</v>
      </c>
      <c r="H81" s="36"/>
      <c r="J81" s="36"/>
      <c r="L81" s="36"/>
      <c r="N81" s="36"/>
      <c r="P81" s="36"/>
      <c r="R81" s="36"/>
      <c r="T81" s="36"/>
      <c r="V81" s="36"/>
      <c r="X81" s="36"/>
      <c r="Z81" s="36" t="str">
        <f t="shared" si="14"/>
        <v/>
      </c>
      <c r="AB81" s="36" t="str">
        <f t="shared" si="15"/>
        <v/>
      </c>
      <c r="AD81" s="67"/>
      <c r="AE81" s="65"/>
      <c r="AF81" s="67"/>
      <c r="AG81" s="65"/>
      <c r="AH81" s="67"/>
      <c r="AJ81" s="36" t="str">
        <f t="shared" si="16"/>
        <v/>
      </c>
    </row>
    <row r="82" spans="1:36">
      <c r="A82" s="68">
        <f t="shared" si="10"/>
        <v>21</v>
      </c>
      <c r="C82" s="77">
        <v>4.4609999999999997E-2</v>
      </c>
      <c r="D82" s="77">
        <v>0</v>
      </c>
      <c r="H82" s="36"/>
      <c r="J82" s="36"/>
      <c r="L82" s="36"/>
      <c r="N82" s="36"/>
      <c r="P82" s="36"/>
      <c r="R82" s="36"/>
      <c r="T82" s="36"/>
      <c r="V82" s="36"/>
      <c r="X82" s="36"/>
      <c r="Z82" s="36" t="str">
        <f t="shared" si="14"/>
        <v/>
      </c>
      <c r="AB82" s="36" t="str">
        <f t="shared" si="15"/>
        <v/>
      </c>
      <c r="AD82" s="67"/>
      <c r="AE82" s="65"/>
      <c r="AF82" s="67"/>
      <c r="AG82" s="65"/>
      <c r="AH82" s="67"/>
      <c r="AJ82" s="36" t="str">
        <f t="shared" si="16"/>
        <v/>
      </c>
    </row>
    <row r="83" spans="1:36">
      <c r="A83" s="68">
        <f t="shared" si="10"/>
        <v>22</v>
      </c>
      <c r="C83" s="77">
        <v>4.462E-2</v>
      </c>
      <c r="D83" s="77">
        <v>0</v>
      </c>
      <c r="H83" s="36"/>
      <c r="J83" s="36"/>
      <c r="L83" s="36"/>
      <c r="N83" s="36"/>
      <c r="P83" s="36"/>
      <c r="R83" s="36"/>
      <c r="T83" s="36"/>
      <c r="V83" s="36"/>
      <c r="X83" s="36"/>
      <c r="Z83" s="36" t="str">
        <f t="shared" si="14"/>
        <v/>
      </c>
      <c r="AB83" s="36" t="str">
        <f t="shared" si="15"/>
        <v/>
      </c>
      <c r="AD83" s="67"/>
      <c r="AE83" s="65"/>
      <c r="AF83" s="67"/>
      <c r="AG83" s="65"/>
      <c r="AH83" s="67"/>
      <c r="AJ83" s="36" t="str">
        <f t="shared" si="16"/>
        <v/>
      </c>
    </row>
    <row r="84" spans="1:36">
      <c r="A84" s="68">
        <f t="shared" si="10"/>
        <v>23</v>
      </c>
      <c r="C84" s="77">
        <v>4.4609999999999997E-2</v>
      </c>
      <c r="D84" s="77">
        <v>0</v>
      </c>
      <c r="H84" s="36"/>
      <c r="J84" s="36"/>
      <c r="L84" s="36"/>
      <c r="N84" s="36"/>
      <c r="P84" s="36"/>
      <c r="R84" s="36"/>
      <c r="T84" s="36"/>
      <c r="V84" s="36"/>
      <c r="X84" s="36"/>
      <c r="Z84" s="36" t="str">
        <f t="shared" si="14"/>
        <v/>
      </c>
      <c r="AB84" s="36" t="str">
        <f t="shared" si="15"/>
        <v/>
      </c>
      <c r="AD84" s="67"/>
      <c r="AE84" s="65"/>
      <c r="AF84" s="67"/>
      <c r="AG84" s="65"/>
      <c r="AH84" s="67"/>
      <c r="AJ84" s="36" t="str">
        <f t="shared" si="16"/>
        <v/>
      </c>
    </row>
    <row r="85" spans="1:36">
      <c r="A85" s="68">
        <f t="shared" si="10"/>
        <v>24</v>
      </c>
      <c r="C85" s="77">
        <v>2.231E-2</v>
      </c>
      <c r="D85" s="77">
        <v>0</v>
      </c>
      <c r="H85" s="36"/>
      <c r="J85" s="36"/>
      <c r="L85" s="36"/>
      <c r="N85" s="36"/>
      <c r="P85" s="36"/>
      <c r="R85" s="36"/>
      <c r="T85" s="36"/>
      <c r="V85" s="36"/>
      <c r="X85" s="36"/>
      <c r="Z85" s="36" t="str">
        <f t="shared" si="14"/>
        <v/>
      </c>
      <c r="AB85" s="36" t="str">
        <f t="shared" si="15"/>
        <v/>
      </c>
      <c r="AD85" s="67"/>
      <c r="AE85" s="65"/>
      <c r="AF85" s="67"/>
      <c r="AG85" s="65"/>
      <c r="AH85" s="67"/>
      <c r="AJ85" s="36" t="str">
        <f t="shared" si="16"/>
        <v/>
      </c>
    </row>
    <row r="86" spans="1:36">
      <c r="A86" s="68">
        <f t="shared" si="10"/>
        <v>25</v>
      </c>
      <c r="C86" s="77">
        <v>0</v>
      </c>
      <c r="D86" s="77">
        <v>0</v>
      </c>
      <c r="J86" s="36"/>
      <c r="L86" s="36"/>
      <c r="N86" s="36"/>
      <c r="P86" s="36"/>
      <c r="R86" s="36"/>
      <c r="T86" s="36"/>
      <c r="V86" s="36"/>
      <c r="X86" s="36"/>
      <c r="Z86" s="36" t="str">
        <f t="shared" si="14"/>
        <v/>
      </c>
      <c r="AB86" s="36" t="str">
        <f t="shared" si="15"/>
        <v/>
      </c>
      <c r="AD86" s="67"/>
      <c r="AE86" s="65"/>
      <c r="AF86" s="67"/>
      <c r="AG86" s="65"/>
      <c r="AH86" s="67"/>
      <c r="AJ86" s="36" t="str">
        <f t="shared" si="16"/>
        <v/>
      </c>
    </row>
    <row r="87" spans="1:36">
      <c r="A87" s="68">
        <f t="shared" si="10"/>
        <v>26</v>
      </c>
      <c r="C87" s="77">
        <v>0</v>
      </c>
      <c r="L87" s="36"/>
      <c r="N87" s="36"/>
      <c r="P87" s="36"/>
      <c r="R87" s="36"/>
      <c r="T87" s="36"/>
      <c r="Z87" s="36" t="str">
        <f t="shared" si="14"/>
        <v/>
      </c>
      <c r="AB87" s="36" t="str">
        <f t="shared" si="15"/>
        <v/>
      </c>
      <c r="AD87" s="67"/>
      <c r="AE87" s="65"/>
      <c r="AF87" s="67"/>
      <c r="AG87" s="65"/>
      <c r="AH87" s="67"/>
      <c r="AJ87" s="36" t="str">
        <f t="shared" si="16"/>
        <v/>
      </c>
    </row>
    <row r="88" spans="1:36">
      <c r="A88" s="68">
        <f t="shared" si="10"/>
        <v>27</v>
      </c>
      <c r="C88" s="77">
        <v>0</v>
      </c>
      <c r="N88" s="36"/>
      <c r="P88" s="36"/>
      <c r="R88" s="36"/>
      <c r="T88" s="36"/>
      <c r="Z88" s="36" t="str">
        <f t="shared" si="14"/>
        <v/>
      </c>
      <c r="AB88" s="36" t="str">
        <f t="shared" si="15"/>
        <v/>
      </c>
      <c r="AD88" s="67"/>
      <c r="AE88" s="65"/>
      <c r="AF88" s="67"/>
      <c r="AG88" s="65"/>
      <c r="AH88" s="67"/>
      <c r="AJ88" s="36" t="str">
        <f t="shared" si="16"/>
        <v/>
      </c>
    </row>
    <row r="89" spans="1:36">
      <c r="A89" s="68">
        <f t="shared" si="10"/>
        <v>28</v>
      </c>
      <c r="C89" s="77">
        <v>0</v>
      </c>
      <c r="P89" s="36"/>
      <c r="R89" s="36"/>
      <c r="T89" s="36"/>
      <c r="Z89" s="36" t="str">
        <f t="shared" si="14"/>
        <v/>
      </c>
      <c r="AB89" s="36" t="str">
        <f t="shared" si="15"/>
        <v/>
      </c>
      <c r="AD89" s="67"/>
      <c r="AE89" s="65"/>
      <c r="AF89" s="67"/>
      <c r="AG89" s="65"/>
      <c r="AH89" s="67"/>
      <c r="AJ89" s="36" t="str">
        <f t="shared" si="16"/>
        <v/>
      </c>
    </row>
    <row r="90" spans="1:36">
      <c r="A90" s="68">
        <f t="shared" si="10"/>
        <v>29</v>
      </c>
      <c r="C90" s="77">
        <v>0</v>
      </c>
      <c r="R90" s="36"/>
      <c r="T90" s="36"/>
      <c r="Z90" s="36" t="str">
        <f t="shared" si="14"/>
        <v/>
      </c>
      <c r="AB90" s="36" t="str">
        <f t="shared" si="15"/>
        <v/>
      </c>
      <c r="AD90" s="67"/>
      <c r="AE90" s="65"/>
      <c r="AF90" s="67"/>
      <c r="AG90" s="65"/>
      <c r="AH90" s="67"/>
      <c r="AJ90" s="36" t="str">
        <f t="shared" si="16"/>
        <v/>
      </c>
    </row>
    <row r="91" spans="1:36">
      <c r="A91" s="68">
        <f t="shared" si="10"/>
        <v>30</v>
      </c>
      <c r="C91" s="77">
        <v>0</v>
      </c>
      <c r="T91" s="36"/>
      <c r="Z91" s="36" t="str">
        <f t="shared" si="14"/>
        <v/>
      </c>
      <c r="AB91" s="36" t="str">
        <f t="shared" si="15"/>
        <v/>
      </c>
      <c r="AJ91" s="36" t="str">
        <f t="shared" si="16"/>
        <v/>
      </c>
    </row>
    <row r="92" spans="1:36">
      <c r="A92" s="68">
        <f t="shared" si="10"/>
        <v>31</v>
      </c>
      <c r="H92" s="36">
        <f>SUM(H65:H91)</f>
        <v>0</v>
      </c>
      <c r="I92" s="76" t="s">
        <v>181</v>
      </c>
      <c r="J92" s="36">
        <f>SUM(J65:J91)</f>
        <v>0</v>
      </c>
      <c r="K92" s="76" t="s">
        <v>182</v>
      </c>
      <c r="L92" s="36">
        <f>SUM(L65:L91)</f>
        <v>0</v>
      </c>
      <c r="M92" s="76" t="s">
        <v>183</v>
      </c>
      <c r="N92" s="36">
        <f>SUM(N65:N91)</f>
        <v>0</v>
      </c>
      <c r="O92" s="76" t="s">
        <v>195</v>
      </c>
      <c r="P92" s="36">
        <f>SUM(P65:P91)</f>
        <v>0</v>
      </c>
      <c r="Q92" s="76" t="s">
        <v>245</v>
      </c>
      <c r="R92" s="36">
        <f>SUM(R65:R91)</f>
        <v>5144761.7748749992</v>
      </c>
      <c r="S92" s="76" t="s">
        <v>265</v>
      </c>
      <c r="T92" s="36">
        <f>SUM(T65:T91)</f>
        <v>5144761.7748749992</v>
      </c>
      <c r="V92" s="36">
        <f>SUM(V65:V91)</f>
        <v>635962.39999999991</v>
      </c>
      <c r="X92" s="36">
        <f>SUM(X65:X91)</f>
        <v>187771.92748562497</v>
      </c>
      <c r="Z92" s="36">
        <f>SUM(Z65:Z91)</f>
        <v>5592952.2473893743</v>
      </c>
      <c r="AB92" s="36">
        <f>SUM(AB65:AB91)</f>
        <v>335577.13484336244</v>
      </c>
      <c r="AD92" s="36"/>
      <c r="AF92" s="36"/>
      <c r="AH92" s="36"/>
      <c r="AI92" s="76"/>
      <c r="AJ92" s="36"/>
    </row>
    <row r="93" spans="1:36">
      <c r="I93" s="76"/>
      <c r="J93" s="36"/>
      <c r="K93" s="76"/>
      <c r="L93" s="36"/>
      <c r="M93" s="76"/>
      <c r="N93" s="36"/>
      <c r="P93" s="36"/>
      <c r="R93" s="36"/>
      <c r="T93" s="36"/>
      <c r="V93" s="36"/>
      <c r="X93" s="36"/>
      <c r="AJ93" s="36"/>
    </row>
    <row r="94" spans="1:36">
      <c r="L94" s="78"/>
      <c r="N94" s="36"/>
    </row>
    <row r="95" spans="1:36">
      <c r="B95" s="76" t="s">
        <v>181</v>
      </c>
      <c r="C95" s="68" t="s">
        <v>266</v>
      </c>
    </row>
    <row r="96" spans="1:36">
      <c r="B96" s="76" t="s">
        <v>182</v>
      </c>
      <c r="C96" s="68" t="s">
        <v>267</v>
      </c>
    </row>
    <row r="97" spans="2:3">
      <c r="B97" s="76" t="s">
        <v>183</v>
      </c>
      <c r="C97" s="68" t="s">
        <v>268</v>
      </c>
    </row>
    <row r="98" spans="2:3">
      <c r="B98" s="76" t="s">
        <v>195</v>
      </c>
      <c r="C98" s="68" t="s">
        <v>269</v>
      </c>
    </row>
    <row r="99" spans="2:3">
      <c r="B99" s="76" t="s">
        <v>245</v>
      </c>
      <c r="C99" s="68" t="s">
        <v>270</v>
      </c>
    </row>
    <row r="100" spans="2:3">
      <c r="B100" s="76" t="s">
        <v>265</v>
      </c>
      <c r="C100" s="68" t="s">
        <v>272</v>
      </c>
    </row>
  </sheetData>
  <mergeCells count="5">
    <mergeCell ref="H15:V15"/>
    <mergeCell ref="H63:V63"/>
    <mergeCell ref="A2:AP2"/>
    <mergeCell ref="A1:AP1"/>
    <mergeCell ref="A3:AP3"/>
  </mergeCells>
  <pageMargins left="0.7" right="0.7" top="0.75" bottom="0.75" header="0.3" footer="0.3"/>
  <pageSetup scale="39" orientation="landscape" r:id="rId1"/>
  <headerFooter>
    <oddFooter>&amp;R&amp;"Times New Roman,Bold"&amp;12Exhibit CMG-5
Page 12 of 12</oddFooter>
  </headerFooter>
  <ignoredErrors>
    <ignoredError sqref="R1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/>
  </sheetViews>
  <sheetFormatPr defaultRowHeight="12.75"/>
  <cols>
    <col min="1" max="1" width="10.85546875" style="39" bestFit="1" customWidth="1"/>
    <col min="2" max="2" width="11.85546875" style="39" bestFit="1" customWidth="1"/>
    <col min="3" max="3" width="32.7109375" style="39" bestFit="1" customWidth="1"/>
    <col min="4" max="4" width="5.5703125" style="39" bestFit="1" customWidth="1"/>
    <col min="5" max="16" width="11.7109375" style="39" bestFit="1" customWidth="1"/>
    <col min="17" max="17" width="12.7109375" style="39" bestFit="1" customWidth="1"/>
    <col min="18" max="18" width="9.140625" style="39"/>
    <col min="19" max="19" width="14.5703125" style="39" bestFit="1" customWidth="1"/>
    <col min="20" max="20" width="14" style="39" customWidth="1"/>
    <col min="21" max="21" width="12.85546875" style="39" customWidth="1"/>
    <col min="22" max="22" width="13.28515625" style="39" customWidth="1"/>
    <col min="23" max="16384" width="9.140625" style="39"/>
  </cols>
  <sheetData>
    <row r="1" spans="1:21" s="305" customFormat="1">
      <c r="A1" s="303" t="s">
        <v>7</v>
      </c>
      <c r="B1" s="303" t="s">
        <v>117</v>
      </c>
      <c r="C1" s="303" t="s">
        <v>118</v>
      </c>
      <c r="D1" s="303" t="s">
        <v>28</v>
      </c>
      <c r="E1" s="304" t="s">
        <v>94</v>
      </c>
      <c r="F1" s="304" t="s">
        <v>95</v>
      </c>
      <c r="G1" s="304" t="s">
        <v>107</v>
      </c>
      <c r="H1" s="304" t="s">
        <v>108</v>
      </c>
      <c r="I1" s="304" t="s">
        <v>96</v>
      </c>
      <c r="J1" s="304" t="s">
        <v>109</v>
      </c>
      <c r="K1" s="304" t="s">
        <v>110</v>
      </c>
      <c r="L1" s="304" t="s">
        <v>98</v>
      </c>
      <c r="M1" s="304" t="s">
        <v>119</v>
      </c>
      <c r="N1" s="304" t="s">
        <v>100</v>
      </c>
      <c r="O1" s="304" t="s">
        <v>101</v>
      </c>
      <c r="P1" s="304" t="s">
        <v>102</v>
      </c>
      <c r="Q1" s="304" t="s">
        <v>3</v>
      </c>
    </row>
    <row r="2" spans="1:21">
      <c r="A2" s="306" t="s">
        <v>120</v>
      </c>
    </row>
    <row r="3" spans="1:21">
      <c r="A3" s="39" t="s">
        <v>121</v>
      </c>
      <c r="B3" s="39" t="s">
        <v>122</v>
      </c>
      <c r="C3" s="39" t="s">
        <v>123</v>
      </c>
      <c r="D3" s="39">
        <v>2017</v>
      </c>
      <c r="E3" s="307">
        <v>175301.18</v>
      </c>
      <c r="F3" s="307">
        <v>159148.54999999999</v>
      </c>
      <c r="G3" s="307">
        <v>174933.15</v>
      </c>
      <c r="H3" s="307">
        <v>153578.65</v>
      </c>
      <c r="I3" s="307">
        <v>168481.5</v>
      </c>
      <c r="J3" s="307">
        <v>160486.25</v>
      </c>
      <c r="K3" s="307">
        <v>149291.45000000001</v>
      </c>
      <c r="L3" s="307">
        <v>181460.73</v>
      </c>
      <c r="M3" s="307">
        <v>164920.23000000001</v>
      </c>
      <c r="N3" s="307">
        <v>169093.09</v>
      </c>
      <c r="O3" s="307">
        <v>163303.53</v>
      </c>
      <c r="P3" s="307">
        <v>150081.65</v>
      </c>
      <c r="Q3" s="307">
        <f t="shared" ref="Q3:Q14" si="0">SUM(E3:P3)</f>
        <v>1970079.96</v>
      </c>
      <c r="S3" s="308"/>
    </row>
    <row r="4" spans="1:21">
      <c r="A4" s="39" t="s">
        <v>121</v>
      </c>
      <c r="B4" s="39" t="s">
        <v>124</v>
      </c>
      <c r="C4" s="39" t="s">
        <v>125</v>
      </c>
      <c r="D4" s="39">
        <v>2017</v>
      </c>
      <c r="E4" s="307">
        <v>11380.19</v>
      </c>
      <c r="F4" s="307">
        <v>11380.3</v>
      </c>
      <c r="G4" s="307">
        <v>11380.3</v>
      </c>
      <c r="H4" s="307">
        <v>11380.3</v>
      </c>
      <c r="I4" s="307">
        <v>11380.3</v>
      </c>
      <c r="J4" s="307">
        <v>11380.3</v>
      </c>
      <c r="K4" s="307">
        <v>11380.3</v>
      </c>
      <c r="L4" s="307">
        <v>11380.3</v>
      </c>
      <c r="M4" s="307">
        <v>11380.3</v>
      </c>
      <c r="N4" s="307">
        <v>11380.3</v>
      </c>
      <c r="O4" s="307">
        <v>11380.3</v>
      </c>
      <c r="P4" s="307">
        <v>11380.3</v>
      </c>
      <c r="Q4" s="307">
        <f t="shared" si="0"/>
        <v>136563.49000000002</v>
      </c>
    </row>
    <row r="5" spans="1:21">
      <c r="A5" s="39" t="s">
        <v>121</v>
      </c>
      <c r="B5" s="39" t="s">
        <v>126</v>
      </c>
      <c r="C5" s="39" t="s">
        <v>127</v>
      </c>
      <c r="D5" s="39">
        <v>2017</v>
      </c>
      <c r="E5" s="307">
        <v>3866.56</v>
      </c>
      <c r="F5" s="307">
        <v>0</v>
      </c>
      <c r="G5" s="307">
        <v>8426.56</v>
      </c>
      <c r="H5" s="307">
        <v>0</v>
      </c>
      <c r="I5" s="307">
        <v>12986.56</v>
      </c>
      <c r="J5" s="307">
        <v>34466.76</v>
      </c>
      <c r="K5" s="307">
        <v>11666.76</v>
      </c>
      <c r="L5" s="307">
        <v>10706.56</v>
      </c>
      <c r="M5" s="307">
        <v>0</v>
      </c>
      <c r="N5" s="307">
        <v>3866.56</v>
      </c>
      <c r="O5" s="307">
        <v>4560</v>
      </c>
      <c r="P5" s="307">
        <v>7633.28</v>
      </c>
      <c r="Q5" s="307">
        <f t="shared" si="0"/>
        <v>98179.599999999991</v>
      </c>
      <c r="S5"/>
      <c r="T5"/>
      <c r="U5"/>
    </row>
    <row r="6" spans="1:21">
      <c r="A6" s="39" t="s">
        <v>121</v>
      </c>
      <c r="B6" s="39" t="s">
        <v>128</v>
      </c>
      <c r="C6" s="39" t="s">
        <v>129</v>
      </c>
      <c r="D6" s="39">
        <v>2017</v>
      </c>
      <c r="E6" s="307">
        <v>365776.5</v>
      </c>
      <c r="F6" s="307">
        <v>324747.53000000003</v>
      </c>
      <c r="G6" s="307">
        <v>372055.27</v>
      </c>
      <c r="H6" s="307">
        <v>321582.37</v>
      </c>
      <c r="I6" s="307">
        <v>356609.41</v>
      </c>
      <c r="J6" s="307">
        <v>342798.6</v>
      </c>
      <c r="K6" s="307">
        <v>318903.84999999998</v>
      </c>
      <c r="L6" s="307">
        <v>386862.62</v>
      </c>
      <c r="M6" s="307">
        <v>346345.94</v>
      </c>
      <c r="N6" s="307">
        <v>357118</v>
      </c>
      <c r="O6" s="307">
        <v>339927.16</v>
      </c>
      <c r="P6" s="307">
        <v>304748.46999999997</v>
      </c>
      <c r="Q6" s="307">
        <f t="shared" si="0"/>
        <v>4137475.7199999997</v>
      </c>
      <c r="S6"/>
      <c r="T6"/>
      <c r="U6"/>
    </row>
    <row r="7" spans="1:21">
      <c r="A7" s="39" t="s">
        <v>121</v>
      </c>
      <c r="B7" s="39" t="s">
        <v>130</v>
      </c>
      <c r="C7" s="39" t="s">
        <v>252</v>
      </c>
      <c r="D7" s="39">
        <v>2017</v>
      </c>
      <c r="E7" s="307">
        <v>2209.13</v>
      </c>
      <c r="F7" s="307">
        <v>2342.54</v>
      </c>
      <c r="G7" s="307">
        <v>5629.16</v>
      </c>
      <c r="H7" s="307">
        <v>2209.16</v>
      </c>
      <c r="I7" s="307">
        <v>2209.16</v>
      </c>
      <c r="J7" s="307">
        <v>15015.92</v>
      </c>
      <c r="K7" s="307">
        <v>2209.16</v>
      </c>
      <c r="L7" s="307">
        <v>2209.16</v>
      </c>
      <c r="M7" s="307">
        <v>2209.16</v>
      </c>
      <c r="N7" s="307">
        <v>2209.16</v>
      </c>
      <c r="O7" s="307">
        <v>2209.16</v>
      </c>
      <c r="P7" s="307">
        <v>2209.16</v>
      </c>
      <c r="Q7" s="307">
        <f t="shared" si="0"/>
        <v>42870.030000000013</v>
      </c>
      <c r="S7"/>
      <c r="T7"/>
      <c r="U7"/>
    </row>
    <row r="8" spans="1:21">
      <c r="A8" s="39" t="s">
        <v>121</v>
      </c>
      <c r="B8" s="39" t="s">
        <v>131</v>
      </c>
      <c r="C8" s="39" t="s">
        <v>132</v>
      </c>
      <c r="D8" s="39">
        <v>2017</v>
      </c>
      <c r="E8" s="307">
        <v>325941.77</v>
      </c>
      <c r="F8" s="307">
        <v>356009.17</v>
      </c>
      <c r="G8" s="307">
        <v>387030.24</v>
      </c>
      <c r="H8" s="307">
        <v>386510.96</v>
      </c>
      <c r="I8" s="307">
        <v>329510.96000000002</v>
      </c>
      <c r="J8" s="307">
        <v>382337.58</v>
      </c>
      <c r="K8" s="307">
        <v>470443.55</v>
      </c>
      <c r="L8" s="307">
        <v>445512.74</v>
      </c>
      <c r="M8" s="307">
        <v>386510.96</v>
      </c>
      <c r="N8" s="307">
        <v>388512.74</v>
      </c>
      <c r="O8" s="307">
        <v>244010.96</v>
      </c>
      <c r="P8" s="307">
        <v>302150.96000000002</v>
      </c>
      <c r="Q8" s="307">
        <f>SUM(E8:P8)</f>
        <v>4404482.59</v>
      </c>
      <c r="S8"/>
      <c r="T8"/>
      <c r="U8"/>
    </row>
    <row r="9" spans="1:21">
      <c r="A9" s="39" t="s">
        <v>121</v>
      </c>
      <c r="B9" s="39" t="s">
        <v>133</v>
      </c>
      <c r="C9" s="39" t="s">
        <v>185</v>
      </c>
      <c r="D9" s="39">
        <v>2017</v>
      </c>
      <c r="E9" s="307">
        <v>1270050.56</v>
      </c>
      <c r="F9" s="307">
        <v>1289819.67</v>
      </c>
      <c r="G9" s="307">
        <v>1677342.77</v>
      </c>
      <c r="H9" s="307">
        <v>2051289.75</v>
      </c>
      <c r="I9" s="307">
        <v>2229638.02</v>
      </c>
      <c r="J9" s="307">
        <v>2212992.67</v>
      </c>
      <c r="K9" s="307">
        <v>2185828.1800000002</v>
      </c>
      <c r="L9" s="307">
        <v>2398315.15</v>
      </c>
      <c r="M9" s="307">
        <v>2204702.96</v>
      </c>
      <c r="N9" s="307">
        <v>2400243.48</v>
      </c>
      <c r="O9" s="307">
        <v>2221422.0099999998</v>
      </c>
      <c r="P9" s="307">
        <v>1859739.66</v>
      </c>
      <c r="Q9" s="307">
        <f t="shared" si="0"/>
        <v>24001384.879999999</v>
      </c>
      <c r="S9"/>
      <c r="T9"/>
      <c r="U9"/>
    </row>
    <row r="10" spans="1:21">
      <c r="A10" s="39" t="s">
        <v>121</v>
      </c>
      <c r="B10" s="39" t="s">
        <v>134</v>
      </c>
      <c r="C10" s="39" t="s">
        <v>135</v>
      </c>
      <c r="D10" s="39">
        <v>2017</v>
      </c>
      <c r="E10" s="307">
        <v>427625.85</v>
      </c>
      <c r="F10" s="307">
        <v>478016.31</v>
      </c>
      <c r="G10" s="307">
        <v>545629.43999999994</v>
      </c>
      <c r="H10" s="307">
        <v>530842.93000000005</v>
      </c>
      <c r="I10" s="307">
        <v>540851.87</v>
      </c>
      <c r="J10" s="307">
        <v>593933.18999999994</v>
      </c>
      <c r="K10" s="307">
        <v>586879.72</v>
      </c>
      <c r="L10" s="307">
        <v>603592.65</v>
      </c>
      <c r="M10" s="307">
        <v>535186.13</v>
      </c>
      <c r="N10" s="307">
        <v>433196.84</v>
      </c>
      <c r="O10" s="307">
        <v>428589.08</v>
      </c>
      <c r="P10" s="307">
        <v>401330.96</v>
      </c>
      <c r="Q10" s="307">
        <f t="shared" si="0"/>
        <v>6105674.9699999997</v>
      </c>
      <c r="S10"/>
      <c r="T10"/>
      <c r="U10"/>
    </row>
    <row r="11" spans="1:21">
      <c r="A11" s="39" t="s">
        <v>121</v>
      </c>
      <c r="B11" s="39" t="s">
        <v>136</v>
      </c>
      <c r="C11" s="39" t="s">
        <v>137</v>
      </c>
      <c r="D11" s="39">
        <v>2017</v>
      </c>
      <c r="E11" s="307">
        <v>65715.95</v>
      </c>
      <c r="F11" s="307">
        <v>94215.91</v>
      </c>
      <c r="G11" s="307">
        <v>126889.29</v>
      </c>
      <c r="H11" s="307">
        <v>126889.29</v>
      </c>
      <c r="I11" s="307">
        <v>115489.29</v>
      </c>
      <c r="J11" s="307">
        <v>138289.29</v>
      </c>
      <c r="K11" s="307">
        <v>153302.6</v>
      </c>
      <c r="L11" s="307">
        <v>155389.29</v>
      </c>
      <c r="M11" s="307">
        <v>155389.29</v>
      </c>
      <c r="N11" s="307">
        <v>126889.29</v>
      </c>
      <c r="O11" s="307">
        <v>126889.29</v>
      </c>
      <c r="P11" s="307">
        <v>37969.29</v>
      </c>
      <c r="Q11" s="307">
        <f t="shared" si="0"/>
        <v>1423318.07</v>
      </c>
      <c r="S11"/>
      <c r="T11"/>
      <c r="U11"/>
    </row>
    <row r="12" spans="1:21">
      <c r="A12" s="39" t="s">
        <v>121</v>
      </c>
      <c r="B12" s="39" t="s">
        <v>138</v>
      </c>
      <c r="C12" s="39" t="s">
        <v>139</v>
      </c>
      <c r="D12" s="39">
        <v>2017</v>
      </c>
      <c r="E12" s="307">
        <v>175931.58</v>
      </c>
      <c r="F12" s="307">
        <v>154352.48000000001</v>
      </c>
      <c r="G12" s="307">
        <v>178578.67</v>
      </c>
      <c r="H12" s="307">
        <v>152336.57999999999</v>
      </c>
      <c r="I12" s="307">
        <v>170548.18</v>
      </c>
      <c r="J12" s="307">
        <v>163489.47</v>
      </c>
      <c r="K12" s="307">
        <v>151282.67000000001</v>
      </c>
      <c r="L12" s="307">
        <v>186512.61</v>
      </c>
      <c r="M12" s="307">
        <v>166071.49</v>
      </c>
      <c r="N12" s="307">
        <v>170772.86</v>
      </c>
      <c r="O12" s="307">
        <v>161317.9</v>
      </c>
      <c r="P12" s="307">
        <v>143873.26999999999</v>
      </c>
      <c r="Q12" s="307">
        <f t="shared" si="0"/>
        <v>1975067.7599999998</v>
      </c>
      <c r="S12"/>
      <c r="T12"/>
      <c r="U12"/>
    </row>
    <row r="13" spans="1:21">
      <c r="A13" s="39" t="s">
        <v>121</v>
      </c>
      <c r="B13" s="39" t="s">
        <v>140</v>
      </c>
      <c r="C13" s="39" t="s">
        <v>141</v>
      </c>
      <c r="D13" s="39">
        <v>2017</v>
      </c>
      <c r="E13" s="307">
        <v>7581.25</v>
      </c>
      <c r="F13" s="307">
        <v>11794.57</v>
      </c>
      <c r="G13" s="307">
        <v>9861.2900000000009</v>
      </c>
      <c r="H13" s="307">
        <v>11794.57</v>
      </c>
      <c r="I13" s="307">
        <v>9861.2900000000009</v>
      </c>
      <c r="J13" s="307">
        <v>12934.57</v>
      </c>
      <c r="K13" s="307">
        <v>9861.2900000000009</v>
      </c>
      <c r="L13" s="307">
        <v>9861.2900000000009</v>
      </c>
      <c r="M13" s="307">
        <v>9861.2900000000009</v>
      </c>
      <c r="N13" s="307">
        <v>10393.67</v>
      </c>
      <c r="O13" s="307">
        <v>11794.57</v>
      </c>
      <c r="P13" s="307">
        <v>2385.64</v>
      </c>
      <c r="Q13" s="307">
        <f t="shared" si="0"/>
        <v>117985.29</v>
      </c>
      <c r="S13"/>
      <c r="T13"/>
      <c r="U13"/>
    </row>
    <row r="14" spans="1:21">
      <c r="A14" s="39" t="s">
        <v>121</v>
      </c>
      <c r="B14" s="39" t="s">
        <v>212</v>
      </c>
      <c r="C14" s="39" t="s">
        <v>213</v>
      </c>
      <c r="D14" s="39">
        <v>2017</v>
      </c>
      <c r="E14" s="312">
        <f>225123.1-175000</f>
        <v>50123.100000000006</v>
      </c>
      <c r="F14" s="312">
        <f>222432.22-175000</f>
        <v>47432.22</v>
      </c>
      <c r="G14" s="309">
        <v>253623.1</v>
      </c>
      <c r="H14" s="309">
        <v>282123.09999999998</v>
      </c>
      <c r="I14" s="309">
        <v>310623.09999999998</v>
      </c>
      <c r="J14" s="309">
        <v>312105.59999999998</v>
      </c>
      <c r="K14" s="309">
        <v>312105.59999999998</v>
      </c>
      <c r="L14" s="309">
        <v>346535.61</v>
      </c>
      <c r="M14" s="309">
        <v>295465.62</v>
      </c>
      <c r="N14" s="309">
        <v>195370.61</v>
      </c>
      <c r="O14" s="309">
        <v>182948.12</v>
      </c>
      <c r="P14" s="309">
        <v>166528.10999999999</v>
      </c>
      <c r="Q14" s="309">
        <f t="shared" si="0"/>
        <v>2754983.8899999997</v>
      </c>
      <c r="R14" s="308"/>
    </row>
    <row r="15" spans="1:21">
      <c r="C15" s="40" t="s">
        <v>142</v>
      </c>
      <c r="E15" s="310">
        <f t="shared" ref="E15:P15" si="1">SUM(E3:E14)</f>
        <v>2881503.6200000006</v>
      </c>
      <c r="F15" s="310">
        <f t="shared" si="1"/>
        <v>2929259.25</v>
      </c>
      <c r="G15" s="310">
        <f t="shared" si="1"/>
        <v>3751379.24</v>
      </c>
      <c r="H15" s="310">
        <f t="shared" si="1"/>
        <v>4030537.66</v>
      </c>
      <c r="I15" s="310">
        <f t="shared" si="1"/>
        <v>4258189.6400000006</v>
      </c>
      <c r="J15" s="310">
        <f t="shared" si="1"/>
        <v>4380230.2</v>
      </c>
      <c r="K15" s="310">
        <f t="shared" si="1"/>
        <v>4363155.13</v>
      </c>
      <c r="L15" s="310">
        <f t="shared" si="1"/>
        <v>4738338.71</v>
      </c>
      <c r="M15" s="310">
        <f t="shared" si="1"/>
        <v>4278043.37</v>
      </c>
      <c r="N15" s="310">
        <f t="shared" si="1"/>
        <v>4269046.5999999996</v>
      </c>
      <c r="O15" s="310">
        <f t="shared" si="1"/>
        <v>3898352.0799999996</v>
      </c>
      <c r="P15" s="310">
        <f t="shared" si="1"/>
        <v>3390030.75</v>
      </c>
      <c r="Q15" s="310">
        <f>SUM(Q3:Q14)</f>
        <v>47168066.249999993</v>
      </c>
    </row>
    <row r="16" spans="1:21">
      <c r="A16" s="39" t="s">
        <v>279</v>
      </c>
      <c r="C16" s="4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</row>
    <row r="17" spans="1:24">
      <c r="A17" s="39" t="s">
        <v>278</v>
      </c>
      <c r="C17" s="4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</row>
    <row r="18" spans="1:24">
      <c r="A18" s="311" t="s">
        <v>121</v>
      </c>
      <c r="B18" s="311" t="s">
        <v>253</v>
      </c>
      <c r="C18" s="311" t="s">
        <v>254</v>
      </c>
      <c r="D18" s="311">
        <v>2017</v>
      </c>
      <c r="E18" s="80">
        <v>37328.46</v>
      </c>
      <c r="F18" s="80">
        <v>49735.79</v>
      </c>
      <c r="G18" s="80">
        <v>99943.55</v>
      </c>
      <c r="H18" s="80">
        <v>215510.96</v>
      </c>
      <c r="I18" s="80">
        <v>215510.96</v>
      </c>
      <c r="J18" s="80">
        <v>215510.96</v>
      </c>
      <c r="K18" s="80">
        <v>215426.05</v>
      </c>
      <c r="L18" s="80">
        <v>217512.74</v>
      </c>
      <c r="M18" s="80">
        <v>226910.96</v>
      </c>
      <c r="N18" s="80">
        <v>191014.53</v>
      </c>
      <c r="O18" s="80">
        <v>147110.96</v>
      </c>
      <c r="P18" s="80">
        <v>168770.96</v>
      </c>
      <c r="Q18" s="80">
        <f>SUM(E18:P18)</f>
        <v>2000286.88</v>
      </c>
      <c r="R18" s="39" t="s">
        <v>255</v>
      </c>
    </row>
    <row r="19" spans="1:24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24">
      <c r="A20" s="306" t="s">
        <v>38</v>
      </c>
      <c r="S20"/>
      <c r="T20"/>
      <c r="U20"/>
      <c r="V20"/>
      <c r="W20"/>
      <c r="X20"/>
    </row>
    <row r="21" spans="1:24">
      <c r="A21" s="39" t="s">
        <v>143</v>
      </c>
      <c r="B21" s="39" t="s">
        <v>131</v>
      </c>
      <c r="C21" s="39" t="s">
        <v>132</v>
      </c>
      <c r="D21" s="39">
        <v>2017</v>
      </c>
      <c r="E21" s="307">
        <v>27360</v>
      </c>
      <c r="F21" s="307">
        <v>30780</v>
      </c>
      <c r="G21" s="307">
        <v>30780</v>
      </c>
      <c r="H21" s="307">
        <v>27360</v>
      </c>
      <c r="I21" s="307">
        <v>31920</v>
      </c>
      <c r="J21" s="307">
        <v>31920</v>
      </c>
      <c r="K21" s="307">
        <v>27360</v>
      </c>
      <c r="L21" s="307">
        <v>31920</v>
      </c>
      <c r="M21" s="307">
        <v>31920</v>
      </c>
      <c r="N21" s="307">
        <v>27360</v>
      </c>
      <c r="O21" s="307">
        <v>31920</v>
      </c>
      <c r="P21" s="307">
        <v>31920</v>
      </c>
      <c r="Q21" s="307">
        <f t="shared" ref="Q21:Q26" si="2">SUM(E21:P21)</f>
        <v>362520</v>
      </c>
      <c r="S21"/>
      <c r="T21"/>
      <c r="U21"/>
      <c r="V21"/>
      <c r="W21"/>
      <c r="X21"/>
    </row>
    <row r="22" spans="1:24">
      <c r="A22" s="39" t="s">
        <v>143</v>
      </c>
      <c r="B22" s="39" t="s">
        <v>134</v>
      </c>
      <c r="C22" s="39" t="s">
        <v>135</v>
      </c>
      <c r="D22" s="39">
        <v>2017</v>
      </c>
      <c r="E22" s="307">
        <v>13680</v>
      </c>
      <c r="F22" s="307">
        <v>13680</v>
      </c>
      <c r="G22" s="307">
        <v>17100</v>
      </c>
      <c r="H22" s="307">
        <v>13680</v>
      </c>
      <c r="I22" s="307">
        <v>13680</v>
      </c>
      <c r="J22" s="307">
        <v>17100</v>
      </c>
      <c r="K22" s="307">
        <v>13680</v>
      </c>
      <c r="L22" s="307">
        <v>13680</v>
      </c>
      <c r="M22" s="307">
        <v>17100</v>
      </c>
      <c r="N22" s="307">
        <v>13680</v>
      </c>
      <c r="O22" s="307">
        <v>13680</v>
      </c>
      <c r="P22" s="307">
        <v>17100</v>
      </c>
      <c r="Q22" s="307">
        <f t="shared" si="2"/>
        <v>177840</v>
      </c>
      <c r="S22"/>
      <c r="T22"/>
      <c r="U22"/>
      <c r="V22"/>
      <c r="W22"/>
      <c r="X22"/>
    </row>
    <row r="23" spans="1:24">
      <c r="A23" s="39" t="s">
        <v>143</v>
      </c>
      <c r="B23" s="39" t="s">
        <v>136</v>
      </c>
      <c r="C23" s="39" t="s">
        <v>137</v>
      </c>
      <c r="D23" s="39">
        <v>2017</v>
      </c>
      <c r="E23" s="307">
        <v>12540</v>
      </c>
      <c r="F23" s="307">
        <v>13680</v>
      </c>
      <c r="G23" s="307">
        <v>13680</v>
      </c>
      <c r="H23" s="307">
        <v>12540</v>
      </c>
      <c r="I23" s="307">
        <v>14820</v>
      </c>
      <c r="J23" s="307">
        <v>13680</v>
      </c>
      <c r="K23" s="307">
        <v>12540</v>
      </c>
      <c r="L23" s="307">
        <v>13680</v>
      </c>
      <c r="M23" s="307">
        <v>13680</v>
      </c>
      <c r="N23" s="307">
        <v>12540</v>
      </c>
      <c r="O23" s="307">
        <v>13680</v>
      </c>
      <c r="P23" s="307">
        <v>13680</v>
      </c>
      <c r="Q23" s="307">
        <f t="shared" si="2"/>
        <v>160740</v>
      </c>
      <c r="S23"/>
      <c r="T23"/>
      <c r="U23"/>
      <c r="V23"/>
      <c r="W23"/>
      <c r="X23"/>
    </row>
    <row r="24" spans="1:24">
      <c r="A24" s="39" t="s">
        <v>143</v>
      </c>
      <c r="B24" s="39" t="s">
        <v>138</v>
      </c>
      <c r="C24" s="39" t="s">
        <v>139</v>
      </c>
      <c r="D24" s="39">
        <v>2017</v>
      </c>
      <c r="E24" s="307">
        <v>31481.37</v>
      </c>
      <c r="F24" s="307">
        <v>27719.1</v>
      </c>
      <c r="G24" s="307">
        <v>32065.94</v>
      </c>
      <c r="H24" s="307">
        <v>27261.81</v>
      </c>
      <c r="I24" s="307">
        <v>30640.07</v>
      </c>
      <c r="J24" s="307">
        <v>29305.439999999999</v>
      </c>
      <c r="K24" s="307">
        <v>27055.65</v>
      </c>
      <c r="L24" s="307">
        <v>33454.080000000002</v>
      </c>
      <c r="M24" s="307">
        <v>29623.45</v>
      </c>
      <c r="N24" s="307">
        <v>30651.88</v>
      </c>
      <c r="O24" s="307">
        <v>28899.46</v>
      </c>
      <c r="P24" s="307">
        <v>25618.04</v>
      </c>
      <c r="Q24" s="307">
        <f t="shared" si="2"/>
        <v>353776.29000000004</v>
      </c>
      <c r="S24"/>
      <c r="T24"/>
      <c r="U24"/>
      <c r="V24"/>
      <c r="W24"/>
      <c r="X24"/>
    </row>
    <row r="25" spans="1:24">
      <c r="A25" s="39" t="s">
        <v>143</v>
      </c>
      <c r="B25" s="39" t="s">
        <v>140</v>
      </c>
      <c r="C25" s="39" t="s">
        <v>141</v>
      </c>
      <c r="D25" s="39">
        <v>2017</v>
      </c>
      <c r="E25" s="307">
        <v>0</v>
      </c>
      <c r="F25" s="307">
        <v>3866.56</v>
      </c>
      <c r="G25" s="307">
        <v>0</v>
      </c>
      <c r="H25" s="307">
        <v>11499.84</v>
      </c>
      <c r="I25" s="307">
        <v>11400</v>
      </c>
      <c r="J25" s="307">
        <v>11499.84</v>
      </c>
      <c r="K25" s="307">
        <v>1140</v>
      </c>
      <c r="L25" s="307">
        <v>0</v>
      </c>
      <c r="M25" s="307">
        <v>0</v>
      </c>
      <c r="N25" s="307">
        <v>3866.56</v>
      </c>
      <c r="O25" s="307">
        <v>0</v>
      </c>
      <c r="P25" s="307">
        <v>1933.28</v>
      </c>
      <c r="Q25" s="307">
        <f t="shared" si="2"/>
        <v>45206.080000000002</v>
      </c>
      <c r="S25"/>
      <c r="T25"/>
      <c r="U25"/>
      <c r="V25"/>
      <c r="W25"/>
      <c r="X25"/>
    </row>
    <row r="26" spans="1:24">
      <c r="A26" s="39" t="s">
        <v>143</v>
      </c>
      <c r="B26" s="39" t="s">
        <v>212</v>
      </c>
      <c r="C26" s="39" t="s">
        <v>213</v>
      </c>
      <c r="D26" s="39">
        <v>2017</v>
      </c>
      <c r="E26" s="309">
        <v>17100</v>
      </c>
      <c r="F26" s="309">
        <v>17100</v>
      </c>
      <c r="G26" s="309">
        <v>17100</v>
      </c>
      <c r="H26" s="309">
        <v>17100</v>
      </c>
      <c r="I26" s="309">
        <v>17100</v>
      </c>
      <c r="J26" s="309">
        <v>17100</v>
      </c>
      <c r="K26" s="309">
        <v>17100</v>
      </c>
      <c r="L26" s="309">
        <v>17100</v>
      </c>
      <c r="M26" s="309">
        <v>17100</v>
      </c>
      <c r="N26" s="309">
        <v>17100</v>
      </c>
      <c r="O26" s="309">
        <v>17100</v>
      </c>
      <c r="P26" s="309">
        <v>17100</v>
      </c>
      <c r="Q26" s="309">
        <f t="shared" si="2"/>
        <v>205200</v>
      </c>
      <c r="S26"/>
      <c r="T26"/>
      <c r="U26"/>
      <c r="V26"/>
      <c r="W26"/>
      <c r="X26"/>
    </row>
    <row r="27" spans="1:24">
      <c r="C27" s="40" t="s">
        <v>144</v>
      </c>
      <c r="E27" s="310">
        <f t="shared" ref="E27:Q27" si="3">SUM(E21:E26)</f>
        <v>102161.37</v>
      </c>
      <c r="F27" s="310">
        <f t="shared" si="3"/>
        <v>106825.66</v>
      </c>
      <c r="G27" s="310">
        <f t="shared" si="3"/>
        <v>110725.94</v>
      </c>
      <c r="H27" s="310">
        <f t="shared" si="3"/>
        <v>109441.65</v>
      </c>
      <c r="I27" s="310">
        <f t="shared" si="3"/>
        <v>119560.07</v>
      </c>
      <c r="J27" s="310">
        <f t="shared" si="3"/>
        <v>120605.28</v>
      </c>
      <c r="K27" s="310">
        <f t="shared" si="3"/>
        <v>98875.65</v>
      </c>
      <c r="L27" s="310">
        <f t="shared" si="3"/>
        <v>109834.08</v>
      </c>
      <c r="M27" s="310">
        <f t="shared" si="3"/>
        <v>109423.45</v>
      </c>
      <c r="N27" s="310">
        <f t="shared" si="3"/>
        <v>105198.44</v>
      </c>
      <c r="O27" s="310">
        <f t="shared" si="3"/>
        <v>105279.45999999999</v>
      </c>
      <c r="P27" s="310">
        <f t="shared" si="3"/>
        <v>107351.32</v>
      </c>
      <c r="Q27" s="310">
        <f t="shared" si="3"/>
        <v>1305282.3700000001</v>
      </c>
      <c r="S27"/>
      <c r="T27"/>
      <c r="U27"/>
      <c r="V27"/>
      <c r="W27"/>
      <c r="X27"/>
    </row>
    <row r="28" spans="1:24">
      <c r="S28"/>
      <c r="T28"/>
      <c r="U28"/>
      <c r="V28"/>
      <c r="W28"/>
      <c r="X28"/>
    </row>
    <row r="29" spans="1:24">
      <c r="C29" s="40" t="s">
        <v>214</v>
      </c>
      <c r="E29" s="310">
        <f t="shared" ref="E29:P29" si="4">E15+E27+E18</f>
        <v>3020993.4500000007</v>
      </c>
      <c r="F29" s="310">
        <f t="shared" si="4"/>
        <v>3085820.7</v>
      </c>
      <c r="G29" s="310">
        <f t="shared" si="4"/>
        <v>3962048.73</v>
      </c>
      <c r="H29" s="310">
        <f t="shared" si="4"/>
        <v>4355490.2700000005</v>
      </c>
      <c r="I29" s="310">
        <f t="shared" si="4"/>
        <v>4593260.6700000009</v>
      </c>
      <c r="J29" s="310">
        <f t="shared" si="4"/>
        <v>4716346.4400000004</v>
      </c>
      <c r="K29" s="310">
        <f t="shared" si="4"/>
        <v>4677456.83</v>
      </c>
      <c r="L29" s="310">
        <f t="shared" si="4"/>
        <v>5065685.53</v>
      </c>
      <c r="M29" s="310">
        <f t="shared" si="4"/>
        <v>4614377.78</v>
      </c>
      <c r="N29" s="310">
        <f t="shared" si="4"/>
        <v>4565259.57</v>
      </c>
      <c r="O29" s="310">
        <f t="shared" si="4"/>
        <v>4150742.4999999995</v>
      </c>
      <c r="P29" s="310">
        <f t="shared" si="4"/>
        <v>3666153.03</v>
      </c>
      <c r="Q29" s="310">
        <f>Q15+Q27+Q18</f>
        <v>50473635.499999993</v>
      </c>
      <c r="T29" s="311"/>
      <c r="U29" s="311"/>
      <c r="V29" s="311"/>
    </row>
    <row r="30" spans="1:24">
      <c r="C30" s="4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</row>
    <row r="31" spans="1:24">
      <c r="A31" s="306" t="s">
        <v>120</v>
      </c>
    </row>
    <row r="32" spans="1:24">
      <c r="A32" s="39" t="s">
        <v>121</v>
      </c>
      <c r="B32" s="39" t="s">
        <v>122</v>
      </c>
      <c r="C32" s="39" t="s">
        <v>123</v>
      </c>
      <c r="D32" s="39">
        <v>2018</v>
      </c>
      <c r="E32" s="307">
        <v>186185.53</v>
      </c>
      <c r="F32" s="307">
        <v>160489.14000000001</v>
      </c>
      <c r="G32" s="307">
        <v>169260.06</v>
      </c>
      <c r="H32" s="307">
        <v>162592.25</v>
      </c>
      <c r="I32" s="307">
        <v>176374.84</v>
      </c>
      <c r="J32" s="307">
        <v>158518.10999999999</v>
      </c>
      <c r="K32" s="307">
        <v>159817.35999999999</v>
      </c>
      <c r="L32" s="307">
        <v>186878.72</v>
      </c>
      <c r="M32" s="307">
        <v>162215.48000000001</v>
      </c>
      <c r="N32" s="307">
        <v>180247.71</v>
      </c>
      <c r="O32" s="307">
        <v>167622.68</v>
      </c>
      <c r="P32" s="307">
        <v>157909.67000000001</v>
      </c>
      <c r="Q32" s="307">
        <f t="shared" ref="Q32:Q43" si="5">SUM(E32:P32)</f>
        <v>2028111.5499999998</v>
      </c>
    </row>
    <row r="33" spans="1:18">
      <c r="A33" s="39" t="s">
        <v>121</v>
      </c>
      <c r="B33" s="39" t="s">
        <v>124</v>
      </c>
      <c r="C33" s="39" t="s">
        <v>125</v>
      </c>
      <c r="D33" s="39">
        <v>2018</v>
      </c>
      <c r="E33" s="307">
        <v>12063.07</v>
      </c>
      <c r="F33" s="307">
        <v>8642.9699999999993</v>
      </c>
      <c r="G33" s="307">
        <v>9978.69</v>
      </c>
      <c r="H33" s="307">
        <v>14011.59</v>
      </c>
      <c r="I33" s="307">
        <v>22487.79</v>
      </c>
      <c r="J33" s="307">
        <v>7893.27</v>
      </c>
      <c r="K33" s="307">
        <v>11927.31</v>
      </c>
      <c r="L33" s="307">
        <v>10922.97</v>
      </c>
      <c r="M33" s="307">
        <v>8727.43</v>
      </c>
      <c r="N33" s="307">
        <v>16982.37</v>
      </c>
      <c r="O33" s="307">
        <v>12062.97</v>
      </c>
      <c r="P33" s="307">
        <v>4337.6099999999997</v>
      </c>
      <c r="Q33" s="307">
        <f t="shared" si="5"/>
        <v>140038.04</v>
      </c>
    </row>
    <row r="34" spans="1:18">
      <c r="A34" s="39" t="s">
        <v>121</v>
      </c>
      <c r="B34" s="39" t="s">
        <v>126</v>
      </c>
      <c r="C34" s="39" t="s">
        <v>127</v>
      </c>
      <c r="D34" s="39">
        <v>2018</v>
      </c>
      <c r="E34" s="307">
        <v>4186.8</v>
      </c>
      <c r="F34" s="307">
        <v>0</v>
      </c>
      <c r="G34" s="307">
        <v>8746.7999999999993</v>
      </c>
      <c r="H34" s="307">
        <v>0</v>
      </c>
      <c r="I34" s="307">
        <v>13306.8</v>
      </c>
      <c r="J34" s="307">
        <v>34200</v>
      </c>
      <c r="K34" s="307">
        <v>11400</v>
      </c>
      <c r="L34" s="307">
        <v>11026.8</v>
      </c>
      <c r="M34" s="307">
        <v>0</v>
      </c>
      <c r="N34" s="307">
        <v>4186.8</v>
      </c>
      <c r="O34" s="307">
        <v>4560</v>
      </c>
      <c r="P34" s="307">
        <v>7793.4</v>
      </c>
      <c r="Q34" s="307">
        <f t="shared" si="5"/>
        <v>99407.4</v>
      </c>
    </row>
    <row r="35" spans="1:18">
      <c r="A35" s="39" t="s">
        <v>121</v>
      </c>
      <c r="B35" s="39" t="s">
        <v>128</v>
      </c>
      <c r="C35" s="39" t="s">
        <v>129</v>
      </c>
      <c r="D35" s="39">
        <v>2018</v>
      </c>
      <c r="E35" s="307">
        <v>387527.36</v>
      </c>
      <c r="F35" s="307">
        <v>325903.34000000003</v>
      </c>
      <c r="G35" s="307">
        <v>356177.76</v>
      </c>
      <c r="H35" s="307">
        <v>340813.14</v>
      </c>
      <c r="I35" s="307">
        <v>373653.38</v>
      </c>
      <c r="J35" s="307">
        <v>336399.05</v>
      </c>
      <c r="K35" s="307">
        <v>341054.36</v>
      </c>
      <c r="L35" s="307">
        <v>397880.68</v>
      </c>
      <c r="M35" s="307">
        <v>338179.39</v>
      </c>
      <c r="N35" s="307">
        <v>381704.17</v>
      </c>
      <c r="O35" s="307">
        <v>348481.75</v>
      </c>
      <c r="P35" s="307">
        <v>312069.15999999997</v>
      </c>
      <c r="Q35" s="307">
        <f t="shared" si="5"/>
        <v>4239843.54</v>
      </c>
    </row>
    <row r="36" spans="1:18">
      <c r="A36" s="39" t="s">
        <v>121</v>
      </c>
      <c r="B36" s="39" t="s">
        <v>130</v>
      </c>
      <c r="C36" s="39" t="s">
        <v>252</v>
      </c>
      <c r="D36" s="39">
        <v>2018</v>
      </c>
      <c r="E36" s="307">
        <v>1140</v>
      </c>
      <c r="F36" s="307">
        <v>4373.3999999999996</v>
      </c>
      <c r="G36" s="307">
        <v>3224.28</v>
      </c>
      <c r="H36" s="307">
        <v>4560</v>
      </c>
      <c r="I36" s="307">
        <v>3224.28</v>
      </c>
      <c r="J36" s="307">
        <v>10636.5</v>
      </c>
      <c r="K36" s="307">
        <v>3224.28</v>
      </c>
      <c r="L36" s="307">
        <v>3224.28</v>
      </c>
      <c r="M36" s="307">
        <v>3224.28</v>
      </c>
      <c r="N36" s="307">
        <v>4364.28</v>
      </c>
      <c r="O36" s="307">
        <v>3224.28</v>
      </c>
      <c r="P36" s="307">
        <v>1140</v>
      </c>
      <c r="Q36" s="307">
        <f t="shared" si="5"/>
        <v>45559.859999999993</v>
      </c>
    </row>
    <row r="37" spans="1:18">
      <c r="A37" s="39" t="s">
        <v>121</v>
      </c>
      <c r="B37" s="39" t="s">
        <v>131</v>
      </c>
      <c r="C37" s="39" t="s">
        <v>132</v>
      </c>
      <c r="D37" s="39">
        <v>2018</v>
      </c>
      <c r="E37" s="307">
        <v>324961.05</v>
      </c>
      <c r="F37" s="307">
        <v>329947.18</v>
      </c>
      <c r="G37" s="307">
        <v>332498.55</v>
      </c>
      <c r="H37" s="307">
        <v>328543.65999999997</v>
      </c>
      <c r="I37" s="307">
        <v>333103.65999999997</v>
      </c>
      <c r="J37" s="307">
        <v>328901.58</v>
      </c>
      <c r="K37" s="307">
        <v>326977.52</v>
      </c>
      <c r="L37" s="307">
        <v>335120.13</v>
      </c>
      <c r="M37" s="307">
        <v>333103.65999999997</v>
      </c>
      <c r="N37" s="307">
        <v>330560.13</v>
      </c>
      <c r="O37" s="307">
        <v>333103.65999999997</v>
      </c>
      <c r="P37" s="307">
        <v>362743.66</v>
      </c>
      <c r="Q37" s="307">
        <f t="shared" si="5"/>
        <v>3999564.4400000004</v>
      </c>
    </row>
    <row r="38" spans="1:18">
      <c r="A38" s="39" t="s">
        <v>121</v>
      </c>
      <c r="B38" s="39" t="s">
        <v>134</v>
      </c>
      <c r="C38" s="39" t="s">
        <v>135</v>
      </c>
      <c r="D38" s="39">
        <v>2018</v>
      </c>
      <c r="E38" s="307">
        <v>386063.56</v>
      </c>
      <c r="F38" s="307">
        <v>377913.09</v>
      </c>
      <c r="G38" s="307">
        <v>393516.51</v>
      </c>
      <c r="H38" s="307">
        <v>382115.16</v>
      </c>
      <c r="I38" s="307">
        <v>387995.48</v>
      </c>
      <c r="J38" s="307">
        <v>383265</v>
      </c>
      <c r="K38" s="307">
        <v>377828.52</v>
      </c>
      <c r="L38" s="307">
        <v>389561.59999999998</v>
      </c>
      <c r="M38" s="307">
        <v>381502.2</v>
      </c>
      <c r="N38" s="307">
        <v>390181.07</v>
      </c>
      <c r="O38" s="307">
        <v>385528.65</v>
      </c>
      <c r="P38" s="307">
        <v>365805.73</v>
      </c>
      <c r="Q38" s="307">
        <f t="shared" si="5"/>
        <v>4601276.57</v>
      </c>
    </row>
    <row r="39" spans="1:18">
      <c r="A39" s="39" t="s">
        <v>121</v>
      </c>
      <c r="B39" s="39" t="s">
        <v>136</v>
      </c>
      <c r="C39" s="39" t="s">
        <v>137</v>
      </c>
      <c r="D39" s="39">
        <v>2018</v>
      </c>
      <c r="E39" s="307">
        <v>55664.67</v>
      </c>
      <c r="F39" s="307">
        <v>54524.67</v>
      </c>
      <c r="G39" s="307">
        <v>49606.74</v>
      </c>
      <c r="H39" s="307">
        <v>48466.74</v>
      </c>
      <c r="I39" s="307">
        <v>50746.74</v>
      </c>
      <c r="J39" s="307">
        <v>49606.74</v>
      </c>
      <c r="K39" s="307">
        <v>46365.71</v>
      </c>
      <c r="L39" s="307">
        <v>49606.74</v>
      </c>
      <c r="M39" s="307">
        <v>49606.74</v>
      </c>
      <c r="N39" s="307">
        <v>48466.74</v>
      </c>
      <c r="O39" s="307">
        <v>49606.74</v>
      </c>
      <c r="P39" s="307">
        <v>47505.71</v>
      </c>
      <c r="Q39" s="307">
        <f t="shared" si="5"/>
        <v>599774.67999999993</v>
      </c>
    </row>
    <row r="40" spans="1:18">
      <c r="A40" s="39" t="s">
        <v>121</v>
      </c>
      <c r="B40" s="39" t="s">
        <v>138</v>
      </c>
      <c r="C40" s="39" t="s">
        <v>139</v>
      </c>
      <c r="D40" s="39">
        <v>2018</v>
      </c>
      <c r="E40" s="307">
        <v>182995.97</v>
      </c>
      <c r="F40" s="307">
        <v>154533.23000000001</v>
      </c>
      <c r="G40" s="307">
        <v>169606.99</v>
      </c>
      <c r="H40" s="307">
        <v>161299.14000000001</v>
      </c>
      <c r="I40" s="307">
        <v>178027.04</v>
      </c>
      <c r="J40" s="307">
        <v>159554.56</v>
      </c>
      <c r="K40" s="307">
        <v>162594.53</v>
      </c>
      <c r="L40" s="307">
        <v>191476.63</v>
      </c>
      <c r="M40" s="307">
        <v>162282.1</v>
      </c>
      <c r="N40" s="307">
        <v>182293.42</v>
      </c>
      <c r="O40" s="307">
        <v>165401.94</v>
      </c>
      <c r="P40" s="307">
        <v>147852.20000000001</v>
      </c>
      <c r="Q40" s="307">
        <f t="shared" si="5"/>
        <v>2017917.7500000002</v>
      </c>
    </row>
    <row r="41" spans="1:18">
      <c r="A41" s="39" t="s">
        <v>121</v>
      </c>
      <c r="B41" s="39" t="s">
        <v>140</v>
      </c>
      <c r="C41" s="39" t="s">
        <v>141</v>
      </c>
      <c r="D41" s="39">
        <v>2018</v>
      </c>
      <c r="E41" s="307">
        <v>7704.19</v>
      </c>
      <c r="F41" s="307">
        <v>7704.33</v>
      </c>
      <c r="G41" s="307">
        <v>11601.57</v>
      </c>
      <c r="H41" s="307">
        <v>13550.19</v>
      </c>
      <c r="I41" s="307">
        <v>12741.57</v>
      </c>
      <c r="J41" s="307">
        <v>7704.33</v>
      </c>
      <c r="K41" s="307">
        <v>7704.33</v>
      </c>
      <c r="L41" s="307">
        <v>11601.57</v>
      </c>
      <c r="M41" s="307">
        <v>8844.33</v>
      </c>
      <c r="N41" s="307">
        <v>11601.57</v>
      </c>
      <c r="O41" s="307">
        <v>13550.19</v>
      </c>
      <c r="P41" s="307">
        <v>7704.33</v>
      </c>
      <c r="Q41" s="307">
        <f t="shared" si="5"/>
        <v>122012.49999999999</v>
      </c>
    </row>
    <row r="42" spans="1:18">
      <c r="A42" s="39" t="s">
        <v>121</v>
      </c>
      <c r="B42" s="39" t="s">
        <v>256</v>
      </c>
      <c r="C42" s="39" t="s">
        <v>257</v>
      </c>
      <c r="D42" s="39">
        <v>2018</v>
      </c>
      <c r="E42" s="307">
        <v>134055.41</v>
      </c>
      <c r="F42" s="307">
        <v>286749.19</v>
      </c>
      <c r="G42" s="307">
        <v>912267.63</v>
      </c>
      <c r="H42" s="307">
        <v>913749.19</v>
      </c>
      <c r="I42" s="307">
        <v>913749.19</v>
      </c>
      <c r="J42" s="307">
        <v>1022049.19</v>
      </c>
      <c r="K42" s="307">
        <v>942249.19</v>
      </c>
      <c r="L42" s="307">
        <v>942249.19</v>
      </c>
      <c r="M42" s="307">
        <v>942249.19</v>
      </c>
      <c r="N42" s="307">
        <v>942249.19</v>
      </c>
      <c r="O42" s="307">
        <v>776949.19</v>
      </c>
      <c r="P42" s="307">
        <v>686889.19</v>
      </c>
      <c r="Q42" s="307">
        <f t="shared" si="5"/>
        <v>9415454.9399999976</v>
      </c>
      <c r="R42" s="39" t="s">
        <v>255</v>
      </c>
    </row>
    <row r="43" spans="1:18">
      <c r="A43" s="39" t="s">
        <v>121</v>
      </c>
      <c r="B43" s="39" t="s">
        <v>253</v>
      </c>
      <c r="C43" s="39" t="s">
        <v>254</v>
      </c>
      <c r="D43" s="39">
        <v>2018</v>
      </c>
      <c r="E43" s="309">
        <v>1358103.19</v>
      </c>
      <c r="F43" s="309">
        <v>1373178.07</v>
      </c>
      <c r="G43" s="309">
        <v>1628357.32</v>
      </c>
      <c r="H43" s="309">
        <v>1643178.53</v>
      </c>
      <c r="I43" s="309">
        <v>1699518.61</v>
      </c>
      <c r="J43" s="309">
        <v>1729786</v>
      </c>
      <c r="K43" s="309">
        <v>1740449.26</v>
      </c>
      <c r="L43" s="309">
        <v>1889198.12</v>
      </c>
      <c r="M43" s="309">
        <v>1669762.17</v>
      </c>
      <c r="N43" s="309">
        <v>1666346.84</v>
      </c>
      <c r="O43" s="309">
        <v>1633930.6</v>
      </c>
      <c r="P43" s="309">
        <v>1567469.06</v>
      </c>
      <c r="Q43" s="309">
        <f t="shared" si="5"/>
        <v>19599277.77</v>
      </c>
      <c r="R43" s="39" t="s">
        <v>255</v>
      </c>
    </row>
    <row r="44" spans="1:18">
      <c r="C44" s="40" t="s">
        <v>142</v>
      </c>
      <c r="E44" s="310">
        <f t="shared" ref="E44:Q44" si="6">SUM(E32:E43)</f>
        <v>3040650.8</v>
      </c>
      <c r="F44" s="310">
        <f t="shared" si="6"/>
        <v>3083958.6100000003</v>
      </c>
      <c r="G44" s="310">
        <f t="shared" si="6"/>
        <v>4044842.9000000004</v>
      </c>
      <c r="H44" s="310">
        <f t="shared" si="6"/>
        <v>4012879.59</v>
      </c>
      <c r="I44" s="310">
        <f t="shared" si="6"/>
        <v>4164929.38</v>
      </c>
      <c r="J44" s="310">
        <f t="shared" si="6"/>
        <v>4228514.33</v>
      </c>
      <c r="K44" s="310">
        <f t="shared" si="6"/>
        <v>4131592.37</v>
      </c>
      <c r="L44" s="310">
        <f t="shared" si="6"/>
        <v>4418747.43</v>
      </c>
      <c r="M44" s="310">
        <f t="shared" si="6"/>
        <v>4059696.9699999997</v>
      </c>
      <c r="N44" s="310">
        <f t="shared" si="6"/>
        <v>4159184.29</v>
      </c>
      <c r="O44" s="310">
        <f t="shared" si="6"/>
        <v>3894022.65</v>
      </c>
      <c r="P44" s="310">
        <f t="shared" si="6"/>
        <v>3669219.72</v>
      </c>
      <c r="Q44" s="310">
        <f t="shared" si="6"/>
        <v>46908239.039999999</v>
      </c>
    </row>
    <row r="45" spans="1:18">
      <c r="A45" s="306" t="s">
        <v>38</v>
      </c>
    </row>
    <row r="46" spans="1:18">
      <c r="A46" s="39" t="s">
        <v>143</v>
      </c>
      <c r="B46" s="39" t="s">
        <v>138</v>
      </c>
      <c r="C46" s="39" t="s">
        <v>139</v>
      </c>
      <c r="D46" s="39">
        <v>2018</v>
      </c>
      <c r="E46" s="307">
        <v>33548.199999999997</v>
      </c>
      <c r="F46" s="307">
        <v>28399.08</v>
      </c>
      <c r="G46" s="307">
        <v>31287.51</v>
      </c>
      <c r="H46" s="307">
        <v>29694.04</v>
      </c>
      <c r="I46" s="307">
        <v>32777.99</v>
      </c>
      <c r="J46" s="307">
        <v>29274.59</v>
      </c>
      <c r="K46" s="307">
        <v>29837.88</v>
      </c>
      <c r="L46" s="307">
        <v>35167.31</v>
      </c>
      <c r="M46" s="307">
        <v>29381.99</v>
      </c>
      <c r="N46" s="307">
        <v>33618.82</v>
      </c>
      <c r="O46" s="307">
        <v>30303.37</v>
      </c>
      <c r="P46" s="307">
        <v>26844.63</v>
      </c>
      <c r="Q46" s="307">
        <f>SUM(E46:P46)</f>
        <v>370135.41</v>
      </c>
    </row>
    <row r="47" spans="1:18">
      <c r="A47" s="39" t="s">
        <v>143</v>
      </c>
      <c r="B47" s="39" t="s">
        <v>140</v>
      </c>
      <c r="C47" s="39" t="s">
        <v>141</v>
      </c>
      <c r="D47" s="39">
        <v>2018</v>
      </c>
      <c r="E47" s="307">
        <v>0</v>
      </c>
      <c r="F47" s="307">
        <v>4186.8</v>
      </c>
      <c r="G47" s="307">
        <v>0</v>
      </c>
      <c r="H47" s="307">
        <v>11980.2</v>
      </c>
      <c r="I47" s="307">
        <v>11400</v>
      </c>
      <c r="J47" s="307">
        <v>11980.2</v>
      </c>
      <c r="K47" s="307">
        <v>0</v>
      </c>
      <c r="L47" s="307">
        <v>1140</v>
      </c>
      <c r="M47" s="307">
        <v>0</v>
      </c>
      <c r="N47" s="307">
        <v>4186.8</v>
      </c>
      <c r="O47" s="307">
        <v>0</v>
      </c>
      <c r="P47" s="307">
        <v>2093.4</v>
      </c>
      <c r="Q47" s="307">
        <f>SUM(E47:P47)</f>
        <v>46967.4</v>
      </c>
    </row>
    <row r="48" spans="1:18">
      <c r="A48" s="39" t="s">
        <v>143</v>
      </c>
      <c r="B48" s="39" t="s">
        <v>253</v>
      </c>
      <c r="C48" s="39" t="s">
        <v>254</v>
      </c>
      <c r="D48" s="39">
        <v>2018</v>
      </c>
      <c r="E48" s="309">
        <v>27360</v>
      </c>
      <c r="F48" s="309">
        <v>30780</v>
      </c>
      <c r="G48" s="309">
        <v>30780</v>
      </c>
      <c r="H48" s="309">
        <v>27360</v>
      </c>
      <c r="I48" s="309">
        <v>38760</v>
      </c>
      <c r="J48" s="309">
        <v>38760</v>
      </c>
      <c r="K48" s="309">
        <v>34200</v>
      </c>
      <c r="L48" s="309">
        <v>38760</v>
      </c>
      <c r="M48" s="309">
        <v>38760</v>
      </c>
      <c r="N48" s="309">
        <v>30780</v>
      </c>
      <c r="O48" s="309">
        <v>31920</v>
      </c>
      <c r="P48" s="309">
        <v>31920</v>
      </c>
      <c r="Q48" s="309">
        <f>SUM(E48:P48)</f>
        <v>400140</v>
      </c>
      <c r="R48" s="39" t="s">
        <v>255</v>
      </c>
    </row>
    <row r="49" spans="1:18">
      <c r="C49" s="40" t="s">
        <v>144</v>
      </c>
      <c r="E49" s="310">
        <f t="shared" ref="E49:Q49" si="7">SUM(E46:E48)</f>
        <v>60908.2</v>
      </c>
      <c r="F49" s="310">
        <f t="shared" si="7"/>
        <v>63365.880000000005</v>
      </c>
      <c r="G49" s="310">
        <f t="shared" si="7"/>
        <v>62067.509999999995</v>
      </c>
      <c r="H49" s="310">
        <f t="shared" si="7"/>
        <v>69034.240000000005</v>
      </c>
      <c r="I49" s="310">
        <f t="shared" si="7"/>
        <v>82937.989999999991</v>
      </c>
      <c r="J49" s="310">
        <f t="shared" si="7"/>
        <v>80014.790000000008</v>
      </c>
      <c r="K49" s="310">
        <f t="shared" si="7"/>
        <v>64037.880000000005</v>
      </c>
      <c r="L49" s="310">
        <f t="shared" si="7"/>
        <v>75067.31</v>
      </c>
      <c r="M49" s="310">
        <f t="shared" si="7"/>
        <v>68141.990000000005</v>
      </c>
      <c r="N49" s="310">
        <f t="shared" si="7"/>
        <v>68585.62</v>
      </c>
      <c r="O49" s="310">
        <f t="shared" si="7"/>
        <v>62223.369999999995</v>
      </c>
      <c r="P49" s="310">
        <f t="shared" si="7"/>
        <v>60858.03</v>
      </c>
      <c r="Q49" s="310">
        <f t="shared" si="7"/>
        <v>817242.81</v>
      </c>
    </row>
    <row r="51" spans="1:18">
      <c r="C51" s="40" t="s">
        <v>258</v>
      </c>
      <c r="E51" s="310">
        <f t="shared" ref="E51:Q51" si="8">E44+E49</f>
        <v>3101559</v>
      </c>
      <c r="F51" s="310">
        <f t="shared" si="8"/>
        <v>3147324.49</v>
      </c>
      <c r="G51" s="310">
        <f t="shared" si="8"/>
        <v>4106910.41</v>
      </c>
      <c r="H51" s="310">
        <f t="shared" si="8"/>
        <v>4081913.83</v>
      </c>
      <c r="I51" s="310">
        <f t="shared" si="8"/>
        <v>4247867.37</v>
      </c>
      <c r="J51" s="310">
        <f t="shared" si="8"/>
        <v>4308529.12</v>
      </c>
      <c r="K51" s="310">
        <f t="shared" si="8"/>
        <v>4195630.25</v>
      </c>
      <c r="L51" s="310">
        <f t="shared" si="8"/>
        <v>4493814.7399999993</v>
      </c>
      <c r="M51" s="310">
        <f t="shared" si="8"/>
        <v>4127838.96</v>
      </c>
      <c r="N51" s="310">
        <f t="shared" si="8"/>
        <v>4227769.91</v>
      </c>
      <c r="O51" s="310">
        <f t="shared" si="8"/>
        <v>3956246.02</v>
      </c>
      <c r="P51" s="310">
        <f t="shared" si="8"/>
        <v>3730077.75</v>
      </c>
      <c r="Q51" s="310">
        <f t="shared" si="8"/>
        <v>47725481.850000001</v>
      </c>
    </row>
    <row r="52" spans="1:18">
      <c r="C52" s="4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</row>
    <row r="53" spans="1:18">
      <c r="A53" s="306" t="s">
        <v>120</v>
      </c>
    </row>
    <row r="54" spans="1:18">
      <c r="A54" s="39" t="s">
        <v>121</v>
      </c>
      <c r="B54" s="39" t="s">
        <v>122</v>
      </c>
      <c r="C54" s="39" t="s">
        <v>123</v>
      </c>
      <c r="D54" s="39">
        <v>2019</v>
      </c>
      <c r="E54" s="307">
        <v>195835.63</v>
      </c>
      <c r="F54" s="307">
        <v>168740.26</v>
      </c>
      <c r="G54" s="307">
        <v>175998.34</v>
      </c>
      <c r="H54" s="307">
        <v>172442.62</v>
      </c>
      <c r="I54" s="307">
        <v>179189.87</v>
      </c>
      <c r="J54" s="307">
        <v>152409.91</v>
      </c>
      <c r="K54" s="307">
        <v>169535.82</v>
      </c>
      <c r="L54" s="307">
        <v>181298.9</v>
      </c>
      <c r="M54" s="307">
        <v>170278.1</v>
      </c>
      <c r="N54" s="307">
        <v>187083.61</v>
      </c>
      <c r="O54" s="307">
        <v>167346.92000000001</v>
      </c>
      <c r="P54" s="307">
        <v>166726.26999999999</v>
      </c>
      <c r="Q54" s="307">
        <f t="shared" ref="Q54:Q64" si="9">SUM(E54:P54)</f>
        <v>2086886.25</v>
      </c>
    </row>
    <row r="55" spans="1:18">
      <c r="A55" s="39" t="s">
        <v>121</v>
      </c>
      <c r="B55" s="39" t="s">
        <v>124</v>
      </c>
      <c r="C55" s="39" t="s">
        <v>125</v>
      </c>
      <c r="D55" s="39">
        <v>2019</v>
      </c>
      <c r="E55" s="307">
        <v>14095.13</v>
      </c>
      <c r="F55" s="307">
        <v>10675.03</v>
      </c>
      <c r="G55" s="307">
        <v>9961.69</v>
      </c>
      <c r="H55" s="307">
        <v>13957.09</v>
      </c>
      <c r="I55" s="307">
        <v>22361.71</v>
      </c>
      <c r="J55" s="307">
        <v>7895.02</v>
      </c>
      <c r="K55" s="307">
        <v>11890.42</v>
      </c>
      <c r="L55" s="307">
        <v>10888.36</v>
      </c>
      <c r="M55" s="307">
        <v>8721.23</v>
      </c>
      <c r="N55" s="307">
        <v>16875.04</v>
      </c>
      <c r="O55" s="307">
        <v>12028.36</v>
      </c>
      <c r="P55" s="307">
        <v>4337.08</v>
      </c>
      <c r="Q55" s="307">
        <f t="shared" si="9"/>
        <v>143686.16</v>
      </c>
    </row>
    <row r="56" spans="1:18">
      <c r="A56" s="39" t="s">
        <v>121</v>
      </c>
      <c r="B56" s="39" t="s">
        <v>126</v>
      </c>
      <c r="C56" s="39" t="s">
        <v>127</v>
      </c>
      <c r="D56" s="39">
        <v>2019</v>
      </c>
      <c r="E56" s="307">
        <v>4149.3</v>
      </c>
      <c r="F56" s="307">
        <v>0</v>
      </c>
      <c r="G56" s="307">
        <v>8709.2999999999993</v>
      </c>
      <c r="H56" s="307">
        <v>0</v>
      </c>
      <c r="I56" s="307">
        <v>13269.3</v>
      </c>
      <c r="J56" s="307">
        <v>34200</v>
      </c>
      <c r="K56" s="307">
        <v>11400</v>
      </c>
      <c r="L56" s="307">
        <v>10989.3</v>
      </c>
      <c r="M56" s="307">
        <v>0</v>
      </c>
      <c r="N56" s="307">
        <v>4149.3</v>
      </c>
      <c r="O56" s="307">
        <v>4560</v>
      </c>
      <c r="P56" s="307">
        <v>7774.65</v>
      </c>
      <c r="Q56" s="307">
        <f t="shared" si="9"/>
        <v>99201.15</v>
      </c>
    </row>
    <row r="57" spans="1:18">
      <c r="A57" s="39" t="s">
        <v>121</v>
      </c>
      <c r="B57" s="39" t="s">
        <v>128</v>
      </c>
      <c r="C57" s="39" t="s">
        <v>129</v>
      </c>
      <c r="D57" s="39">
        <v>2019</v>
      </c>
      <c r="E57" s="307">
        <v>403654.79</v>
      </c>
      <c r="F57" s="307">
        <v>342109.42</v>
      </c>
      <c r="G57" s="307">
        <v>358927.85</v>
      </c>
      <c r="H57" s="307">
        <v>364109.91</v>
      </c>
      <c r="I57" s="307">
        <v>380002.07</v>
      </c>
      <c r="J57" s="307">
        <v>322838.09999999998</v>
      </c>
      <c r="K57" s="307">
        <v>360761.99</v>
      </c>
      <c r="L57" s="307">
        <v>387203.54</v>
      </c>
      <c r="M57" s="307">
        <v>363651.3</v>
      </c>
      <c r="N57" s="307">
        <v>388404.63</v>
      </c>
      <c r="O57" s="307">
        <v>339180.79999999999</v>
      </c>
      <c r="P57" s="307">
        <v>335190.43</v>
      </c>
      <c r="Q57" s="307">
        <f t="shared" si="9"/>
        <v>4346034.8299999991</v>
      </c>
    </row>
    <row r="58" spans="1:18">
      <c r="A58" s="39" t="s">
        <v>121</v>
      </c>
      <c r="B58" s="39" t="s">
        <v>130</v>
      </c>
      <c r="C58" s="39" t="s">
        <v>252</v>
      </c>
      <c r="D58" s="39">
        <v>2019</v>
      </c>
      <c r="E58" s="307">
        <v>0</v>
      </c>
      <c r="F58" s="307">
        <v>3214.65</v>
      </c>
      <c r="G58" s="307">
        <v>2066.67</v>
      </c>
      <c r="H58" s="307">
        <v>3420</v>
      </c>
      <c r="I58" s="307">
        <v>2066.67</v>
      </c>
      <c r="J58" s="307">
        <v>21962.639999999999</v>
      </c>
      <c r="K58" s="307">
        <v>2066.67</v>
      </c>
      <c r="L58" s="307">
        <v>2066.67</v>
      </c>
      <c r="M58" s="307">
        <v>3206.67</v>
      </c>
      <c r="N58" s="307">
        <v>3206.67</v>
      </c>
      <c r="O58" s="307">
        <v>2066.67</v>
      </c>
      <c r="P58" s="307">
        <v>0</v>
      </c>
      <c r="Q58" s="307">
        <f t="shared" si="9"/>
        <v>45343.979999999989</v>
      </c>
    </row>
    <row r="59" spans="1:18">
      <c r="A59" s="39" t="s">
        <v>121</v>
      </c>
      <c r="B59" s="39" t="s">
        <v>131</v>
      </c>
      <c r="C59" s="39" t="s">
        <v>132</v>
      </c>
      <c r="D59" s="39">
        <v>2019</v>
      </c>
      <c r="E59" s="307">
        <v>250652.76</v>
      </c>
      <c r="F59" s="307">
        <v>252737.85</v>
      </c>
      <c r="G59" s="307">
        <v>252729.01</v>
      </c>
      <c r="H59" s="307">
        <v>252733.44</v>
      </c>
      <c r="I59" s="307">
        <v>252733.44</v>
      </c>
      <c r="J59" s="307">
        <v>248572.07</v>
      </c>
      <c r="K59" s="307">
        <v>252128.79</v>
      </c>
      <c r="L59" s="307">
        <v>252128.79</v>
      </c>
      <c r="M59" s="307">
        <v>252133.22</v>
      </c>
      <c r="N59" s="307">
        <v>252128.79</v>
      </c>
      <c r="O59" s="307">
        <v>252133.22</v>
      </c>
      <c r="P59" s="307">
        <v>228992.76</v>
      </c>
      <c r="Q59" s="307">
        <f t="shared" si="9"/>
        <v>2999804.1400000006</v>
      </c>
    </row>
    <row r="60" spans="1:18">
      <c r="A60" s="39" t="s">
        <v>121</v>
      </c>
      <c r="B60" s="39" t="s">
        <v>134</v>
      </c>
      <c r="C60" s="39" t="s">
        <v>135</v>
      </c>
      <c r="D60" s="39">
        <v>2019</v>
      </c>
      <c r="E60" s="307">
        <v>315010.81</v>
      </c>
      <c r="F60" s="307">
        <v>306938.03000000003</v>
      </c>
      <c r="G60" s="307">
        <v>319005.53999999998</v>
      </c>
      <c r="H60" s="307">
        <v>276899.40999999997</v>
      </c>
      <c r="I60" s="307">
        <v>282724.84000000003</v>
      </c>
      <c r="J60" s="307">
        <v>274652.08</v>
      </c>
      <c r="K60" s="307">
        <v>272054.49</v>
      </c>
      <c r="L60" s="307">
        <v>280210.59000000003</v>
      </c>
      <c r="M60" s="307">
        <v>270223.77</v>
      </c>
      <c r="N60" s="307">
        <v>282207.96999999997</v>
      </c>
      <c r="O60" s="307">
        <v>276215.87</v>
      </c>
      <c r="P60" s="307">
        <v>243945.93</v>
      </c>
      <c r="Q60" s="307">
        <f t="shared" si="9"/>
        <v>3400089.3300000005</v>
      </c>
    </row>
    <row r="61" spans="1:18">
      <c r="A61" s="39" t="s">
        <v>121</v>
      </c>
      <c r="B61" s="39" t="s">
        <v>138</v>
      </c>
      <c r="C61" s="39" t="s">
        <v>139</v>
      </c>
      <c r="D61" s="39">
        <v>2019</v>
      </c>
      <c r="E61" s="307">
        <v>191630.64</v>
      </c>
      <c r="F61" s="307">
        <v>160579.31</v>
      </c>
      <c r="G61" s="307">
        <v>168922.2</v>
      </c>
      <c r="H61" s="307">
        <v>174094.93</v>
      </c>
      <c r="I61" s="307">
        <v>182205.79</v>
      </c>
      <c r="J61" s="307">
        <v>154775.65</v>
      </c>
      <c r="K61" s="307">
        <v>175064.6</v>
      </c>
      <c r="L61" s="307">
        <v>188121.34</v>
      </c>
      <c r="M61" s="307">
        <v>175394.81</v>
      </c>
      <c r="N61" s="307">
        <v>183674.51</v>
      </c>
      <c r="O61" s="307">
        <v>158768.13</v>
      </c>
      <c r="P61" s="307">
        <v>156607.60999999999</v>
      </c>
      <c r="Q61" s="307">
        <f t="shared" si="9"/>
        <v>2069839.52</v>
      </c>
    </row>
    <row r="62" spans="1:18">
      <c r="A62" s="39" t="s">
        <v>121</v>
      </c>
      <c r="B62" s="39" t="s">
        <v>140</v>
      </c>
      <c r="C62" s="39" t="s">
        <v>141</v>
      </c>
      <c r="D62" s="39">
        <v>2019</v>
      </c>
      <c r="E62" s="307">
        <v>7742.02</v>
      </c>
      <c r="F62" s="307">
        <v>7742.06</v>
      </c>
      <c r="G62" s="307">
        <v>11599.52</v>
      </c>
      <c r="H62" s="307">
        <v>13528.25</v>
      </c>
      <c r="I62" s="307">
        <v>13528.25</v>
      </c>
      <c r="J62" s="307">
        <v>7742.06</v>
      </c>
      <c r="K62" s="307">
        <v>7742.06</v>
      </c>
      <c r="L62" s="307">
        <v>11599.52</v>
      </c>
      <c r="M62" s="307">
        <v>7742.06</v>
      </c>
      <c r="N62" s="307">
        <v>15456.98</v>
      </c>
      <c r="O62" s="307">
        <v>13528.25</v>
      </c>
      <c r="P62" s="307">
        <v>7742.06</v>
      </c>
      <c r="Q62" s="307">
        <f t="shared" si="9"/>
        <v>125693.09</v>
      </c>
    </row>
    <row r="63" spans="1:18">
      <c r="A63" s="39" t="s">
        <v>121</v>
      </c>
      <c r="B63" s="39" t="s">
        <v>256</v>
      </c>
      <c r="C63" s="39" t="s">
        <v>257</v>
      </c>
      <c r="D63" s="39">
        <v>2019</v>
      </c>
      <c r="E63" s="307">
        <v>591437.17000000004</v>
      </c>
      <c r="F63" s="307">
        <v>703356.47</v>
      </c>
      <c r="G63" s="307">
        <v>819437.17</v>
      </c>
      <c r="H63" s="307">
        <v>878517.85</v>
      </c>
      <c r="I63" s="307">
        <v>874356.47</v>
      </c>
      <c r="J63" s="307">
        <v>929275.79</v>
      </c>
      <c r="K63" s="307">
        <v>873156.03</v>
      </c>
      <c r="L63" s="307">
        <v>881478.79</v>
      </c>
      <c r="M63" s="307">
        <v>824478.79</v>
      </c>
      <c r="N63" s="307">
        <v>824478.79</v>
      </c>
      <c r="O63" s="307">
        <v>807378.79</v>
      </c>
      <c r="P63" s="307">
        <v>698397.85</v>
      </c>
      <c r="Q63" s="307">
        <f t="shared" si="9"/>
        <v>9705749.959999999</v>
      </c>
      <c r="R63" s="39" t="s">
        <v>255</v>
      </c>
    </row>
    <row r="64" spans="1:18">
      <c r="A64" s="39" t="s">
        <v>121</v>
      </c>
      <c r="B64" s="39" t="s">
        <v>253</v>
      </c>
      <c r="C64" s="39" t="s">
        <v>254</v>
      </c>
      <c r="D64" s="39">
        <v>2019</v>
      </c>
      <c r="E64" s="309">
        <v>2053387.02</v>
      </c>
      <c r="F64" s="309">
        <v>2916467.32</v>
      </c>
      <c r="G64" s="309">
        <v>3040800.54</v>
      </c>
      <c r="H64" s="309">
        <v>3323303.23</v>
      </c>
      <c r="I64" s="309">
        <v>3360715.49</v>
      </c>
      <c r="J64" s="309">
        <v>3315886.95</v>
      </c>
      <c r="K64" s="309">
        <v>3350032</v>
      </c>
      <c r="L64" s="309">
        <v>3190709.12</v>
      </c>
      <c r="M64" s="309">
        <v>3070230.17</v>
      </c>
      <c r="N64" s="309">
        <v>3210915.79</v>
      </c>
      <c r="O64" s="309">
        <v>3161759.22</v>
      </c>
      <c r="P64" s="309">
        <v>2787445.73</v>
      </c>
      <c r="Q64" s="309">
        <f t="shared" si="9"/>
        <v>36781652.579999998</v>
      </c>
      <c r="R64" s="39" t="s">
        <v>255</v>
      </c>
    </row>
    <row r="65" spans="1:18">
      <c r="C65" s="40" t="s">
        <v>142</v>
      </c>
      <c r="E65" s="310">
        <f t="shared" ref="E65:Q65" si="10">SUM(E54:E64)</f>
        <v>4027595.27</v>
      </c>
      <c r="F65" s="310">
        <f t="shared" si="10"/>
        <v>4872560.4000000004</v>
      </c>
      <c r="G65" s="310">
        <f t="shared" si="10"/>
        <v>5168157.83</v>
      </c>
      <c r="H65" s="310">
        <f t="shared" si="10"/>
        <v>5473006.7300000004</v>
      </c>
      <c r="I65" s="310">
        <f t="shared" si="10"/>
        <v>5563153.9000000004</v>
      </c>
      <c r="J65" s="310">
        <f t="shared" si="10"/>
        <v>5470210.2700000005</v>
      </c>
      <c r="K65" s="310">
        <f t="shared" si="10"/>
        <v>5485832.8700000001</v>
      </c>
      <c r="L65" s="310">
        <f t="shared" si="10"/>
        <v>5396694.9199999999</v>
      </c>
      <c r="M65" s="310">
        <f t="shared" si="10"/>
        <v>5146060.12</v>
      </c>
      <c r="N65" s="310">
        <f t="shared" si="10"/>
        <v>5368582.08</v>
      </c>
      <c r="O65" s="310">
        <f t="shared" si="10"/>
        <v>5194966.2300000004</v>
      </c>
      <c r="P65" s="310">
        <f t="shared" si="10"/>
        <v>4637160.37</v>
      </c>
      <c r="Q65" s="310">
        <f t="shared" si="10"/>
        <v>61803980.989999995</v>
      </c>
    </row>
    <row r="66" spans="1:18">
      <c r="A66" s="306" t="s">
        <v>38</v>
      </c>
    </row>
    <row r="67" spans="1:18">
      <c r="A67" s="39" t="s">
        <v>143</v>
      </c>
      <c r="B67" s="39" t="s">
        <v>138</v>
      </c>
      <c r="C67" s="39" t="s">
        <v>139</v>
      </c>
      <c r="D67" s="39">
        <v>2019</v>
      </c>
      <c r="E67" s="307">
        <v>35020.78</v>
      </c>
      <c r="F67" s="307">
        <v>29397.99</v>
      </c>
      <c r="G67" s="307">
        <v>31018.58</v>
      </c>
      <c r="H67" s="307">
        <v>32027.3</v>
      </c>
      <c r="I67" s="307">
        <v>33486.65</v>
      </c>
      <c r="J67" s="307">
        <v>28287.43</v>
      </c>
      <c r="K67" s="307">
        <v>32116.35</v>
      </c>
      <c r="L67" s="307">
        <v>34399.15</v>
      </c>
      <c r="M67" s="307">
        <v>31799.040000000001</v>
      </c>
      <c r="N67" s="307">
        <v>33823.980000000003</v>
      </c>
      <c r="O67" s="307">
        <v>28997.81</v>
      </c>
      <c r="P67" s="307">
        <v>28513.67</v>
      </c>
      <c r="Q67" s="307">
        <f>SUM(E67:P67)</f>
        <v>378888.73</v>
      </c>
    </row>
    <row r="68" spans="1:18">
      <c r="A68" s="39" t="s">
        <v>143</v>
      </c>
      <c r="B68" s="39" t="s">
        <v>140</v>
      </c>
      <c r="C68" s="39" t="s">
        <v>141</v>
      </c>
      <c r="D68" s="39">
        <v>2019</v>
      </c>
      <c r="E68" s="307">
        <v>0</v>
      </c>
      <c r="F68" s="307">
        <v>4149.3</v>
      </c>
      <c r="G68" s="307">
        <v>0</v>
      </c>
      <c r="H68" s="307">
        <v>11923.95</v>
      </c>
      <c r="I68" s="307">
        <v>11400</v>
      </c>
      <c r="J68" s="307">
        <v>11923.95</v>
      </c>
      <c r="K68" s="307">
        <v>0</v>
      </c>
      <c r="L68" s="307">
        <v>1140</v>
      </c>
      <c r="M68" s="307">
        <v>0</v>
      </c>
      <c r="N68" s="307">
        <v>3857.46</v>
      </c>
      <c r="O68" s="307">
        <v>1140</v>
      </c>
      <c r="P68" s="307">
        <v>1928.73</v>
      </c>
      <c r="Q68" s="307">
        <f>SUM(E68:P68)</f>
        <v>47463.39</v>
      </c>
    </row>
    <row r="69" spans="1:18">
      <c r="A69" s="39" t="s">
        <v>143</v>
      </c>
      <c r="B69" s="39" t="s">
        <v>253</v>
      </c>
      <c r="C69" s="39" t="s">
        <v>254</v>
      </c>
      <c r="D69" s="39">
        <v>2019</v>
      </c>
      <c r="E69" s="309">
        <v>57000</v>
      </c>
      <c r="F69" s="309">
        <v>60420</v>
      </c>
      <c r="G69" s="309">
        <v>60420</v>
      </c>
      <c r="H69" s="309">
        <v>57000</v>
      </c>
      <c r="I69" s="309">
        <v>61560</v>
      </c>
      <c r="J69" s="309">
        <v>61560</v>
      </c>
      <c r="K69" s="309">
        <v>57000</v>
      </c>
      <c r="L69" s="309">
        <v>61560</v>
      </c>
      <c r="M69" s="309">
        <v>61560</v>
      </c>
      <c r="N69" s="309">
        <v>57000</v>
      </c>
      <c r="O69" s="309">
        <v>61560</v>
      </c>
      <c r="P69" s="309">
        <v>61560</v>
      </c>
      <c r="Q69" s="309">
        <f>SUM(E69:P69)</f>
        <v>718200</v>
      </c>
      <c r="R69" s="39" t="s">
        <v>255</v>
      </c>
    </row>
    <row r="70" spans="1:18">
      <c r="C70" s="40" t="s">
        <v>144</v>
      </c>
      <c r="E70" s="310">
        <f t="shared" ref="E70:Q70" si="11">SUM(E67:E69)</f>
        <v>92020.78</v>
      </c>
      <c r="F70" s="310">
        <f t="shared" si="11"/>
        <v>93967.290000000008</v>
      </c>
      <c r="G70" s="310">
        <f t="shared" si="11"/>
        <v>91438.58</v>
      </c>
      <c r="H70" s="310">
        <f t="shared" si="11"/>
        <v>100951.25</v>
      </c>
      <c r="I70" s="310">
        <f t="shared" si="11"/>
        <v>106446.65</v>
      </c>
      <c r="J70" s="310">
        <f t="shared" si="11"/>
        <v>101771.38</v>
      </c>
      <c r="K70" s="310">
        <f t="shared" si="11"/>
        <v>89116.35</v>
      </c>
      <c r="L70" s="310">
        <f t="shared" si="11"/>
        <v>97099.15</v>
      </c>
      <c r="M70" s="310">
        <f t="shared" si="11"/>
        <v>93359.040000000008</v>
      </c>
      <c r="N70" s="310">
        <f t="shared" si="11"/>
        <v>94681.44</v>
      </c>
      <c r="O70" s="310">
        <f t="shared" si="11"/>
        <v>91697.81</v>
      </c>
      <c r="P70" s="310">
        <f t="shared" si="11"/>
        <v>92002.4</v>
      </c>
      <c r="Q70" s="310">
        <f t="shared" si="11"/>
        <v>1144552.1200000001</v>
      </c>
    </row>
    <row r="72" spans="1:18">
      <c r="C72" s="40" t="s">
        <v>259</v>
      </c>
      <c r="E72" s="310">
        <f t="shared" ref="E72:Q72" si="12">E65+E70</f>
        <v>4119616.05</v>
      </c>
      <c r="F72" s="310">
        <f t="shared" si="12"/>
        <v>4966527.6900000004</v>
      </c>
      <c r="G72" s="310">
        <f t="shared" si="12"/>
        <v>5259596.41</v>
      </c>
      <c r="H72" s="310">
        <f t="shared" si="12"/>
        <v>5573957.9800000004</v>
      </c>
      <c r="I72" s="310">
        <f t="shared" si="12"/>
        <v>5669600.5500000007</v>
      </c>
      <c r="J72" s="310">
        <f t="shared" si="12"/>
        <v>5571981.6500000004</v>
      </c>
      <c r="K72" s="310">
        <f t="shared" si="12"/>
        <v>5574949.2199999997</v>
      </c>
      <c r="L72" s="310">
        <f t="shared" si="12"/>
        <v>5493794.0700000003</v>
      </c>
      <c r="M72" s="310">
        <f t="shared" si="12"/>
        <v>5239419.16</v>
      </c>
      <c r="N72" s="310">
        <f t="shared" si="12"/>
        <v>5463263.5200000005</v>
      </c>
      <c r="O72" s="310">
        <f t="shared" si="12"/>
        <v>5286664.04</v>
      </c>
      <c r="P72" s="310">
        <f t="shared" si="12"/>
        <v>4729162.7700000005</v>
      </c>
      <c r="Q72" s="310">
        <f t="shared" si="12"/>
        <v>62948533.109999992</v>
      </c>
    </row>
  </sheetData>
  <pageMargins left="0.7" right="0.7" top="0.75" bottom="0.75" header="0.3" footer="0.3"/>
  <pageSetup scale="52" orientation="landscape" r:id="rId1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zoomScaleNormal="100" workbookViewId="0"/>
  </sheetViews>
  <sheetFormatPr defaultRowHeight="12.75"/>
  <cols>
    <col min="1" max="1" width="12.42578125" bestFit="1" customWidth="1"/>
    <col min="2" max="2" width="16.140625" bestFit="1" customWidth="1"/>
    <col min="3" max="3" width="8.140625" bestFit="1" customWidth="1"/>
    <col min="4" max="4" width="17" bestFit="1" customWidth="1"/>
    <col min="5" max="5" width="12" bestFit="1" customWidth="1"/>
    <col min="6" max="6" width="16.42578125" bestFit="1" customWidth="1"/>
    <col min="7" max="7" width="5" bestFit="1" customWidth="1"/>
    <col min="8" max="19" width="11.7109375" bestFit="1" customWidth="1"/>
    <col min="20" max="20" width="12.7109375" bestFit="1" customWidth="1"/>
    <col min="21" max="21" width="14.5703125" customWidth="1"/>
  </cols>
  <sheetData>
    <row r="1" spans="1:21">
      <c r="A1" s="38" t="s">
        <v>145</v>
      </c>
      <c r="B1" s="38" t="s">
        <v>146</v>
      </c>
      <c r="C1" s="38" t="s">
        <v>147</v>
      </c>
      <c r="D1" s="38" t="s">
        <v>148</v>
      </c>
      <c r="E1" s="38" t="s">
        <v>149</v>
      </c>
      <c r="F1" s="38" t="s">
        <v>150</v>
      </c>
      <c r="G1" s="38" t="s">
        <v>151</v>
      </c>
      <c r="H1" s="165" t="s">
        <v>94</v>
      </c>
      <c r="I1" s="165" t="s">
        <v>95</v>
      </c>
      <c r="J1" s="165" t="s">
        <v>107</v>
      </c>
      <c r="K1" s="165" t="s">
        <v>108</v>
      </c>
      <c r="L1" s="165" t="s">
        <v>96</v>
      </c>
      <c r="M1" s="165" t="s">
        <v>109</v>
      </c>
      <c r="N1" s="165" t="s">
        <v>110</v>
      </c>
      <c r="O1" s="165" t="s">
        <v>111</v>
      </c>
      <c r="P1" s="165" t="s">
        <v>119</v>
      </c>
      <c r="Q1" s="165" t="s">
        <v>100</v>
      </c>
      <c r="R1" s="165" t="s">
        <v>152</v>
      </c>
      <c r="S1" s="165" t="s">
        <v>102</v>
      </c>
      <c r="T1" s="165" t="s">
        <v>153</v>
      </c>
      <c r="U1" s="38"/>
    </row>
    <row r="2" spans="1:21">
      <c r="A2" t="s">
        <v>154</v>
      </c>
      <c r="B2" t="s">
        <v>154</v>
      </c>
      <c r="C2" t="s">
        <v>155</v>
      </c>
      <c r="D2" t="s">
        <v>215</v>
      </c>
      <c r="E2" s="7" t="s">
        <v>157</v>
      </c>
      <c r="F2" s="7" t="s">
        <v>158</v>
      </c>
      <c r="G2" s="7" t="s">
        <v>171</v>
      </c>
      <c r="H2" s="7">
        <v>6000</v>
      </c>
      <c r="I2" s="7">
        <v>6000</v>
      </c>
      <c r="J2" s="7">
        <v>8000</v>
      </c>
      <c r="K2" s="7">
        <v>11000</v>
      </c>
      <c r="L2" s="7">
        <v>12000</v>
      </c>
      <c r="M2" s="7">
        <v>11000</v>
      </c>
      <c r="N2" s="7">
        <v>11000</v>
      </c>
      <c r="O2" s="7">
        <v>14000</v>
      </c>
      <c r="P2" s="7">
        <v>11000</v>
      </c>
      <c r="Q2" s="7">
        <v>11000</v>
      </c>
      <c r="R2" s="7">
        <v>11000</v>
      </c>
      <c r="S2" s="7">
        <v>9000</v>
      </c>
      <c r="T2" s="7">
        <f>SUM(H2:S2)</f>
        <v>121000</v>
      </c>
    </row>
    <row r="3" spans="1:21">
      <c r="A3" t="s">
        <v>159</v>
      </c>
      <c r="B3" t="s">
        <v>159</v>
      </c>
      <c r="C3" t="s">
        <v>155</v>
      </c>
      <c r="D3" t="s">
        <v>216</v>
      </c>
      <c r="E3" s="7" t="s">
        <v>187</v>
      </c>
      <c r="F3" s="7" t="s">
        <v>217</v>
      </c>
      <c r="G3" s="7" t="s">
        <v>171</v>
      </c>
      <c r="H3" s="7">
        <v>-2801.84</v>
      </c>
      <c r="I3" s="7">
        <v>-1718.2</v>
      </c>
      <c r="J3" s="7">
        <v>-488.71</v>
      </c>
      <c r="K3" s="7">
        <v>-2129.1999999999998</v>
      </c>
      <c r="L3" s="7">
        <v>-1650.47</v>
      </c>
      <c r="M3" s="7">
        <v>-152.6</v>
      </c>
      <c r="N3" s="7">
        <v>-424.03</v>
      </c>
      <c r="O3" s="7">
        <v>-1173.05</v>
      </c>
      <c r="P3" s="7">
        <v>-1172.8</v>
      </c>
      <c r="Q3" s="7">
        <v>-1172.8399999999999</v>
      </c>
      <c r="R3" s="7">
        <v>-1172.9000000000001</v>
      </c>
      <c r="S3" s="7">
        <v>-1173.3599999999999</v>
      </c>
      <c r="T3" s="7">
        <f t="shared" ref="T3:T32" si="0">SUM(H3:S3)</f>
        <v>-15230</v>
      </c>
    </row>
    <row r="4" spans="1:21">
      <c r="A4" t="s">
        <v>159</v>
      </c>
      <c r="B4" t="s">
        <v>159</v>
      </c>
      <c r="C4" t="s">
        <v>186</v>
      </c>
      <c r="D4" t="s">
        <v>216</v>
      </c>
      <c r="E4" s="7" t="s">
        <v>187</v>
      </c>
      <c r="F4" s="7" t="s">
        <v>188</v>
      </c>
      <c r="G4" s="7" t="s">
        <v>171</v>
      </c>
      <c r="H4" s="7">
        <v>6118</v>
      </c>
      <c r="I4" s="7">
        <v>-16035</v>
      </c>
      <c r="J4" s="7">
        <v>-10678</v>
      </c>
      <c r="K4" s="7">
        <v>-60903</v>
      </c>
      <c r="L4" s="7">
        <v>-1368</v>
      </c>
      <c r="M4" s="7">
        <v>-9915</v>
      </c>
      <c r="N4" s="7">
        <v>-9213</v>
      </c>
      <c r="O4" s="7">
        <v>-5942</v>
      </c>
      <c r="P4" s="7">
        <v>3169</v>
      </c>
      <c r="Q4" s="7">
        <v>19808</v>
      </c>
      <c r="R4" s="7">
        <v>-5942</v>
      </c>
      <c r="S4" s="7">
        <v>5943</v>
      </c>
      <c r="T4" s="7">
        <f t="shared" si="0"/>
        <v>-84958</v>
      </c>
    </row>
    <row r="5" spans="1:21">
      <c r="A5" t="s">
        <v>159</v>
      </c>
      <c r="B5" t="s">
        <v>159</v>
      </c>
      <c r="C5" t="s">
        <v>160</v>
      </c>
      <c r="D5" t="s">
        <v>191</v>
      </c>
      <c r="E5" s="7" t="s">
        <v>161</v>
      </c>
      <c r="F5" s="7" t="s">
        <v>162</v>
      </c>
      <c r="G5" s="7" t="s">
        <v>171</v>
      </c>
      <c r="H5" s="7">
        <v>13846.11</v>
      </c>
      <c r="I5" s="7">
        <v>12350.53</v>
      </c>
      <c r="J5" s="7">
        <v>14521.53</v>
      </c>
      <c r="K5" s="7">
        <v>12350.53</v>
      </c>
      <c r="L5" s="7">
        <v>13894.35</v>
      </c>
      <c r="M5" s="7">
        <v>13218.93</v>
      </c>
      <c r="N5" s="7">
        <v>12109.31</v>
      </c>
      <c r="O5" s="7">
        <v>15003.97</v>
      </c>
      <c r="P5" s="7">
        <v>12929.47</v>
      </c>
      <c r="Q5" s="7">
        <v>13846.11</v>
      </c>
      <c r="R5" s="7">
        <v>12784.73</v>
      </c>
      <c r="S5" s="7">
        <v>11144.43</v>
      </c>
      <c r="T5" s="7">
        <f t="shared" si="0"/>
        <v>158000.00000000003</v>
      </c>
    </row>
    <row r="6" spans="1:21">
      <c r="A6" t="s">
        <v>159</v>
      </c>
      <c r="B6" t="s">
        <v>159</v>
      </c>
      <c r="C6" t="s">
        <v>160</v>
      </c>
      <c r="D6" t="s">
        <v>191</v>
      </c>
      <c r="E6" s="7" t="s">
        <v>167</v>
      </c>
      <c r="F6" s="7" t="s">
        <v>162</v>
      </c>
      <c r="G6" s="7" t="s">
        <v>171</v>
      </c>
      <c r="H6" s="7">
        <v>2891.91</v>
      </c>
      <c r="I6" s="7">
        <v>2579.54</v>
      </c>
      <c r="J6" s="7">
        <v>3032.98</v>
      </c>
      <c r="K6" s="7">
        <v>2579.54</v>
      </c>
      <c r="L6" s="7">
        <v>2901.98</v>
      </c>
      <c r="M6" s="7">
        <v>2760.92</v>
      </c>
      <c r="N6" s="7">
        <v>2529.16</v>
      </c>
      <c r="O6" s="7">
        <v>3133.74</v>
      </c>
      <c r="P6" s="7">
        <v>2700.46</v>
      </c>
      <c r="Q6" s="7">
        <v>2891.91</v>
      </c>
      <c r="R6" s="7">
        <v>2670.23</v>
      </c>
      <c r="S6" s="7">
        <v>2327.63</v>
      </c>
      <c r="T6" s="7">
        <f t="shared" si="0"/>
        <v>33000</v>
      </c>
    </row>
    <row r="7" spans="1:21">
      <c r="A7" t="s">
        <v>159</v>
      </c>
      <c r="B7" t="s">
        <v>159</v>
      </c>
      <c r="C7" t="s">
        <v>160</v>
      </c>
      <c r="D7" t="s">
        <v>190</v>
      </c>
      <c r="E7" s="7" t="s">
        <v>161</v>
      </c>
      <c r="F7" s="7" t="s">
        <v>162</v>
      </c>
      <c r="G7" s="7" t="s">
        <v>171</v>
      </c>
      <c r="H7" s="7">
        <v>6660.15</v>
      </c>
      <c r="I7" s="7">
        <v>5940.76</v>
      </c>
      <c r="J7" s="7">
        <v>6985.04</v>
      </c>
      <c r="K7" s="7">
        <v>5940.76</v>
      </c>
      <c r="L7" s="7">
        <v>6683.36</v>
      </c>
      <c r="M7" s="7">
        <v>6358.47</v>
      </c>
      <c r="N7" s="7">
        <v>5824.73</v>
      </c>
      <c r="O7" s="7">
        <v>7217.1</v>
      </c>
      <c r="P7" s="7">
        <v>6219.24</v>
      </c>
      <c r="Q7" s="7">
        <v>6660.15</v>
      </c>
      <c r="R7" s="7">
        <v>6149.62</v>
      </c>
      <c r="S7" s="7">
        <v>5360.61</v>
      </c>
      <c r="T7" s="7">
        <f t="shared" si="0"/>
        <v>75999.990000000005</v>
      </c>
    </row>
    <row r="8" spans="1:21">
      <c r="A8" t="s">
        <v>159</v>
      </c>
      <c r="B8" t="s">
        <v>159</v>
      </c>
      <c r="C8" t="s">
        <v>160</v>
      </c>
      <c r="D8" t="s">
        <v>190</v>
      </c>
      <c r="E8" s="7" t="s">
        <v>167</v>
      </c>
      <c r="F8" s="7" t="s">
        <v>162</v>
      </c>
      <c r="G8" s="7" t="s">
        <v>171</v>
      </c>
      <c r="H8" s="7">
        <v>525.79999999999995</v>
      </c>
      <c r="I8" s="7">
        <v>469.01</v>
      </c>
      <c r="J8" s="7">
        <v>551.45000000000005</v>
      </c>
      <c r="K8" s="7">
        <v>469.01</v>
      </c>
      <c r="L8" s="7">
        <v>527.63</v>
      </c>
      <c r="M8" s="7">
        <v>501.98</v>
      </c>
      <c r="N8" s="7">
        <v>459.85</v>
      </c>
      <c r="O8" s="7">
        <v>569.77</v>
      </c>
      <c r="P8" s="7">
        <v>490.99</v>
      </c>
      <c r="Q8" s="7">
        <v>525.79999999999995</v>
      </c>
      <c r="R8" s="7">
        <v>485.5</v>
      </c>
      <c r="S8" s="7">
        <v>423.21</v>
      </c>
      <c r="T8" s="7">
        <f t="shared" si="0"/>
        <v>6000</v>
      </c>
    </row>
    <row r="9" spans="1:21">
      <c r="A9" t="s">
        <v>159</v>
      </c>
      <c r="B9" t="s">
        <v>159</v>
      </c>
      <c r="C9" t="s">
        <v>160</v>
      </c>
      <c r="D9" t="s">
        <v>169</v>
      </c>
      <c r="E9" s="7" t="s">
        <v>161</v>
      </c>
      <c r="F9" s="7" t="s">
        <v>162</v>
      </c>
      <c r="G9" s="7" t="s">
        <v>171</v>
      </c>
      <c r="H9" s="7">
        <v>4700.5200000000004</v>
      </c>
      <c r="I9" s="7">
        <v>4060.04</v>
      </c>
      <c r="J9" s="7">
        <v>4625.3999999999996</v>
      </c>
      <c r="K9" s="7">
        <v>3951.51</v>
      </c>
      <c r="L9" s="7">
        <v>4396.3999999999996</v>
      </c>
      <c r="M9" s="7">
        <v>4262.8100000000004</v>
      </c>
      <c r="N9" s="7">
        <v>3986.09</v>
      </c>
      <c r="O9" s="7">
        <v>4890.18</v>
      </c>
      <c r="P9" s="7">
        <v>4492.9799999999996</v>
      </c>
      <c r="Q9" s="7">
        <v>4416.68</v>
      </c>
      <c r="R9" s="7">
        <v>4269.95</v>
      </c>
      <c r="S9" s="7">
        <v>3890.65</v>
      </c>
      <c r="T9" s="7">
        <f t="shared" si="0"/>
        <v>51943.210000000006</v>
      </c>
    </row>
    <row r="10" spans="1:21">
      <c r="A10" t="s">
        <v>159</v>
      </c>
      <c r="B10" t="s">
        <v>159</v>
      </c>
      <c r="C10" t="s">
        <v>160</v>
      </c>
      <c r="D10" t="s">
        <v>169</v>
      </c>
      <c r="E10" s="7" t="s">
        <v>167</v>
      </c>
      <c r="F10" s="7" t="s">
        <v>162</v>
      </c>
      <c r="G10" s="7" t="s">
        <v>171</v>
      </c>
      <c r="H10" s="7">
        <v>1239.81</v>
      </c>
      <c r="I10" s="7">
        <v>1041.52</v>
      </c>
      <c r="J10" s="7">
        <v>1152.69</v>
      </c>
      <c r="K10" s="7">
        <v>988.9</v>
      </c>
      <c r="L10" s="7">
        <v>1088.74</v>
      </c>
      <c r="M10" s="7">
        <v>1074.6600000000001</v>
      </c>
      <c r="N10" s="7">
        <v>1023.77</v>
      </c>
      <c r="O10" s="7">
        <v>1244.8599999999999</v>
      </c>
      <c r="P10" s="7">
        <v>1207.98</v>
      </c>
      <c r="Q10" s="7">
        <v>1102.19</v>
      </c>
      <c r="R10" s="7">
        <v>1110.71</v>
      </c>
      <c r="S10" s="7">
        <v>1049.92</v>
      </c>
      <c r="T10" s="7">
        <f t="shared" si="0"/>
        <v>13325.750000000002</v>
      </c>
    </row>
    <row r="11" spans="1:21">
      <c r="A11" t="s">
        <v>159</v>
      </c>
      <c r="B11" t="s">
        <v>159</v>
      </c>
      <c r="C11" t="s">
        <v>160</v>
      </c>
      <c r="D11" t="s">
        <v>192</v>
      </c>
      <c r="E11" s="7" t="s">
        <v>161</v>
      </c>
      <c r="F11" s="7" t="s">
        <v>162</v>
      </c>
      <c r="G11" s="7" t="s">
        <v>171</v>
      </c>
      <c r="H11" s="7">
        <v>3688.05</v>
      </c>
      <c r="I11" s="7">
        <v>3289.69</v>
      </c>
      <c r="J11" s="7">
        <v>3867.96</v>
      </c>
      <c r="K11" s="7">
        <v>3289.69</v>
      </c>
      <c r="L11" s="7">
        <v>3700.89</v>
      </c>
      <c r="M11" s="7">
        <v>3520.99</v>
      </c>
      <c r="N11" s="7">
        <v>3225.43</v>
      </c>
      <c r="O11" s="7">
        <v>3996.45</v>
      </c>
      <c r="P11" s="7">
        <v>3443.89</v>
      </c>
      <c r="Q11" s="7">
        <v>3688.05</v>
      </c>
      <c r="R11" s="7">
        <v>3405.35</v>
      </c>
      <c r="S11" s="7">
        <v>2968.43</v>
      </c>
      <c r="T11" s="7">
        <f t="shared" si="0"/>
        <v>42084.87</v>
      </c>
    </row>
    <row r="12" spans="1:21">
      <c r="A12" t="s">
        <v>159</v>
      </c>
      <c r="B12" t="s">
        <v>159</v>
      </c>
      <c r="C12" t="s">
        <v>160</v>
      </c>
      <c r="D12" t="s">
        <v>192</v>
      </c>
      <c r="E12" s="7" t="s">
        <v>167</v>
      </c>
      <c r="F12" s="7" t="s">
        <v>162</v>
      </c>
      <c r="G12" s="7" t="s">
        <v>171</v>
      </c>
      <c r="H12" s="7">
        <v>770.29</v>
      </c>
      <c r="I12" s="7">
        <v>687.09</v>
      </c>
      <c r="J12" s="7">
        <v>807.87</v>
      </c>
      <c r="K12" s="7">
        <v>687.09</v>
      </c>
      <c r="L12" s="7">
        <v>772.97</v>
      </c>
      <c r="M12" s="7">
        <v>735.4</v>
      </c>
      <c r="N12" s="7">
        <v>673.67</v>
      </c>
      <c r="O12" s="7">
        <v>834.7</v>
      </c>
      <c r="P12" s="7">
        <v>719.29</v>
      </c>
      <c r="Q12" s="7">
        <v>770.29</v>
      </c>
      <c r="R12" s="7">
        <v>711.24</v>
      </c>
      <c r="S12" s="7">
        <v>619.99</v>
      </c>
      <c r="T12" s="7">
        <f t="shared" si="0"/>
        <v>8789.89</v>
      </c>
    </row>
    <row r="13" spans="1:21">
      <c r="A13" t="s">
        <v>159</v>
      </c>
      <c r="B13" t="s">
        <v>159</v>
      </c>
      <c r="C13" t="s">
        <v>160</v>
      </c>
      <c r="D13" t="s">
        <v>215</v>
      </c>
      <c r="E13" s="7" t="s">
        <v>161</v>
      </c>
      <c r="F13" s="7" t="s">
        <v>162</v>
      </c>
      <c r="G13" s="7" t="s">
        <v>171</v>
      </c>
      <c r="H13" s="7">
        <v>60379.54</v>
      </c>
      <c r="I13" s="7">
        <v>53857.71</v>
      </c>
      <c r="J13" s="7">
        <v>63324.89</v>
      </c>
      <c r="K13" s="7">
        <v>53857.71</v>
      </c>
      <c r="L13" s="7">
        <v>60589.919999999998</v>
      </c>
      <c r="M13" s="7">
        <v>57644.58</v>
      </c>
      <c r="N13" s="7">
        <v>52805.8</v>
      </c>
      <c r="O13" s="7">
        <v>65428.7</v>
      </c>
      <c r="P13" s="7">
        <v>56382.29</v>
      </c>
      <c r="Q13" s="7">
        <v>60379.54</v>
      </c>
      <c r="R13" s="7">
        <v>55751.15</v>
      </c>
      <c r="S13" s="7">
        <v>48598.17</v>
      </c>
      <c r="T13" s="7">
        <f t="shared" si="0"/>
        <v>689000.00000000012</v>
      </c>
    </row>
    <row r="14" spans="1:21">
      <c r="A14" t="s">
        <v>159</v>
      </c>
      <c r="B14" t="s">
        <v>159</v>
      </c>
      <c r="C14" t="s">
        <v>160</v>
      </c>
      <c r="D14" t="s">
        <v>215</v>
      </c>
      <c r="E14" s="7" t="s">
        <v>167</v>
      </c>
      <c r="F14" s="7" t="s">
        <v>162</v>
      </c>
      <c r="G14" s="7" t="s">
        <v>171</v>
      </c>
      <c r="H14" s="7">
        <v>10340.76</v>
      </c>
      <c r="I14" s="7">
        <v>9223.82</v>
      </c>
      <c r="J14" s="7">
        <v>10845.19</v>
      </c>
      <c r="K14" s="7">
        <v>9223.82</v>
      </c>
      <c r="L14" s="7">
        <v>10376.790000000001</v>
      </c>
      <c r="M14" s="7">
        <v>9872.3700000000008</v>
      </c>
      <c r="N14" s="7">
        <v>9043.66</v>
      </c>
      <c r="O14" s="7">
        <v>11205.5</v>
      </c>
      <c r="P14" s="7">
        <v>9656.18</v>
      </c>
      <c r="Q14" s="7">
        <v>10340.76</v>
      </c>
      <c r="R14" s="7">
        <v>9548.09</v>
      </c>
      <c r="S14" s="7">
        <v>8323.0499999999993</v>
      </c>
      <c r="T14" s="7">
        <f t="shared" si="0"/>
        <v>117999.98999999999</v>
      </c>
    </row>
    <row r="15" spans="1:21">
      <c r="A15" t="s">
        <v>159</v>
      </c>
      <c r="B15" t="s">
        <v>159</v>
      </c>
      <c r="C15" t="s">
        <v>160</v>
      </c>
      <c r="D15" t="s">
        <v>216</v>
      </c>
      <c r="E15" s="7" t="s">
        <v>187</v>
      </c>
      <c r="F15" s="7" t="s">
        <v>218</v>
      </c>
      <c r="G15" s="7" t="s">
        <v>171</v>
      </c>
      <c r="H15" s="7">
        <v>-9854.7199999999993</v>
      </c>
      <c r="I15" s="7">
        <v>-27357.59</v>
      </c>
      <c r="J15" s="7">
        <v>-19901.68</v>
      </c>
      <c r="K15" s="7">
        <v>-14002.59</v>
      </c>
      <c r="L15" s="7">
        <v>-6670.79</v>
      </c>
      <c r="M15" s="7">
        <v>-10417.82</v>
      </c>
      <c r="N15" s="7">
        <v>-8062.24</v>
      </c>
      <c r="O15" s="7">
        <v>-11885.37</v>
      </c>
      <c r="P15" s="7">
        <v>-11885.41</v>
      </c>
      <c r="Q15" s="7">
        <v>-11884.72</v>
      </c>
      <c r="R15" s="7">
        <v>-11885.21</v>
      </c>
      <c r="S15" s="7">
        <v>-11884.87</v>
      </c>
      <c r="T15" s="7">
        <f t="shared" si="0"/>
        <v>-155693.00999999998</v>
      </c>
    </row>
    <row r="16" spans="1:21">
      <c r="A16" t="s">
        <v>159</v>
      </c>
      <c r="B16" t="s">
        <v>159</v>
      </c>
      <c r="C16" t="s">
        <v>160</v>
      </c>
      <c r="D16" t="s">
        <v>168</v>
      </c>
      <c r="E16" s="7" t="s">
        <v>161</v>
      </c>
      <c r="F16" s="7" t="s">
        <v>162</v>
      </c>
      <c r="G16" s="7" t="s">
        <v>171</v>
      </c>
      <c r="H16" s="7">
        <v>3438.14</v>
      </c>
      <c r="I16" s="7">
        <v>2578.6</v>
      </c>
      <c r="J16" s="7">
        <v>2486.5100000000002</v>
      </c>
      <c r="K16" s="7">
        <v>2179.5300000000002</v>
      </c>
      <c r="L16" s="7">
        <v>2271.63</v>
      </c>
      <c r="M16" s="7">
        <v>2455.81</v>
      </c>
      <c r="N16" s="7">
        <v>2547.91</v>
      </c>
      <c r="O16" s="7">
        <v>2977.67</v>
      </c>
      <c r="P16" s="7">
        <v>3591.63</v>
      </c>
      <c r="Q16" s="7">
        <v>2394.42</v>
      </c>
      <c r="R16" s="7">
        <v>2916.28</v>
      </c>
      <c r="S16" s="7">
        <v>3161.86</v>
      </c>
      <c r="T16" s="7">
        <f t="shared" si="0"/>
        <v>32999.99</v>
      </c>
    </row>
    <row r="17" spans="1:28">
      <c r="A17" t="s">
        <v>159</v>
      </c>
      <c r="B17" t="s">
        <v>159</v>
      </c>
      <c r="C17" t="s">
        <v>160</v>
      </c>
      <c r="D17" t="s">
        <v>168</v>
      </c>
      <c r="E17" s="7" t="s">
        <v>167</v>
      </c>
      <c r="F17" s="7" t="s">
        <v>162</v>
      </c>
      <c r="G17" s="7" t="s">
        <v>171</v>
      </c>
      <c r="H17" s="7">
        <v>1666.98</v>
      </c>
      <c r="I17" s="7">
        <v>1250.23</v>
      </c>
      <c r="J17" s="7">
        <v>1205.58</v>
      </c>
      <c r="K17" s="7">
        <v>1056.74</v>
      </c>
      <c r="L17" s="7">
        <v>1101.4000000000001</v>
      </c>
      <c r="M17" s="7">
        <v>1190.7</v>
      </c>
      <c r="N17" s="7">
        <v>1235.3499999999999</v>
      </c>
      <c r="O17" s="7">
        <v>1443.72</v>
      </c>
      <c r="P17" s="7">
        <v>1741.4</v>
      </c>
      <c r="Q17" s="7">
        <v>1160.93</v>
      </c>
      <c r="R17" s="7">
        <v>1413.95</v>
      </c>
      <c r="S17" s="7">
        <v>1533.02</v>
      </c>
      <c r="T17" s="7">
        <f t="shared" si="0"/>
        <v>16000</v>
      </c>
    </row>
    <row r="18" spans="1:28">
      <c r="A18" t="s">
        <v>159</v>
      </c>
      <c r="B18" t="s">
        <v>159</v>
      </c>
      <c r="C18" t="s">
        <v>160</v>
      </c>
      <c r="D18" t="s">
        <v>170</v>
      </c>
      <c r="E18" s="7" t="s">
        <v>161</v>
      </c>
      <c r="F18" s="7" t="s">
        <v>162</v>
      </c>
      <c r="G18" s="7" t="s">
        <v>171</v>
      </c>
      <c r="H18" s="7">
        <v>306.41000000000003</v>
      </c>
      <c r="I18" s="7">
        <v>229.8</v>
      </c>
      <c r="J18" s="7">
        <v>221.6</v>
      </c>
      <c r="K18" s="7">
        <v>194.24</v>
      </c>
      <c r="L18" s="7">
        <v>202.45</v>
      </c>
      <c r="M18" s="7">
        <v>218.86</v>
      </c>
      <c r="N18" s="7">
        <v>227.07</v>
      </c>
      <c r="O18" s="7">
        <v>265.37</v>
      </c>
      <c r="P18" s="7">
        <v>320.08999999999997</v>
      </c>
      <c r="Q18" s="7">
        <v>213.39</v>
      </c>
      <c r="R18" s="7">
        <v>259.89999999999998</v>
      </c>
      <c r="S18" s="7">
        <v>281.77999999999997</v>
      </c>
      <c r="T18" s="7">
        <f t="shared" si="0"/>
        <v>2940.96</v>
      </c>
    </row>
    <row r="19" spans="1:28">
      <c r="A19" t="s">
        <v>159</v>
      </c>
      <c r="B19" t="s">
        <v>159</v>
      </c>
      <c r="C19" t="s">
        <v>160</v>
      </c>
      <c r="D19" t="s">
        <v>170</v>
      </c>
      <c r="E19" s="7" t="s">
        <v>167</v>
      </c>
      <c r="F19" s="7" t="s">
        <v>162</v>
      </c>
      <c r="G19" s="7" t="s">
        <v>171</v>
      </c>
      <c r="H19" s="7">
        <v>148.56</v>
      </c>
      <c r="I19" s="7">
        <v>111.42</v>
      </c>
      <c r="J19" s="7">
        <v>107.44</v>
      </c>
      <c r="K19" s="7">
        <v>94.18</v>
      </c>
      <c r="L19" s="7">
        <v>98.16</v>
      </c>
      <c r="M19" s="7">
        <v>106.12</v>
      </c>
      <c r="N19" s="7">
        <v>110.09</v>
      </c>
      <c r="O19" s="7">
        <v>128.66</v>
      </c>
      <c r="P19" s="7">
        <v>155.19</v>
      </c>
      <c r="Q19" s="7">
        <v>103.46</v>
      </c>
      <c r="R19" s="7">
        <v>126.01</v>
      </c>
      <c r="S19" s="7">
        <v>136.62</v>
      </c>
      <c r="T19" s="7">
        <f t="shared" si="0"/>
        <v>1425.9099999999999</v>
      </c>
    </row>
    <row r="20" spans="1:28">
      <c r="A20" t="s">
        <v>159</v>
      </c>
      <c r="B20" t="s">
        <v>159</v>
      </c>
      <c r="C20" t="s">
        <v>193</v>
      </c>
      <c r="D20" t="s">
        <v>216</v>
      </c>
      <c r="E20" s="7" t="s">
        <v>187</v>
      </c>
      <c r="F20" s="7" t="s">
        <v>219</v>
      </c>
      <c r="G20" s="7" t="s">
        <v>171</v>
      </c>
      <c r="H20" s="7">
        <v>25.5</v>
      </c>
      <c r="I20" s="7">
        <v>-1618.48</v>
      </c>
      <c r="J20" s="7">
        <v>-0.37</v>
      </c>
      <c r="K20" s="7">
        <v>-4314.4799999999996</v>
      </c>
      <c r="L20" s="7">
        <v>-272.92</v>
      </c>
      <c r="M20" s="7">
        <v>-14.04</v>
      </c>
      <c r="N20" s="7">
        <v>-242.38</v>
      </c>
      <c r="O20" s="7">
        <v>0.43</v>
      </c>
      <c r="P20" s="7">
        <v>0.48</v>
      </c>
      <c r="Q20" s="7">
        <v>-0.5</v>
      </c>
      <c r="R20" s="7">
        <v>-0.26</v>
      </c>
      <c r="S20" s="7">
        <v>0.02</v>
      </c>
      <c r="T20" s="7">
        <f t="shared" si="0"/>
        <v>-6437</v>
      </c>
    </row>
    <row r="21" spans="1:28">
      <c r="A21" t="s">
        <v>159</v>
      </c>
      <c r="B21" t="s">
        <v>159</v>
      </c>
      <c r="C21" t="s">
        <v>220</v>
      </c>
      <c r="D21" t="s">
        <v>216</v>
      </c>
      <c r="E21" s="7" t="s">
        <v>187</v>
      </c>
      <c r="F21" s="7" t="s">
        <v>221</v>
      </c>
      <c r="G21" s="7" t="s">
        <v>171</v>
      </c>
      <c r="H21" s="7">
        <v>25994</v>
      </c>
      <c r="I21" s="7">
        <v>15919</v>
      </c>
      <c r="J21" s="7">
        <v>24757</v>
      </c>
      <c r="K21" s="7">
        <v>19995</v>
      </c>
      <c r="L21" s="7">
        <v>30652</v>
      </c>
      <c r="M21" s="7">
        <v>24733</v>
      </c>
      <c r="N21" s="7">
        <v>11558</v>
      </c>
      <c r="O21" s="7">
        <v>23374</v>
      </c>
      <c r="P21" s="7">
        <v>23374</v>
      </c>
      <c r="Q21" s="7">
        <v>23374</v>
      </c>
      <c r="R21" s="7">
        <v>23374</v>
      </c>
      <c r="S21" s="7">
        <v>23374</v>
      </c>
      <c r="T21" s="7">
        <f t="shared" si="0"/>
        <v>270478</v>
      </c>
    </row>
    <row r="22" spans="1:28">
      <c r="A22" t="s">
        <v>159</v>
      </c>
      <c r="B22" t="s">
        <v>159</v>
      </c>
      <c r="C22" t="s">
        <v>222</v>
      </c>
      <c r="D22" t="s">
        <v>216</v>
      </c>
      <c r="E22" s="7" t="s">
        <v>187</v>
      </c>
      <c r="F22" s="7" t="s">
        <v>223</v>
      </c>
      <c r="G22" s="7" t="s">
        <v>171</v>
      </c>
      <c r="H22" s="7">
        <v>-3334.02</v>
      </c>
      <c r="I22" s="7">
        <v>-5299.08</v>
      </c>
      <c r="J22" s="7">
        <v>-9894.5</v>
      </c>
      <c r="K22" s="7">
        <v>-7071.08</v>
      </c>
      <c r="L22" s="7">
        <v>-6777.34</v>
      </c>
      <c r="M22" s="7">
        <v>-5960.85</v>
      </c>
      <c r="N22" s="7">
        <v>-3111.47</v>
      </c>
      <c r="O22" s="7">
        <v>-5941.71</v>
      </c>
      <c r="P22" s="7">
        <v>-5942.92</v>
      </c>
      <c r="Q22" s="7">
        <v>-5943.02</v>
      </c>
      <c r="R22" s="7">
        <v>-5941.96</v>
      </c>
      <c r="S22" s="7">
        <v>-5943.06</v>
      </c>
      <c r="T22" s="7">
        <f t="shared" si="0"/>
        <v>-71161.010000000009</v>
      </c>
    </row>
    <row r="23" spans="1:28">
      <c r="A23" t="s">
        <v>163</v>
      </c>
      <c r="B23" t="s">
        <v>189</v>
      </c>
      <c r="C23" t="s">
        <v>160</v>
      </c>
      <c r="D23" t="s">
        <v>191</v>
      </c>
      <c r="E23" s="7" t="s">
        <v>164</v>
      </c>
      <c r="F23" s="7" t="s">
        <v>162</v>
      </c>
      <c r="G23" s="7" t="s">
        <v>171</v>
      </c>
      <c r="H23" s="7">
        <v>1000</v>
      </c>
      <c r="I23" s="7">
        <v>1000</v>
      </c>
      <c r="J23" s="7">
        <v>1000</v>
      </c>
      <c r="K23" s="7">
        <v>1000</v>
      </c>
      <c r="L23" s="7">
        <v>1000</v>
      </c>
      <c r="M23" s="7">
        <v>1000</v>
      </c>
      <c r="N23" s="7">
        <v>1000</v>
      </c>
      <c r="O23" s="7">
        <v>1000</v>
      </c>
      <c r="P23" s="7">
        <v>1000</v>
      </c>
      <c r="Q23" s="7">
        <v>1000</v>
      </c>
      <c r="R23" s="7">
        <v>1000</v>
      </c>
      <c r="S23" s="7">
        <v>1000</v>
      </c>
      <c r="T23" s="7">
        <f t="shared" si="0"/>
        <v>12000</v>
      </c>
    </row>
    <row r="24" spans="1:28">
      <c r="A24" t="s">
        <v>163</v>
      </c>
      <c r="B24" t="s">
        <v>189</v>
      </c>
      <c r="C24" t="s">
        <v>160</v>
      </c>
      <c r="D24" t="s">
        <v>156</v>
      </c>
      <c r="E24" s="7" t="s">
        <v>164</v>
      </c>
      <c r="F24" s="7" t="s">
        <v>162</v>
      </c>
      <c r="G24" s="7" t="s">
        <v>171</v>
      </c>
      <c r="H24" s="7">
        <v>3000</v>
      </c>
      <c r="I24" s="7">
        <v>3000</v>
      </c>
      <c r="J24" s="7">
        <v>1000</v>
      </c>
      <c r="K24" s="7">
        <v>3000</v>
      </c>
      <c r="L24" s="7">
        <v>3000</v>
      </c>
      <c r="M24" s="7">
        <v>3000</v>
      </c>
      <c r="N24" s="7">
        <v>1000</v>
      </c>
      <c r="O24" s="7">
        <v>3000</v>
      </c>
      <c r="P24" s="7">
        <v>3000</v>
      </c>
      <c r="Q24" s="7">
        <v>1000</v>
      </c>
      <c r="R24" s="7">
        <v>3000</v>
      </c>
      <c r="S24" s="7">
        <v>3000</v>
      </c>
      <c r="T24" s="7">
        <f t="shared" si="0"/>
        <v>30000</v>
      </c>
    </row>
    <row r="25" spans="1:28">
      <c r="A25" t="s">
        <v>163</v>
      </c>
      <c r="B25" t="s">
        <v>189</v>
      </c>
      <c r="C25" t="s">
        <v>160</v>
      </c>
      <c r="D25" t="s">
        <v>190</v>
      </c>
      <c r="E25" s="7" t="s">
        <v>164</v>
      </c>
      <c r="F25" s="7" t="s">
        <v>162</v>
      </c>
      <c r="G25" s="7" t="s">
        <v>171</v>
      </c>
      <c r="H25" s="7">
        <v>1000</v>
      </c>
      <c r="I25" s="7">
        <v>0</v>
      </c>
      <c r="J25" s="7">
        <v>1000</v>
      </c>
      <c r="K25" s="7">
        <v>0</v>
      </c>
      <c r="L25" s="7">
        <v>0</v>
      </c>
      <c r="M25" s="7">
        <v>1000</v>
      </c>
      <c r="N25" s="7">
        <v>1000</v>
      </c>
      <c r="O25" s="7">
        <v>0</v>
      </c>
      <c r="P25" s="7">
        <v>0</v>
      </c>
      <c r="Q25" s="7">
        <v>1000</v>
      </c>
      <c r="R25" s="7">
        <v>0</v>
      </c>
      <c r="S25" s="7">
        <v>0</v>
      </c>
      <c r="T25" s="7">
        <f t="shared" si="0"/>
        <v>5000</v>
      </c>
    </row>
    <row r="26" spans="1:28">
      <c r="A26" t="s">
        <v>163</v>
      </c>
      <c r="B26" t="s">
        <v>189</v>
      </c>
      <c r="C26" t="s">
        <v>160</v>
      </c>
      <c r="D26" t="s">
        <v>169</v>
      </c>
      <c r="E26" s="7" t="s">
        <v>164</v>
      </c>
      <c r="F26" s="7" t="s">
        <v>162</v>
      </c>
      <c r="G26" s="7" t="s">
        <v>171</v>
      </c>
      <c r="H26" s="7">
        <v>111</v>
      </c>
      <c r="I26" s="7">
        <v>111</v>
      </c>
      <c r="J26" s="7">
        <v>111</v>
      </c>
      <c r="K26" s="7">
        <v>111</v>
      </c>
      <c r="L26" s="7">
        <v>111</v>
      </c>
      <c r="M26" s="7">
        <v>111</v>
      </c>
      <c r="N26" s="7">
        <v>111</v>
      </c>
      <c r="O26" s="7">
        <v>111</v>
      </c>
      <c r="P26" s="7">
        <v>111</v>
      </c>
      <c r="Q26" s="7">
        <v>111</v>
      </c>
      <c r="R26" s="7">
        <v>111</v>
      </c>
      <c r="S26" s="7">
        <v>111</v>
      </c>
      <c r="T26" s="7">
        <f t="shared" si="0"/>
        <v>1332</v>
      </c>
    </row>
    <row r="27" spans="1:28">
      <c r="A27" t="s">
        <v>163</v>
      </c>
      <c r="B27" t="s">
        <v>189</v>
      </c>
      <c r="C27" t="s">
        <v>160</v>
      </c>
      <c r="D27" t="s">
        <v>192</v>
      </c>
      <c r="E27" s="7" t="s">
        <v>164</v>
      </c>
      <c r="F27" s="7" t="s">
        <v>162</v>
      </c>
      <c r="G27" s="7" t="s">
        <v>171</v>
      </c>
      <c r="H27" s="7">
        <v>266.36</v>
      </c>
      <c r="I27" s="7">
        <v>266.36</v>
      </c>
      <c r="J27" s="7">
        <v>266.36</v>
      </c>
      <c r="K27" s="7">
        <v>266.36</v>
      </c>
      <c r="L27" s="7">
        <v>266.36</v>
      </c>
      <c r="M27" s="7">
        <v>266.36</v>
      </c>
      <c r="N27" s="7">
        <v>266.36</v>
      </c>
      <c r="O27" s="7">
        <v>266.36</v>
      </c>
      <c r="P27" s="7">
        <v>266.36</v>
      </c>
      <c r="Q27" s="7">
        <v>266.36</v>
      </c>
      <c r="R27" s="7">
        <v>266.36</v>
      </c>
      <c r="S27" s="7">
        <v>266.36</v>
      </c>
      <c r="T27" s="7">
        <f t="shared" si="0"/>
        <v>3196.3200000000011</v>
      </c>
    </row>
    <row r="28" spans="1:28">
      <c r="A28" t="s">
        <v>165</v>
      </c>
      <c r="B28" t="s">
        <v>224</v>
      </c>
      <c r="C28" t="s">
        <v>160</v>
      </c>
      <c r="D28" t="s">
        <v>191</v>
      </c>
      <c r="E28" s="7" t="s">
        <v>166</v>
      </c>
      <c r="F28" s="7" t="s">
        <v>162</v>
      </c>
      <c r="G28" s="7" t="s">
        <v>171</v>
      </c>
      <c r="H28" s="7">
        <v>1000</v>
      </c>
      <c r="I28" s="7">
        <v>1000</v>
      </c>
      <c r="J28" s="7">
        <v>1000</v>
      </c>
      <c r="K28" s="7">
        <v>1000</v>
      </c>
      <c r="L28" s="7">
        <v>1000</v>
      </c>
      <c r="M28" s="7">
        <v>1000</v>
      </c>
      <c r="N28" s="7">
        <v>1000</v>
      </c>
      <c r="O28" s="7">
        <v>1000</v>
      </c>
      <c r="P28" s="7">
        <v>1000</v>
      </c>
      <c r="Q28" s="7">
        <v>1000</v>
      </c>
      <c r="R28" s="7">
        <v>1000</v>
      </c>
      <c r="S28" s="7">
        <v>1000</v>
      </c>
      <c r="T28" s="7">
        <f t="shared" si="0"/>
        <v>12000</v>
      </c>
    </row>
    <row r="29" spans="1:28">
      <c r="A29" t="s">
        <v>165</v>
      </c>
      <c r="B29" t="s">
        <v>224</v>
      </c>
      <c r="C29" t="s">
        <v>160</v>
      </c>
      <c r="D29" t="s">
        <v>190</v>
      </c>
      <c r="E29" s="7" t="s">
        <v>166</v>
      </c>
      <c r="F29" s="7" t="s">
        <v>162</v>
      </c>
      <c r="G29" s="7" t="s">
        <v>171</v>
      </c>
      <c r="H29" s="7">
        <v>0</v>
      </c>
      <c r="I29" s="7">
        <v>0</v>
      </c>
      <c r="J29" s="7">
        <v>1000</v>
      </c>
      <c r="K29" s="7">
        <v>0</v>
      </c>
      <c r="L29" s="7">
        <v>0</v>
      </c>
      <c r="M29" s="7">
        <v>1000</v>
      </c>
      <c r="N29" s="7">
        <v>0</v>
      </c>
      <c r="O29" s="7">
        <v>0</v>
      </c>
      <c r="P29" s="7">
        <v>1000</v>
      </c>
      <c r="Q29" s="7">
        <v>0</v>
      </c>
      <c r="R29" s="7">
        <v>0</v>
      </c>
      <c r="S29" s="7">
        <v>1000</v>
      </c>
      <c r="T29" s="7">
        <f t="shared" si="0"/>
        <v>4000</v>
      </c>
    </row>
    <row r="30" spans="1:28">
      <c r="A30" t="s">
        <v>165</v>
      </c>
      <c r="B30" t="s">
        <v>224</v>
      </c>
      <c r="C30" t="s">
        <v>160</v>
      </c>
      <c r="D30" t="s">
        <v>169</v>
      </c>
      <c r="E30" s="7" t="s">
        <v>166</v>
      </c>
      <c r="F30" s="7" t="s">
        <v>162</v>
      </c>
      <c r="G30" s="7" t="s">
        <v>171</v>
      </c>
      <c r="H30" s="7">
        <v>116.85</v>
      </c>
      <c r="I30" s="7">
        <v>116.85</v>
      </c>
      <c r="J30" s="7">
        <v>116.85</v>
      </c>
      <c r="K30" s="7">
        <v>116.85</v>
      </c>
      <c r="L30" s="7">
        <v>116.85</v>
      </c>
      <c r="M30" s="7">
        <v>116.85</v>
      </c>
      <c r="N30" s="7">
        <v>116.85</v>
      </c>
      <c r="O30" s="7">
        <v>116.85</v>
      </c>
      <c r="P30" s="7">
        <v>116.85</v>
      </c>
      <c r="Q30" s="7">
        <v>116.85</v>
      </c>
      <c r="R30" s="7">
        <v>116.85</v>
      </c>
      <c r="S30" s="7">
        <v>116.85</v>
      </c>
      <c r="T30" s="7">
        <f t="shared" si="0"/>
        <v>1402.1999999999998</v>
      </c>
    </row>
    <row r="31" spans="1:28">
      <c r="A31" t="s">
        <v>165</v>
      </c>
      <c r="B31" t="s">
        <v>224</v>
      </c>
      <c r="C31" t="s">
        <v>160</v>
      </c>
      <c r="D31" t="s">
        <v>192</v>
      </c>
      <c r="E31" s="7" t="s">
        <v>166</v>
      </c>
      <c r="F31" s="7" t="s">
        <v>162</v>
      </c>
      <c r="G31" s="7" t="s">
        <v>171</v>
      </c>
      <c r="H31" s="7">
        <v>266.36</v>
      </c>
      <c r="I31" s="7">
        <v>266.36</v>
      </c>
      <c r="J31" s="7">
        <v>266.36</v>
      </c>
      <c r="K31" s="7">
        <v>266.36</v>
      </c>
      <c r="L31" s="7">
        <v>266.36</v>
      </c>
      <c r="M31" s="7">
        <v>266.36</v>
      </c>
      <c r="N31" s="7">
        <v>266.36</v>
      </c>
      <c r="O31" s="7">
        <v>266.36</v>
      </c>
      <c r="P31" s="7">
        <v>266.36</v>
      </c>
      <c r="Q31" s="7">
        <v>266.36</v>
      </c>
      <c r="R31" s="7">
        <v>266.36</v>
      </c>
      <c r="S31" s="7">
        <v>266.36</v>
      </c>
      <c r="T31" s="7">
        <f t="shared" si="0"/>
        <v>3196.3200000000011</v>
      </c>
      <c r="U31" s="7"/>
    </row>
    <row r="32" spans="1:28">
      <c r="A32" t="s">
        <v>225</v>
      </c>
      <c r="B32" t="s">
        <v>225</v>
      </c>
      <c r="C32" t="s">
        <v>226</v>
      </c>
      <c r="D32" t="s">
        <v>216</v>
      </c>
      <c r="E32" s="307" t="s">
        <v>227</v>
      </c>
      <c r="F32" s="307" t="s">
        <v>228</v>
      </c>
      <c r="G32" s="307" t="s">
        <v>171</v>
      </c>
      <c r="H32" s="309">
        <v>237772.03</v>
      </c>
      <c r="I32" s="309">
        <v>237772.03</v>
      </c>
      <c r="J32" s="309">
        <v>237772.03</v>
      </c>
      <c r="K32" s="309">
        <v>237772.03</v>
      </c>
      <c r="L32" s="309">
        <v>237772.03</v>
      </c>
      <c r="M32" s="309">
        <v>237772.03</v>
      </c>
      <c r="N32" s="309">
        <v>237772.03</v>
      </c>
      <c r="O32" s="309">
        <v>237772.03</v>
      </c>
      <c r="P32" s="309">
        <v>237772.03</v>
      </c>
      <c r="Q32" s="309">
        <v>237772.03</v>
      </c>
      <c r="R32" s="309">
        <v>237772.03</v>
      </c>
      <c r="S32" s="309">
        <v>237772.03</v>
      </c>
      <c r="T32" s="309">
        <f t="shared" si="0"/>
        <v>2853264.3599999994</v>
      </c>
      <c r="U32" s="39"/>
      <c r="V32" s="39"/>
      <c r="W32" s="39"/>
      <c r="X32" s="39"/>
      <c r="Y32" s="39"/>
      <c r="Z32" s="39"/>
      <c r="AA32" s="39"/>
      <c r="AB32" s="39"/>
    </row>
    <row r="33" spans="1:20">
      <c r="C33" s="2"/>
      <c r="D33" s="2" t="s">
        <v>172</v>
      </c>
      <c r="E33" s="34"/>
      <c r="F33" s="34"/>
      <c r="G33" s="34"/>
      <c r="H33" s="34">
        <f t="shared" ref="H33:T33" si="1">SUM(H2:H32)</f>
        <v>377282.55</v>
      </c>
      <c r="I33" s="34">
        <f t="shared" si="1"/>
        <v>311093.01</v>
      </c>
      <c r="J33" s="34">
        <f t="shared" si="1"/>
        <v>349062.47000000003</v>
      </c>
      <c r="K33" s="34">
        <f t="shared" si="1"/>
        <v>282970.5</v>
      </c>
      <c r="L33" s="34">
        <f t="shared" si="1"/>
        <v>378051.75</v>
      </c>
      <c r="M33" s="34">
        <f t="shared" si="1"/>
        <v>358727.89</v>
      </c>
      <c r="N33" s="34">
        <f t="shared" si="1"/>
        <v>339839.37</v>
      </c>
      <c r="O33" s="34">
        <f t="shared" si="1"/>
        <v>374305.28999999992</v>
      </c>
      <c r="P33" s="34">
        <f t="shared" si="1"/>
        <v>367126.03</v>
      </c>
      <c r="Q33" s="34">
        <f t="shared" si="1"/>
        <v>386207.19999999995</v>
      </c>
      <c r="R33" s="34">
        <f t="shared" si="1"/>
        <v>354566.98</v>
      </c>
      <c r="S33" s="34">
        <f t="shared" si="1"/>
        <v>353667.7</v>
      </c>
      <c r="T33" s="34">
        <f t="shared" si="1"/>
        <v>4232900.7399999993</v>
      </c>
    </row>
    <row r="35" spans="1:20">
      <c r="A35" t="s">
        <v>154</v>
      </c>
      <c r="B35" t="s">
        <v>154</v>
      </c>
      <c r="C35" t="s">
        <v>155</v>
      </c>
      <c r="D35" t="s">
        <v>215</v>
      </c>
      <c r="E35" s="7" t="s">
        <v>157</v>
      </c>
      <c r="F35" s="7" t="s">
        <v>158</v>
      </c>
      <c r="G35" s="7" t="s">
        <v>260</v>
      </c>
      <c r="H35" s="7">
        <v>6000</v>
      </c>
      <c r="I35" s="7">
        <v>6000</v>
      </c>
      <c r="J35" s="7">
        <v>8000</v>
      </c>
      <c r="K35" s="7">
        <v>11000</v>
      </c>
      <c r="L35" s="7">
        <v>12000</v>
      </c>
      <c r="M35" s="7">
        <v>13000</v>
      </c>
      <c r="N35" s="7">
        <v>12000</v>
      </c>
      <c r="O35" s="7">
        <v>14000</v>
      </c>
      <c r="P35" s="7">
        <v>11000</v>
      </c>
      <c r="Q35" s="7">
        <v>11000</v>
      </c>
      <c r="R35" s="7">
        <v>11000</v>
      </c>
      <c r="S35" s="7">
        <v>9000</v>
      </c>
      <c r="T35" s="7">
        <f>SUM(H35:S35)</f>
        <v>124000</v>
      </c>
    </row>
    <row r="36" spans="1:20">
      <c r="A36" t="s">
        <v>159</v>
      </c>
      <c r="B36" t="s">
        <v>159</v>
      </c>
      <c r="C36" t="s">
        <v>155</v>
      </c>
      <c r="D36" t="s">
        <v>216</v>
      </c>
      <c r="E36" s="7" t="s">
        <v>187</v>
      </c>
      <c r="F36" s="7" t="s">
        <v>217</v>
      </c>
      <c r="G36" s="7" t="s">
        <v>260</v>
      </c>
      <c r="H36" s="7">
        <v>-2980.23</v>
      </c>
      <c r="I36" s="7">
        <v>-1827.63</v>
      </c>
      <c r="J36" s="7">
        <v>-519.54</v>
      </c>
      <c r="K36" s="7">
        <v>-2264.37</v>
      </c>
      <c r="L36" s="7">
        <v>-1754.8</v>
      </c>
      <c r="M36" s="7">
        <v>-163.28</v>
      </c>
      <c r="N36" s="7">
        <v>-450.85</v>
      </c>
      <c r="O36" s="7">
        <v>-1247.54</v>
      </c>
      <c r="P36" s="7">
        <v>-1247.17</v>
      </c>
      <c r="Q36" s="7">
        <v>-1246.8800000000001</v>
      </c>
      <c r="R36" s="7">
        <v>-1247.8499999999999</v>
      </c>
      <c r="S36" s="7">
        <v>-1246.8599999999999</v>
      </c>
      <c r="T36" s="7">
        <f t="shared" ref="T36:T65" si="2">SUM(H36:S36)</f>
        <v>-16197.000000000002</v>
      </c>
    </row>
    <row r="37" spans="1:20">
      <c r="A37" t="s">
        <v>159</v>
      </c>
      <c r="B37" t="s">
        <v>159</v>
      </c>
      <c r="C37" t="s">
        <v>186</v>
      </c>
      <c r="D37" t="s">
        <v>216</v>
      </c>
      <c r="E37" s="7" t="s">
        <v>187</v>
      </c>
      <c r="F37" s="7" t="s">
        <v>188</v>
      </c>
      <c r="G37" s="7" t="s">
        <v>260</v>
      </c>
      <c r="H37" s="7">
        <v>6507</v>
      </c>
      <c r="I37" s="7">
        <v>-17053</v>
      </c>
      <c r="J37" s="7">
        <v>-11356</v>
      </c>
      <c r="K37" s="7">
        <v>-64770</v>
      </c>
      <c r="L37" s="7">
        <v>-1455</v>
      </c>
      <c r="M37" s="7">
        <v>-10546</v>
      </c>
      <c r="N37" s="7">
        <v>-9797</v>
      </c>
      <c r="O37" s="7">
        <v>-6321</v>
      </c>
      <c r="P37" s="7">
        <v>3371</v>
      </c>
      <c r="Q37" s="7">
        <v>21067</v>
      </c>
      <c r="R37" s="7">
        <v>-6321</v>
      </c>
      <c r="S37" s="7">
        <v>6320</v>
      </c>
      <c r="T37" s="7">
        <f t="shared" si="2"/>
        <v>-90354</v>
      </c>
    </row>
    <row r="38" spans="1:20">
      <c r="A38" t="s">
        <v>159</v>
      </c>
      <c r="B38" t="s">
        <v>159</v>
      </c>
      <c r="C38" t="s">
        <v>160</v>
      </c>
      <c r="D38" t="s">
        <v>191</v>
      </c>
      <c r="E38" s="7" t="s">
        <v>161</v>
      </c>
      <c r="F38" s="7" t="s">
        <v>162</v>
      </c>
      <c r="G38" s="7" t="s">
        <v>260</v>
      </c>
      <c r="H38" s="7">
        <v>14324.02</v>
      </c>
      <c r="I38" s="7">
        <v>12291.55</v>
      </c>
      <c r="J38" s="7">
        <v>13694.92</v>
      </c>
      <c r="K38" s="7">
        <v>13114.22</v>
      </c>
      <c r="L38" s="7">
        <v>14565.98</v>
      </c>
      <c r="M38" s="7">
        <v>12823.87</v>
      </c>
      <c r="N38" s="7">
        <v>13065.83</v>
      </c>
      <c r="O38" s="7">
        <v>15388.64</v>
      </c>
      <c r="P38" s="7">
        <v>12436.73</v>
      </c>
      <c r="Q38" s="7">
        <v>14856.33</v>
      </c>
      <c r="R38" s="7">
        <v>13065.83</v>
      </c>
      <c r="S38" s="7">
        <v>11372.11</v>
      </c>
      <c r="T38" s="7">
        <f t="shared" si="2"/>
        <v>161000.02999999997</v>
      </c>
    </row>
    <row r="39" spans="1:20">
      <c r="A39" t="s">
        <v>159</v>
      </c>
      <c r="B39" t="s">
        <v>159</v>
      </c>
      <c r="C39" t="s">
        <v>160</v>
      </c>
      <c r="D39" t="s">
        <v>191</v>
      </c>
      <c r="E39" s="7" t="s">
        <v>167</v>
      </c>
      <c r="F39" s="7" t="s">
        <v>162</v>
      </c>
      <c r="G39" s="7" t="s">
        <v>260</v>
      </c>
      <c r="H39" s="7">
        <v>3113.92</v>
      </c>
      <c r="I39" s="7">
        <v>2672.08</v>
      </c>
      <c r="J39" s="7">
        <v>2977.16</v>
      </c>
      <c r="K39" s="7">
        <v>2850.92</v>
      </c>
      <c r="L39" s="7">
        <v>3166.52</v>
      </c>
      <c r="M39" s="7">
        <v>2787.8</v>
      </c>
      <c r="N39" s="7">
        <v>2840.4</v>
      </c>
      <c r="O39" s="7">
        <v>3345.36</v>
      </c>
      <c r="P39" s="7">
        <v>2703.64</v>
      </c>
      <c r="Q39" s="7">
        <v>3229.64</v>
      </c>
      <c r="R39" s="7">
        <v>2840.4</v>
      </c>
      <c r="S39" s="7">
        <v>2472.1999999999998</v>
      </c>
      <c r="T39" s="7">
        <f t="shared" si="2"/>
        <v>35000.04</v>
      </c>
    </row>
    <row r="40" spans="1:20">
      <c r="A40" t="s">
        <v>159</v>
      </c>
      <c r="B40" t="s">
        <v>159</v>
      </c>
      <c r="C40" t="s">
        <v>160</v>
      </c>
      <c r="D40" t="s">
        <v>190</v>
      </c>
      <c r="E40" s="7" t="s">
        <v>161</v>
      </c>
      <c r="F40" s="7" t="s">
        <v>162</v>
      </c>
      <c r="G40" s="7" t="s">
        <v>260</v>
      </c>
      <c r="H40" s="7">
        <v>6850.62</v>
      </c>
      <c r="I40" s="7">
        <v>5878.57</v>
      </c>
      <c r="J40" s="7">
        <v>6549.74</v>
      </c>
      <c r="K40" s="7">
        <v>6272.02</v>
      </c>
      <c r="L40" s="7">
        <v>6966.34</v>
      </c>
      <c r="M40" s="7">
        <v>6133.15</v>
      </c>
      <c r="N40" s="7">
        <v>6248.87</v>
      </c>
      <c r="O40" s="7">
        <v>7359.78</v>
      </c>
      <c r="P40" s="7">
        <v>5948</v>
      </c>
      <c r="Q40" s="7">
        <v>7105.2</v>
      </c>
      <c r="R40" s="7">
        <v>6248.87</v>
      </c>
      <c r="S40" s="7">
        <v>5438.83</v>
      </c>
      <c r="T40" s="7">
        <f t="shared" si="2"/>
        <v>76999.990000000005</v>
      </c>
    </row>
    <row r="41" spans="1:20">
      <c r="A41" t="s">
        <v>159</v>
      </c>
      <c r="B41" t="s">
        <v>159</v>
      </c>
      <c r="C41" t="s">
        <v>160</v>
      </c>
      <c r="D41" t="s">
        <v>190</v>
      </c>
      <c r="E41" s="7" t="s">
        <v>167</v>
      </c>
      <c r="F41" s="7" t="s">
        <v>162</v>
      </c>
      <c r="G41" s="7" t="s">
        <v>260</v>
      </c>
      <c r="H41" s="7">
        <v>533.80999999999995</v>
      </c>
      <c r="I41" s="7">
        <v>458.07</v>
      </c>
      <c r="J41" s="7">
        <v>510.37</v>
      </c>
      <c r="K41" s="7">
        <v>488.73</v>
      </c>
      <c r="L41" s="7">
        <v>542.83000000000004</v>
      </c>
      <c r="M41" s="7">
        <v>477.91</v>
      </c>
      <c r="N41" s="7">
        <v>486.93</v>
      </c>
      <c r="O41" s="7">
        <v>573.49</v>
      </c>
      <c r="P41" s="7">
        <v>463.48</v>
      </c>
      <c r="Q41" s="7">
        <v>553.65</v>
      </c>
      <c r="R41" s="7">
        <v>486.93</v>
      </c>
      <c r="S41" s="7">
        <v>423.81</v>
      </c>
      <c r="T41" s="7">
        <f t="shared" si="2"/>
        <v>6000.0099999999993</v>
      </c>
    </row>
    <row r="42" spans="1:20">
      <c r="A42" t="s">
        <v>159</v>
      </c>
      <c r="B42" t="s">
        <v>159</v>
      </c>
      <c r="C42" t="s">
        <v>160</v>
      </c>
      <c r="D42" t="s">
        <v>169</v>
      </c>
      <c r="E42" s="7" t="s">
        <v>161</v>
      </c>
      <c r="F42" s="7" t="s">
        <v>162</v>
      </c>
      <c r="G42" s="7" t="s">
        <v>260</v>
      </c>
      <c r="H42" s="7">
        <v>4867.08</v>
      </c>
      <c r="I42" s="7">
        <v>4071.75</v>
      </c>
      <c r="J42" s="7">
        <v>4420.2700000000004</v>
      </c>
      <c r="K42" s="7">
        <v>4178.72</v>
      </c>
      <c r="L42" s="7">
        <v>4598.88</v>
      </c>
      <c r="M42" s="7">
        <v>4183.21</v>
      </c>
      <c r="N42" s="7">
        <v>4265.7700000000004</v>
      </c>
      <c r="O42" s="7">
        <v>5023.2</v>
      </c>
      <c r="P42" s="7">
        <v>4395.2</v>
      </c>
      <c r="Q42" s="7">
        <v>4711.3</v>
      </c>
      <c r="R42" s="7">
        <v>4374.33</v>
      </c>
      <c r="S42" s="7">
        <v>3980.19</v>
      </c>
      <c r="T42" s="7">
        <f t="shared" si="2"/>
        <v>53069.9</v>
      </c>
    </row>
    <row r="43" spans="1:20">
      <c r="A43" t="s">
        <v>159</v>
      </c>
      <c r="B43" t="s">
        <v>159</v>
      </c>
      <c r="C43" t="s">
        <v>160</v>
      </c>
      <c r="D43" t="s">
        <v>169</v>
      </c>
      <c r="E43" s="7" t="s">
        <v>167</v>
      </c>
      <c r="F43" s="7" t="s">
        <v>162</v>
      </c>
      <c r="G43" s="7" t="s">
        <v>260</v>
      </c>
      <c r="H43" s="7">
        <v>1303.3399999999999</v>
      </c>
      <c r="I43" s="7">
        <v>1069.1300000000001</v>
      </c>
      <c r="J43" s="7">
        <v>1136.43</v>
      </c>
      <c r="K43" s="7">
        <v>1062.78</v>
      </c>
      <c r="L43" s="7">
        <v>1160.46</v>
      </c>
      <c r="M43" s="7">
        <v>1084.9000000000001</v>
      </c>
      <c r="N43" s="7">
        <v>1107.07</v>
      </c>
      <c r="O43" s="7">
        <v>1303.45</v>
      </c>
      <c r="P43" s="7">
        <v>1211.3399999999999</v>
      </c>
      <c r="Q43" s="7">
        <v>1193.3599999999999</v>
      </c>
      <c r="R43" s="7">
        <v>1158.1600000000001</v>
      </c>
      <c r="S43" s="7">
        <v>1089.4000000000001</v>
      </c>
      <c r="T43" s="7">
        <f t="shared" si="2"/>
        <v>13879.820000000002</v>
      </c>
    </row>
    <row r="44" spans="1:20">
      <c r="A44" t="s">
        <v>159</v>
      </c>
      <c r="B44" t="s">
        <v>159</v>
      </c>
      <c r="C44" t="s">
        <v>160</v>
      </c>
      <c r="D44" t="s">
        <v>192</v>
      </c>
      <c r="E44" s="7" t="s">
        <v>161</v>
      </c>
      <c r="F44" s="7" t="s">
        <v>162</v>
      </c>
      <c r="G44" s="7" t="s">
        <v>260</v>
      </c>
      <c r="H44" s="7">
        <v>3815.35</v>
      </c>
      <c r="I44" s="7">
        <v>3273.97</v>
      </c>
      <c r="J44" s="7">
        <v>3647.78</v>
      </c>
      <c r="K44" s="7">
        <v>3493.1</v>
      </c>
      <c r="L44" s="7">
        <v>3879.79</v>
      </c>
      <c r="M44" s="7">
        <v>3415.76</v>
      </c>
      <c r="N44" s="7">
        <v>3480.22</v>
      </c>
      <c r="O44" s="7">
        <v>4098.92</v>
      </c>
      <c r="P44" s="7">
        <v>3312.65</v>
      </c>
      <c r="Q44" s="7">
        <v>3957.14</v>
      </c>
      <c r="R44" s="7">
        <v>3480.22</v>
      </c>
      <c r="S44" s="7">
        <v>3029.07</v>
      </c>
      <c r="T44" s="7">
        <f t="shared" si="2"/>
        <v>42883.97</v>
      </c>
    </row>
    <row r="45" spans="1:20">
      <c r="A45" t="s">
        <v>159</v>
      </c>
      <c r="B45" t="s">
        <v>159</v>
      </c>
      <c r="C45" t="s">
        <v>160</v>
      </c>
      <c r="D45" t="s">
        <v>192</v>
      </c>
      <c r="E45" s="7" t="s">
        <v>167</v>
      </c>
      <c r="F45" s="7" t="s">
        <v>162</v>
      </c>
      <c r="G45" s="7" t="s">
        <v>260</v>
      </c>
      <c r="H45" s="7">
        <v>829.42</v>
      </c>
      <c r="I45" s="7">
        <v>711.74</v>
      </c>
      <c r="J45" s="7">
        <v>792.99</v>
      </c>
      <c r="K45" s="7">
        <v>759.37</v>
      </c>
      <c r="L45" s="7">
        <v>843.43</v>
      </c>
      <c r="M45" s="7">
        <v>742.56</v>
      </c>
      <c r="N45" s="7">
        <v>756.57</v>
      </c>
      <c r="O45" s="7">
        <v>891.07</v>
      </c>
      <c r="P45" s="7">
        <v>720.14</v>
      </c>
      <c r="Q45" s="7">
        <v>860.25</v>
      </c>
      <c r="R45" s="7">
        <v>756.57</v>
      </c>
      <c r="S45" s="7">
        <v>658.49</v>
      </c>
      <c r="T45" s="7">
        <f t="shared" si="2"/>
        <v>9322.5999999999985</v>
      </c>
    </row>
    <row r="46" spans="1:20">
      <c r="A46" t="s">
        <v>159</v>
      </c>
      <c r="B46" t="s">
        <v>159</v>
      </c>
      <c r="C46" t="s">
        <v>160</v>
      </c>
      <c r="D46" t="s">
        <v>215</v>
      </c>
      <c r="E46" s="7" t="s">
        <v>161</v>
      </c>
      <c r="F46" s="7" t="s">
        <v>162</v>
      </c>
      <c r="G46" s="7" t="s">
        <v>260</v>
      </c>
      <c r="H46" s="7">
        <v>57474</v>
      </c>
      <c r="I46" s="7">
        <v>49318.91</v>
      </c>
      <c r="J46" s="7">
        <v>54949.8</v>
      </c>
      <c r="K46" s="7">
        <v>52619.78</v>
      </c>
      <c r="L46" s="7">
        <v>58444.85</v>
      </c>
      <c r="M46" s="7">
        <v>51454.76</v>
      </c>
      <c r="N46" s="7">
        <v>52425.61</v>
      </c>
      <c r="O46" s="7">
        <v>61745.72</v>
      </c>
      <c r="P46" s="7">
        <v>49901.41</v>
      </c>
      <c r="Q46" s="7">
        <v>59609.86</v>
      </c>
      <c r="R46" s="7">
        <v>52425.61</v>
      </c>
      <c r="S46" s="7">
        <v>45629.7</v>
      </c>
      <c r="T46" s="7">
        <f t="shared" si="2"/>
        <v>646000.01</v>
      </c>
    </row>
    <row r="47" spans="1:20">
      <c r="A47" t="s">
        <v>159</v>
      </c>
      <c r="B47" t="s">
        <v>159</v>
      </c>
      <c r="C47" t="s">
        <v>160</v>
      </c>
      <c r="D47" t="s">
        <v>215</v>
      </c>
      <c r="E47" s="7" t="s">
        <v>167</v>
      </c>
      <c r="F47" s="7" t="s">
        <v>162</v>
      </c>
      <c r="G47" s="7" t="s">
        <v>260</v>
      </c>
      <c r="H47" s="7">
        <v>10676.28</v>
      </c>
      <c r="I47" s="7">
        <v>9161.41</v>
      </c>
      <c r="J47" s="7">
        <v>10207.39</v>
      </c>
      <c r="K47" s="7">
        <v>9774.57</v>
      </c>
      <c r="L47" s="7">
        <v>10856.63</v>
      </c>
      <c r="M47" s="7">
        <v>9558.16</v>
      </c>
      <c r="N47" s="7">
        <v>9738.5</v>
      </c>
      <c r="O47" s="7">
        <v>11469.79</v>
      </c>
      <c r="P47" s="7">
        <v>9269.61</v>
      </c>
      <c r="Q47" s="7">
        <v>11073.04</v>
      </c>
      <c r="R47" s="7">
        <v>9738.5</v>
      </c>
      <c r="S47" s="7">
        <v>8476.1</v>
      </c>
      <c r="T47" s="7">
        <f t="shared" si="2"/>
        <v>119999.98000000001</v>
      </c>
    </row>
    <row r="48" spans="1:20">
      <c r="A48" t="s">
        <v>159</v>
      </c>
      <c r="B48" t="s">
        <v>159</v>
      </c>
      <c r="C48" t="s">
        <v>160</v>
      </c>
      <c r="D48" t="s">
        <v>216</v>
      </c>
      <c r="E48" s="7" t="s">
        <v>187</v>
      </c>
      <c r="F48" s="7" t="s">
        <v>218</v>
      </c>
      <c r="G48" s="7" t="s">
        <v>260</v>
      </c>
      <c r="H48" s="7">
        <v>-10480.950000000001</v>
      </c>
      <c r="I48" s="7">
        <v>-29094.26</v>
      </c>
      <c r="J48" s="7">
        <v>-21165.119999999999</v>
      </c>
      <c r="K48" s="7">
        <v>-14892.35</v>
      </c>
      <c r="L48" s="7">
        <v>-7095.27</v>
      </c>
      <c r="M48" s="7">
        <v>-11080.97</v>
      </c>
      <c r="N48" s="7">
        <v>-8573.2900000000009</v>
      </c>
      <c r="O48" s="7">
        <v>-12642.36</v>
      </c>
      <c r="P48" s="7">
        <v>-12640.45</v>
      </c>
      <c r="Q48" s="7">
        <v>-12639.65</v>
      </c>
      <c r="R48" s="7">
        <v>-12642.29</v>
      </c>
      <c r="S48" s="7">
        <v>-12640.05</v>
      </c>
      <c r="T48" s="7">
        <f t="shared" si="2"/>
        <v>-165587.01</v>
      </c>
    </row>
    <row r="49" spans="1:20">
      <c r="A49" t="s">
        <v>159</v>
      </c>
      <c r="B49" t="s">
        <v>159</v>
      </c>
      <c r="C49" t="s">
        <v>160</v>
      </c>
      <c r="D49" t="s">
        <v>168</v>
      </c>
      <c r="E49" s="7" t="s">
        <v>161</v>
      </c>
      <c r="F49" s="7" t="s">
        <v>162</v>
      </c>
      <c r="G49" s="7" t="s">
        <v>260</v>
      </c>
      <c r="H49" s="7">
        <v>3559.57</v>
      </c>
      <c r="I49" s="7">
        <v>2669.68</v>
      </c>
      <c r="J49" s="7">
        <v>2546.9299999999998</v>
      </c>
      <c r="K49" s="7">
        <v>2240.0700000000002</v>
      </c>
      <c r="L49" s="7">
        <v>2332.13</v>
      </c>
      <c r="M49" s="7">
        <v>2546.9299999999998</v>
      </c>
      <c r="N49" s="7">
        <v>2608.3000000000002</v>
      </c>
      <c r="O49" s="7">
        <v>3068.59</v>
      </c>
      <c r="P49" s="7">
        <v>3713</v>
      </c>
      <c r="Q49" s="7">
        <v>2454.87</v>
      </c>
      <c r="R49" s="7">
        <v>3007.22</v>
      </c>
      <c r="S49" s="7">
        <v>3252.71</v>
      </c>
      <c r="T49" s="7">
        <f t="shared" si="2"/>
        <v>34000</v>
      </c>
    </row>
    <row r="50" spans="1:20">
      <c r="A50" t="s">
        <v>159</v>
      </c>
      <c r="B50" t="s">
        <v>159</v>
      </c>
      <c r="C50" t="s">
        <v>160</v>
      </c>
      <c r="D50" t="s">
        <v>168</v>
      </c>
      <c r="E50" s="7" t="s">
        <v>167</v>
      </c>
      <c r="F50" s="7" t="s">
        <v>162</v>
      </c>
      <c r="G50" s="7" t="s">
        <v>260</v>
      </c>
      <c r="H50" s="7">
        <v>1675.09</v>
      </c>
      <c r="I50" s="7">
        <v>1256.32</v>
      </c>
      <c r="J50" s="7">
        <v>1198.56</v>
      </c>
      <c r="K50" s="7">
        <v>1054.1500000000001</v>
      </c>
      <c r="L50" s="7">
        <v>1097.47</v>
      </c>
      <c r="M50" s="7">
        <v>1198.56</v>
      </c>
      <c r="N50" s="7">
        <v>1227.44</v>
      </c>
      <c r="O50" s="7">
        <v>1444.04</v>
      </c>
      <c r="P50" s="7">
        <v>1747.29</v>
      </c>
      <c r="Q50" s="7">
        <v>1155.23</v>
      </c>
      <c r="R50" s="7">
        <v>1415.16</v>
      </c>
      <c r="S50" s="7">
        <v>1530.69</v>
      </c>
      <c r="T50" s="7">
        <f t="shared" si="2"/>
        <v>16000.000000000002</v>
      </c>
    </row>
    <row r="51" spans="1:20">
      <c r="A51" t="s">
        <v>159</v>
      </c>
      <c r="B51" t="s">
        <v>159</v>
      </c>
      <c r="C51" t="s">
        <v>160</v>
      </c>
      <c r="D51" t="s">
        <v>170</v>
      </c>
      <c r="E51" s="7" t="s">
        <v>161</v>
      </c>
      <c r="F51" s="7" t="s">
        <v>162</v>
      </c>
      <c r="G51" s="7" t="s">
        <v>260</v>
      </c>
      <c r="H51" s="7">
        <v>317.23</v>
      </c>
      <c r="I51" s="7">
        <v>237.92</v>
      </c>
      <c r="J51" s="7">
        <v>226.98</v>
      </c>
      <c r="K51" s="7">
        <v>199.64</v>
      </c>
      <c r="L51" s="7">
        <v>207.84</v>
      </c>
      <c r="M51" s="7">
        <v>226.98</v>
      </c>
      <c r="N51" s="7">
        <v>232.45</v>
      </c>
      <c r="O51" s="7">
        <v>273.47000000000003</v>
      </c>
      <c r="P51" s="7">
        <v>330.9</v>
      </c>
      <c r="Q51" s="7">
        <v>218.78</v>
      </c>
      <c r="R51" s="7">
        <v>268</v>
      </c>
      <c r="S51" s="7">
        <v>289.88</v>
      </c>
      <c r="T51" s="7">
        <f t="shared" si="2"/>
        <v>3030.07</v>
      </c>
    </row>
    <row r="52" spans="1:20">
      <c r="A52" t="s">
        <v>159</v>
      </c>
      <c r="B52" t="s">
        <v>159</v>
      </c>
      <c r="C52" t="s">
        <v>160</v>
      </c>
      <c r="D52" t="s">
        <v>170</v>
      </c>
      <c r="E52" s="7" t="s">
        <v>167</v>
      </c>
      <c r="F52" s="7" t="s">
        <v>162</v>
      </c>
      <c r="G52" s="7" t="s">
        <v>260</v>
      </c>
      <c r="H52" s="7">
        <v>149.28</v>
      </c>
      <c r="I52" s="7">
        <v>111.96</v>
      </c>
      <c r="J52" s="7">
        <v>106.82</v>
      </c>
      <c r="K52" s="7">
        <v>93.95</v>
      </c>
      <c r="L52" s="7">
        <v>97.81</v>
      </c>
      <c r="M52" s="7">
        <v>106.82</v>
      </c>
      <c r="N52" s="7">
        <v>109.39</v>
      </c>
      <c r="O52" s="7">
        <v>128.69</v>
      </c>
      <c r="P52" s="7">
        <v>155.72</v>
      </c>
      <c r="Q52" s="7">
        <v>102.95</v>
      </c>
      <c r="R52" s="7">
        <v>126.12</v>
      </c>
      <c r="S52" s="7">
        <v>136.41999999999999</v>
      </c>
      <c r="T52" s="7">
        <f t="shared" si="2"/>
        <v>1425.9299999999998</v>
      </c>
    </row>
    <row r="53" spans="1:20">
      <c r="A53" t="s">
        <v>159</v>
      </c>
      <c r="B53" t="s">
        <v>159</v>
      </c>
      <c r="C53" t="s">
        <v>193</v>
      </c>
      <c r="D53" t="s">
        <v>216</v>
      </c>
      <c r="E53" s="7" t="s">
        <v>187</v>
      </c>
      <c r="F53" s="7" t="s">
        <v>219</v>
      </c>
      <c r="G53" s="7" t="s">
        <v>260</v>
      </c>
      <c r="H53" s="7">
        <v>26.54</v>
      </c>
      <c r="I53" s="7">
        <v>-1720.82</v>
      </c>
      <c r="J53" s="7">
        <v>-0.08</v>
      </c>
      <c r="K53" s="7">
        <v>-4588.18</v>
      </c>
      <c r="L53" s="7">
        <v>-289.92</v>
      </c>
      <c r="M53" s="7">
        <v>-15.23</v>
      </c>
      <c r="N53" s="7">
        <v>-256.69</v>
      </c>
      <c r="O53" s="7">
        <v>-0.28000000000000003</v>
      </c>
      <c r="P53" s="7">
        <v>-0.3</v>
      </c>
      <c r="Q53" s="7">
        <v>0.13</v>
      </c>
      <c r="R53" s="7">
        <v>0.31</v>
      </c>
      <c r="S53" s="7">
        <v>-0.49</v>
      </c>
      <c r="T53" s="7">
        <f t="shared" si="2"/>
        <v>-6845.0099999999984</v>
      </c>
    </row>
    <row r="54" spans="1:20">
      <c r="A54" t="s">
        <v>159</v>
      </c>
      <c r="B54" t="s">
        <v>159</v>
      </c>
      <c r="C54" t="s">
        <v>220</v>
      </c>
      <c r="D54" t="s">
        <v>216</v>
      </c>
      <c r="E54" s="7" t="s">
        <v>187</v>
      </c>
      <c r="F54" s="7" t="s">
        <v>221</v>
      </c>
      <c r="G54" s="7" t="s">
        <v>260</v>
      </c>
      <c r="H54" s="7">
        <v>27645</v>
      </c>
      <c r="I54" s="7">
        <v>16929</v>
      </c>
      <c r="J54" s="7">
        <v>26328</v>
      </c>
      <c r="K54" s="7">
        <v>21264</v>
      </c>
      <c r="L54" s="7">
        <v>32600</v>
      </c>
      <c r="M54" s="7">
        <v>26306</v>
      </c>
      <c r="N54" s="7">
        <v>12291</v>
      </c>
      <c r="O54" s="7">
        <v>24863</v>
      </c>
      <c r="P54" s="7">
        <v>24859</v>
      </c>
      <c r="Q54" s="7">
        <v>24859</v>
      </c>
      <c r="R54" s="7">
        <v>24863</v>
      </c>
      <c r="S54" s="7">
        <v>24858</v>
      </c>
      <c r="T54" s="7">
        <f t="shared" si="2"/>
        <v>287665</v>
      </c>
    </row>
    <row r="55" spans="1:20">
      <c r="A55" t="s">
        <v>159</v>
      </c>
      <c r="B55" t="s">
        <v>159</v>
      </c>
      <c r="C55" t="s">
        <v>222</v>
      </c>
      <c r="D55" t="s">
        <v>216</v>
      </c>
      <c r="E55" s="7" t="s">
        <v>187</v>
      </c>
      <c r="F55" s="7" t="s">
        <v>223</v>
      </c>
      <c r="G55" s="7" t="s">
        <v>260</v>
      </c>
      <c r="H55" s="7">
        <v>-3546.02</v>
      </c>
      <c r="I55" s="7">
        <v>-5635.08</v>
      </c>
      <c r="J55" s="7">
        <v>-10522.94</v>
      </c>
      <c r="K55" s="7">
        <v>-7520.1</v>
      </c>
      <c r="L55" s="7">
        <v>-7208.2</v>
      </c>
      <c r="M55" s="7">
        <v>-6340.69</v>
      </c>
      <c r="N55" s="7">
        <v>-3307.87</v>
      </c>
      <c r="O55" s="7">
        <v>-6321.22</v>
      </c>
      <c r="P55" s="7">
        <v>-6319.79</v>
      </c>
      <c r="Q55" s="7">
        <v>-6319.62</v>
      </c>
      <c r="R55" s="7">
        <v>-6320.87</v>
      </c>
      <c r="S55" s="7">
        <v>-6319.59</v>
      </c>
      <c r="T55" s="7">
        <f t="shared" si="2"/>
        <v>-75681.990000000005</v>
      </c>
    </row>
    <row r="56" spans="1:20">
      <c r="A56" t="s">
        <v>163</v>
      </c>
      <c r="B56" t="s">
        <v>189</v>
      </c>
      <c r="C56" t="s">
        <v>160</v>
      </c>
      <c r="D56" t="s">
        <v>191</v>
      </c>
      <c r="E56" s="7" t="s">
        <v>164</v>
      </c>
      <c r="F56" s="7" t="s">
        <v>162</v>
      </c>
      <c r="G56" s="7" t="s">
        <v>260</v>
      </c>
      <c r="H56" s="7">
        <v>3000</v>
      </c>
      <c r="I56" s="7">
        <v>1000</v>
      </c>
      <c r="J56" s="7">
        <v>2000</v>
      </c>
      <c r="K56" s="7">
        <v>1000</v>
      </c>
      <c r="L56" s="7">
        <v>1000</v>
      </c>
      <c r="M56" s="7">
        <v>0</v>
      </c>
      <c r="N56" s="7">
        <v>1000</v>
      </c>
      <c r="O56" s="7">
        <v>0</v>
      </c>
      <c r="P56" s="7">
        <v>1000</v>
      </c>
      <c r="Q56" s="7">
        <v>1000</v>
      </c>
      <c r="R56" s="7">
        <v>1000</v>
      </c>
      <c r="S56" s="7">
        <v>1000</v>
      </c>
      <c r="T56" s="7">
        <f t="shared" si="2"/>
        <v>13000</v>
      </c>
    </row>
    <row r="57" spans="1:20">
      <c r="A57" t="s">
        <v>163</v>
      </c>
      <c r="B57" t="s">
        <v>189</v>
      </c>
      <c r="C57" t="s">
        <v>160</v>
      </c>
      <c r="D57" t="s">
        <v>156</v>
      </c>
      <c r="E57" s="7" t="s">
        <v>164</v>
      </c>
      <c r="F57" s="7" t="s">
        <v>162</v>
      </c>
      <c r="G57" s="7" t="s">
        <v>260</v>
      </c>
      <c r="H57" s="7">
        <v>3000</v>
      </c>
      <c r="I57" s="7">
        <v>3000</v>
      </c>
      <c r="J57" s="7">
        <v>1000</v>
      </c>
      <c r="K57" s="7">
        <v>3000</v>
      </c>
      <c r="L57" s="7">
        <v>3000</v>
      </c>
      <c r="M57" s="7">
        <v>3000</v>
      </c>
      <c r="N57" s="7">
        <v>1000</v>
      </c>
      <c r="O57" s="7">
        <v>3000</v>
      </c>
      <c r="P57" s="7">
        <v>3000</v>
      </c>
      <c r="Q57" s="7">
        <v>1000</v>
      </c>
      <c r="R57" s="7">
        <v>3000</v>
      </c>
      <c r="S57" s="7">
        <v>3000</v>
      </c>
      <c r="T57" s="7">
        <f t="shared" si="2"/>
        <v>30000</v>
      </c>
    </row>
    <row r="58" spans="1:20">
      <c r="A58" t="s">
        <v>163</v>
      </c>
      <c r="B58" t="s">
        <v>189</v>
      </c>
      <c r="C58" t="s">
        <v>160</v>
      </c>
      <c r="D58" t="s">
        <v>190</v>
      </c>
      <c r="E58" s="7" t="s">
        <v>164</v>
      </c>
      <c r="F58" s="7" t="s">
        <v>162</v>
      </c>
      <c r="G58" s="7" t="s">
        <v>260</v>
      </c>
      <c r="H58" s="7">
        <v>1000</v>
      </c>
      <c r="I58" s="7">
        <v>0</v>
      </c>
      <c r="J58" s="7">
        <v>1000</v>
      </c>
      <c r="K58" s="7">
        <v>0</v>
      </c>
      <c r="L58" s="7">
        <v>0</v>
      </c>
      <c r="M58" s="7">
        <v>1000</v>
      </c>
      <c r="N58" s="7">
        <v>1000</v>
      </c>
      <c r="O58" s="7">
        <v>0</v>
      </c>
      <c r="P58" s="7">
        <v>0</v>
      </c>
      <c r="Q58" s="7">
        <v>1000</v>
      </c>
      <c r="R58" s="7">
        <v>0</v>
      </c>
      <c r="S58" s="7">
        <v>0</v>
      </c>
      <c r="T58" s="7">
        <f t="shared" si="2"/>
        <v>5000</v>
      </c>
    </row>
    <row r="59" spans="1:20">
      <c r="A59" t="s">
        <v>163</v>
      </c>
      <c r="B59" t="s">
        <v>189</v>
      </c>
      <c r="C59" t="s">
        <v>160</v>
      </c>
      <c r="D59" t="s">
        <v>169</v>
      </c>
      <c r="E59" s="7" t="s">
        <v>164</v>
      </c>
      <c r="F59" s="7" t="s">
        <v>162</v>
      </c>
      <c r="G59" s="7" t="s">
        <v>260</v>
      </c>
      <c r="H59" s="7">
        <v>358</v>
      </c>
      <c r="I59" s="7">
        <v>119</v>
      </c>
      <c r="J59" s="7">
        <v>239</v>
      </c>
      <c r="K59" s="7">
        <v>119</v>
      </c>
      <c r="L59" s="7">
        <v>119</v>
      </c>
      <c r="M59" s="7">
        <v>0</v>
      </c>
      <c r="N59" s="7">
        <v>119</v>
      </c>
      <c r="O59" s="7">
        <v>0</v>
      </c>
      <c r="P59" s="7">
        <v>119</v>
      </c>
      <c r="Q59" s="7">
        <v>119</v>
      </c>
      <c r="R59" s="7">
        <v>119</v>
      </c>
      <c r="S59" s="7">
        <v>119</v>
      </c>
      <c r="T59" s="7">
        <f t="shared" si="2"/>
        <v>1549</v>
      </c>
    </row>
    <row r="60" spans="1:20">
      <c r="A60" t="s">
        <v>163</v>
      </c>
      <c r="B60" t="s">
        <v>189</v>
      </c>
      <c r="C60" t="s">
        <v>160</v>
      </c>
      <c r="D60" t="s">
        <v>192</v>
      </c>
      <c r="E60" s="7" t="s">
        <v>164</v>
      </c>
      <c r="F60" s="7" t="s">
        <v>162</v>
      </c>
      <c r="G60" s="7" t="s">
        <v>260</v>
      </c>
      <c r="H60" s="7">
        <v>799.08</v>
      </c>
      <c r="I60" s="7">
        <v>266.36</v>
      </c>
      <c r="J60" s="7">
        <v>532.72</v>
      </c>
      <c r="K60" s="7">
        <v>266.36</v>
      </c>
      <c r="L60" s="7">
        <v>266.36</v>
      </c>
      <c r="M60" s="7">
        <v>0</v>
      </c>
      <c r="N60" s="7">
        <v>266.36</v>
      </c>
      <c r="O60" s="7">
        <v>0</v>
      </c>
      <c r="P60" s="7">
        <v>266.36</v>
      </c>
      <c r="Q60" s="7">
        <v>266.36</v>
      </c>
      <c r="R60" s="7">
        <v>266.36</v>
      </c>
      <c r="S60" s="7">
        <v>266.36</v>
      </c>
      <c r="T60" s="7">
        <f t="shared" si="2"/>
        <v>3462.6800000000007</v>
      </c>
    </row>
    <row r="61" spans="1:20">
      <c r="A61" t="s">
        <v>165</v>
      </c>
      <c r="B61" t="s">
        <v>224</v>
      </c>
      <c r="C61" t="s">
        <v>160</v>
      </c>
      <c r="D61" t="s">
        <v>191</v>
      </c>
      <c r="E61" s="7" t="s">
        <v>166</v>
      </c>
      <c r="F61" s="7" t="s">
        <v>162</v>
      </c>
      <c r="G61" s="7" t="s">
        <v>260</v>
      </c>
      <c r="H61" s="7">
        <v>1000</v>
      </c>
      <c r="I61" s="7">
        <v>1000</v>
      </c>
      <c r="J61" s="7">
        <v>1000</v>
      </c>
      <c r="K61" s="7">
        <v>1000</v>
      </c>
      <c r="L61" s="7">
        <v>1000</v>
      </c>
      <c r="M61" s="7">
        <v>1000</v>
      </c>
      <c r="N61" s="7">
        <v>1000</v>
      </c>
      <c r="O61" s="7">
        <v>1000</v>
      </c>
      <c r="P61" s="7">
        <v>1000</v>
      </c>
      <c r="Q61" s="7">
        <v>1000</v>
      </c>
      <c r="R61" s="7">
        <v>1000</v>
      </c>
      <c r="S61" s="7">
        <v>1000</v>
      </c>
      <c r="T61" s="7">
        <f t="shared" si="2"/>
        <v>12000</v>
      </c>
    </row>
    <row r="62" spans="1:20">
      <c r="A62" t="s">
        <v>165</v>
      </c>
      <c r="B62" t="s">
        <v>224</v>
      </c>
      <c r="C62" t="s">
        <v>160</v>
      </c>
      <c r="D62" t="s">
        <v>190</v>
      </c>
      <c r="E62" s="7" t="s">
        <v>166</v>
      </c>
      <c r="F62" s="7" t="s">
        <v>162</v>
      </c>
      <c r="G62" s="7" t="s">
        <v>260</v>
      </c>
      <c r="H62" s="7">
        <v>0</v>
      </c>
      <c r="I62" s="7">
        <v>0</v>
      </c>
      <c r="J62" s="7">
        <v>1000</v>
      </c>
      <c r="K62" s="7">
        <v>0</v>
      </c>
      <c r="L62" s="7">
        <v>0</v>
      </c>
      <c r="M62" s="7">
        <v>1000</v>
      </c>
      <c r="N62" s="7">
        <v>0</v>
      </c>
      <c r="O62" s="7">
        <v>0</v>
      </c>
      <c r="P62" s="7">
        <v>1000</v>
      </c>
      <c r="Q62" s="7">
        <v>0</v>
      </c>
      <c r="R62" s="7">
        <v>0</v>
      </c>
      <c r="S62" s="7">
        <v>1000</v>
      </c>
      <c r="T62" s="7">
        <f t="shared" si="2"/>
        <v>4000</v>
      </c>
    </row>
    <row r="63" spans="1:20">
      <c r="A63" t="s">
        <v>165</v>
      </c>
      <c r="B63" t="s">
        <v>224</v>
      </c>
      <c r="C63" t="s">
        <v>160</v>
      </c>
      <c r="D63" t="s">
        <v>169</v>
      </c>
      <c r="E63" s="7" t="s">
        <v>166</v>
      </c>
      <c r="F63" s="7" t="s">
        <v>162</v>
      </c>
      <c r="G63" s="7" t="s">
        <v>260</v>
      </c>
      <c r="H63" s="7">
        <v>126.86</v>
      </c>
      <c r="I63" s="7">
        <v>126.86</v>
      </c>
      <c r="J63" s="7">
        <v>126.86</v>
      </c>
      <c r="K63" s="7">
        <v>126.86</v>
      </c>
      <c r="L63" s="7">
        <v>126.86</v>
      </c>
      <c r="M63" s="7">
        <v>126.86</v>
      </c>
      <c r="N63" s="7">
        <v>126.86</v>
      </c>
      <c r="O63" s="7">
        <v>126.86</v>
      </c>
      <c r="P63" s="7">
        <v>126.86</v>
      </c>
      <c r="Q63" s="7">
        <v>126.86</v>
      </c>
      <c r="R63" s="7">
        <v>126.86</v>
      </c>
      <c r="S63" s="7">
        <v>126.86</v>
      </c>
      <c r="T63" s="7">
        <f t="shared" si="2"/>
        <v>1522.3199999999997</v>
      </c>
    </row>
    <row r="64" spans="1:20">
      <c r="A64" t="s">
        <v>165</v>
      </c>
      <c r="B64" t="s">
        <v>224</v>
      </c>
      <c r="C64" t="s">
        <v>160</v>
      </c>
      <c r="D64" t="s">
        <v>192</v>
      </c>
      <c r="E64" s="7" t="s">
        <v>166</v>
      </c>
      <c r="F64" s="7" t="s">
        <v>162</v>
      </c>
      <c r="G64" s="7" t="s">
        <v>260</v>
      </c>
      <c r="H64" s="7">
        <v>266.36</v>
      </c>
      <c r="I64" s="7">
        <v>266.36</v>
      </c>
      <c r="J64" s="7">
        <v>266.36</v>
      </c>
      <c r="K64" s="7">
        <v>266.36</v>
      </c>
      <c r="L64" s="7">
        <v>266.36</v>
      </c>
      <c r="M64" s="7">
        <v>266.36</v>
      </c>
      <c r="N64" s="7">
        <v>266.36</v>
      </c>
      <c r="O64" s="7">
        <v>266.36</v>
      </c>
      <c r="P64" s="7">
        <v>266.36</v>
      </c>
      <c r="Q64" s="7">
        <v>266.36</v>
      </c>
      <c r="R64" s="7">
        <v>266.36</v>
      </c>
      <c r="S64" s="7">
        <v>266.36</v>
      </c>
      <c r="T64" s="7">
        <f t="shared" si="2"/>
        <v>3196.3200000000011</v>
      </c>
    </row>
    <row r="65" spans="1:20">
      <c r="A65" t="s">
        <v>225</v>
      </c>
      <c r="B65" t="s">
        <v>225</v>
      </c>
      <c r="C65" t="s">
        <v>226</v>
      </c>
      <c r="D65" t="s">
        <v>216</v>
      </c>
      <c r="E65" s="7" t="s">
        <v>227</v>
      </c>
      <c r="F65" s="7" t="s">
        <v>228</v>
      </c>
      <c r="G65" s="7" t="s">
        <v>260</v>
      </c>
      <c r="H65" s="37">
        <v>291728.99</v>
      </c>
      <c r="I65" s="37">
        <v>291728.99</v>
      </c>
      <c r="J65" s="37">
        <v>291728.99</v>
      </c>
      <c r="K65" s="37">
        <v>291728.99</v>
      </c>
      <c r="L65" s="37">
        <v>291728.99</v>
      </c>
      <c r="M65" s="37">
        <v>291728.99</v>
      </c>
      <c r="N65" s="37">
        <v>291728.99</v>
      </c>
      <c r="O65" s="37">
        <v>291728.99</v>
      </c>
      <c r="P65" s="37">
        <v>291728.99</v>
      </c>
      <c r="Q65" s="37">
        <v>291728.99</v>
      </c>
      <c r="R65" s="37">
        <v>291728.99</v>
      </c>
      <c r="S65" s="37">
        <v>291728.99</v>
      </c>
      <c r="T65" s="37">
        <f t="shared" si="2"/>
        <v>3500747.8800000008</v>
      </c>
    </row>
    <row r="66" spans="1:20">
      <c r="C66" s="2"/>
      <c r="D66" s="2" t="s">
        <v>261</v>
      </c>
      <c r="E66" s="34"/>
      <c r="F66" s="34"/>
      <c r="G66" s="34"/>
      <c r="H66" s="34">
        <f t="shared" ref="H66:T66" si="3">SUM(H35:H65)</f>
        <v>433939.63999999996</v>
      </c>
      <c r="I66" s="34">
        <f t="shared" si="3"/>
        <v>358288.83999999997</v>
      </c>
      <c r="J66" s="34">
        <f t="shared" si="3"/>
        <v>392624.39</v>
      </c>
      <c r="K66" s="34">
        <f t="shared" si="3"/>
        <v>333938.59000000003</v>
      </c>
      <c r="L66" s="34">
        <f t="shared" si="3"/>
        <v>433065.33999999997</v>
      </c>
      <c r="M66" s="34">
        <f t="shared" si="3"/>
        <v>406023.41</v>
      </c>
      <c r="N66" s="34">
        <f t="shared" si="3"/>
        <v>397006.22</v>
      </c>
      <c r="O66" s="34">
        <f t="shared" si="3"/>
        <v>424567.01999999996</v>
      </c>
      <c r="P66" s="34">
        <f t="shared" si="3"/>
        <v>413838.97</v>
      </c>
      <c r="Q66" s="34">
        <f t="shared" si="3"/>
        <v>444309.14999999997</v>
      </c>
      <c r="R66" s="34">
        <f t="shared" si="3"/>
        <v>406230.79</v>
      </c>
      <c r="S66" s="34">
        <f t="shared" si="3"/>
        <v>406258.18</v>
      </c>
      <c r="T66" s="34">
        <f t="shared" si="3"/>
        <v>4850090.540000001</v>
      </c>
    </row>
    <row r="68" spans="1:20">
      <c r="A68" t="s">
        <v>154</v>
      </c>
      <c r="B68" t="s">
        <v>154</v>
      </c>
      <c r="C68" t="s">
        <v>155</v>
      </c>
      <c r="D68" t="s">
        <v>215</v>
      </c>
      <c r="E68" s="7" t="s">
        <v>157</v>
      </c>
      <c r="F68" s="7" t="s">
        <v>158</v>
      </c>
      <c r="G68" s="7" t="s">
        <v>262</v>
      </c>
      <c r="H68" s="7">
        <v>6000</v>
      </c>
      <c r="I68" s="7">
        <v>6000</v>
      </c>
      <c r="J68" s="7">
        <v>8000</v>
      </c>
      <c r="K68" s="7">
        <v>11000</v>
      </c>
      <c r="L68" s="7">
        <v>12000</v>
      </c>
      <c r="M68" s="7">
        <v>13000</v>
      </c>
      <c r="N68" s="7">
        <v>13000</v>
      </c>
      <c r="O68" s="7">
        <v>16000</v>
      </c>
      <c r="P68" s="7">
        <v>11000</v>
      </c>
      <c r="Q68" s="7">
        <v>11000</v>
      </c>
      <c r="R68" s="7">
        <v>11000</v>
      </c>
      <c r="S68" s="7">
        <v>10000</v>
      </c>
      <c r="T68" s="7">
        <f>SUM(H68:S68)</f>
        <v>128000</v>
      </c>
    </row>
    <row r="69" spans="1:20">
      <c r="A69" t="s">
        <v>159</v>
      </c>
      <c r="B69" t="s">
        <v>159</v>
      </c>
      <c r="C69" t="s">
        <v>155</v>
      </c>
      <c r="D69" t="s">
        <v>216</v>
      </c>
      <c r="E69" s="7" t="s">
        <v>187</v>
      </c>
      <c r="F69" s="7" t="s">
        <v>217</v>
      </c>
      <c r="G69" s="7" t="s">
        <v>262</v>
      </c>
      <c r="H69" s="7">
        <v>-3068.61</v>
      </c>
      <c r="I69" s="7">
        <v>-1881.7</v>
      </c>
      <c r="J69" s="7">
        <v>-536.45000000000005</v>
      </c>
      <c r="K69" s="7">
        <v>-2332.19</v>
      </c>
      <c r="L69" s="7">
        <v>-1806.6</v>
      </c>
      <c r="M69" s="7">
        <v>-166.66</v>
      </c>
      <c r="N69" s="7">
        <v>-463.85</v>
      </c>
      <c r="O69" s="7">
        <v>-1283.6099999999999</v>
      </c>
      <c r="P69" s="7">
        <v>-1284.78</v>
      </c>
      <c r="Q69" s="7">
        <v>-1284.5999999999999</v>
      </c>
      <c r="R69" s="7">
        <v>-1284.33</v>
      </c>
      <c r="S69" s="7">
        <v>-1284.6300000000001</v>
      </c>
      <c r="T69" s="7">
        <f t="shared" ref="T69:T98" si="4">SUM(H69:S69)</f>
        <v>-16678.010000000002</v>
      </c>
    </row>
    <row r="70" spans="1:20">
      <c r="A70" t="s">
        <v>159</v>
      </c>
      <c r="B70" t="s">
        <v>159</v>
      </c>
      <c r="C70" t="s">
        <v>186</v>
      </c>
      <c r="D70" t="s">
        <v>216</v>
      </c>
      <c r="E70" s="7" t="s">
        <v>187</v>
      </c>
      <c r="F70" s="7" t="s">
        <v>188</v>
      </c>
      <c r="G70" s="7" t="s">
        <v>262</v>
      </c>
      <c r="H70" s="7">
        <v>6701</v>
      </c>
      <c r="I70" s="7">
        <v>-17562</v>
      </c>
      <c r="J70" s="7">
        <v>-11695</v>
      </c>
      <c r="K70" s="7">
        <v>-66704</v>
      </c>
      <c r="L70" s="7">
        <v>-1498</v>
      </c>
      <c r="M70" s="7">
        <v>-10861</v>
      </c>
      <c r="N70" s="7">
        <v>-10090</v>
      </c>
      <c r="O70" s="7">
        <v>-6507</v>
      </c>
      <c r="P70" s="7">
        <v>3471</v>
      </c>
      <c r="Q70" s="7">
        <v>21695</v>
      </c>
      <c r="R70" s="7">
        <v>-6507</v>
      </c>
      <c r="S70" s="7">
        <v>6509</v>
      </c>
      <c r="T70" s="7">
        <f t="shared" si="4"/>
        <v>-93048</v>
      </c>
    </row>
    <row r="71" spans="1:20">
      <c r="A71" t="s">
        <v>159</v>
      </c>
      <c r="B71" t="s">
        <v>159</v>
      </c>
      <c r="C71" t="s">
        <v>160</v>
      </c>
      <c r="D71" t="s">
        <v>191</v>
      </c>
      <c r="E71" s="7" t="s">
        <v>161</v>
      </c>
      <c r="F71" s="7" t="s">
        <v>162</v>
      </c>
      <c r="G71" s="7" t="s">
        <v>262</v>
      </c>
      <c r="H71" s="7">
        <v>14953.08</v>
      </c>
      <c r="I71" s="7">
        <v>12727.06</v>
      </c>
      <c r="J71" s="7">
        <v>13501.33</v>
      </c>
      <c r="K71" s="7">
        <v>14130.42</v>
      </c>
      <c r="L71" s="7">
        <v>14807.91</v>
      </c>
      <c r="M71" s="7">
        <v>12291.53</v>
      </c>
      <c r="N71" s="7">
        <v>14033.64</v>
      </c>
      <c r="O71" s="7">
        <v>14953.08</v>
      </c>
      <c r="P71" s="7">
        <v>13452.94</v>
      </c>
      <c r="Q71" s="7">
        <v>14807.91</v>
      </c>
      <c r="R71" s="7">
        <v>12339.92</v>
      </c>
      <c r="S71" s="7">
        <v>12001.18</v>
      </c>
      <c r="T71" s="7">
        <f t="shared" si="4"/>
        <v>164000</v>
      </c>
    </row>
    <row r="72" spans="1:20">
      <c r="A72" t="s">
        <v>159</v>
      </c>
      <c r="B72" t="s">
        <v>159</v>
      </c>
      <c r="C72" t="s">
        <v>160</v>
      </c>
      <c r="D72" t="s">
        <v>191</v>
      </c>
      <c r="E72" s="7" t="s">
        <v>167</v>
      </c>
      <c r="F72" s="7" t="s">
        <v>162</v>
      </c>
      <c r="G72" s="7" t="s">
        <v>262</v>
      </c>
      <c r="H72" s="7">
        <v>3282.38</v>
      </c>
      <c r="I72" s="7">
        <v>2793.74</v>
      </c>
      <c r="J72" s="7">
        <v>2963.71</v>
      </c>
      <c r="K72" s="7">
        <v>3101.8</v>
      </c>
      <c r="L72" s="7">
        <v>3250.52</v>
      </c>
      <c r="M72" s="7">
        <v>2698.14</v>
      </c>
      <c r="N72" s="7">
        <v>3080.55</v>
      </c>
      <c r="O72" s="7">
        <v>3282.38</v>
      </c>
      <c r="P72" s="7">
        <v>2953.08</v>
      </c>
      <c r="Q72" s="7">
        <v>3250.52</v>
      </c>
      <c r="R72" s="7">
        <v>2708.76</v>
      </c>
      <c r="S72" s="7">
        <v>2634.41</v>
      </c>
      <c r="T72" s="7">
        <f t="shared" si="4"/>
        <v>35999.990000000005</v>
      </c>
    </row>
    <row r="73" spans="1:20">
      <c r="A73" t="s">
        <v>159</v>
      </c>
      <c r="B73" t="s">
        <v>159</v>
      </c>
      <c r="C73" t="s">
        <v>160</v>
      </c>
      <c r="D73" t="s">
        <v>190</v>
      </c>
      <c r="E73" s="7" t="s">
        <v>161</v>
      </c>
      <c r="F73" s="7" t="s">
        <v>162</v>
      </c>
      <c r="G73" s="7" t="s">
        <v>262</v>
      </c>
      <c r="H73" s="7">
        <v>7294.19</v>
      </c>
      <c r="I73" s="7">
        <v>6208.32</v>
      </c>
      <c r="J73" s="7">
        <v>6586.01</v>
      </c>
      <c r="K73" s="7">
        <v>6892.89</v>
      </c>
      <c r="L73" s="7">
        <v>7223.37</v>
      </c>
      <c r="M73" s="7">
        <v>5995.87</v>
      </c>
      <c r="N73" s="7">
        <v>6845.68</v>
      </c>
      <c r="O73" s="7">
        <v>7294.19</v>
      </c>
      <c r="P73" s="7">
        <v>6562.41</v>
      </c>
      <c r="Q73" s="7">
        <v>7223.37</v>
      </c>
      <c r="R73" s="7">
        <v>6019.47</v>
      </c>
      <c r="S73" s="7">
        <v>5854.23</v>
      </c>
      <c r="T73" s="7">
        <f t="shared" si="4"/>
        <v>80000</v>
      </c>
    </row>
    <row r="74" spans="1:20">
      <c r="A74" t="s">
        <v>159</v>
      </c>
      <c r="B74" t="s">
        <v>159</v>
      </c>
      <c r="C74" t="s">
        <v>160</v>
      </c>
      <c r="D74" t="s">
        <v>190</v>
      </c>
      <c r="E74" s="7" t="s">
        <v>167</v>
      </c>
      <c r="F74" s="7" t="s">
        <v>162</v>
      </c>
      <c r="G74" s="7" t="s">
        <v>262</v>
      </c>
      <c r="H74" s="7">
        <v>547.05999999999995</v>
      </c>
      <c r="I74" s="7">
        <v>465.62</v>
      </c>
      <c r="J74" s="7">
        <v>493.95</v>
      </c>
      <c r="K74" s="7">
        <v>516.97</v>
      </c>
      <c r="L74" s="7">
        <v>541.75</v>
      </c>
      <c r="M74" s="7">
        <v>449.69</v>
      </c>
      <c r="N74" s="7">
        <v>513.42999999999995</v>
      </c>
      <c r="O74" s="7">
        <v>547.05999999999995</v>
      </c>
      <c r="P74" s="7">
        <v>492.18</v>
      </c>
      <c r="Q74" s="7">
        <v>541.75</v>
      </c>
      <c r="R74" s="7">
        <v>451.46</v>
      </c>
      <c r="S74" s="7">
        <v>439.07</v>
      </c>
      <c r="T74" s="7">
        <f t="shared" si="4"/>
        <v>5999.99</v>
      </c>
    </row>
    <row r="75" spans="1:20">
      <c r="A75" t="s">
        <v>159</v>
      </c>
      <c r="B75" t="s">
        <v>159</v>
      </c>
      <c r="C75" t="s">
        <v>160</v>
      </c>
      <c r="D75" t="s">
        <v>169</v>
      </c>
      <c r="E75" s="7" t="s">
        <v>161</v>
      </c>
      <c r="F75" s="7" t="s">
        <v>162</v>
      </c>
      <c r="G75" s="7" t="s">
        <v>262</v>
      </c>
      <c r="H75" s="7">
        <v>5055.3599999999997</v>
      </c>
      <c r="I75" s="7">
        <v>4200.38</v>
      </c>
      <c r="J75" s="7">
        <v>4385.7700000000004</v>
      </c>
      <c r="K75" s="7">
        <v>4465.03</v>
      </c>
      <c r="L75" s="7">
        <v>4674.1400000000003</v>
      </c>
      <c r="M75" s="7">
        <v>4048.68</v>
      </c>
      <c r="N75" s="7">
        <v>4547.1000000000004</v>
      </c>
      <c r="O75" s="7">
        <v>4921.99</v>
      </c>
      <c r="P75" s="7">
        <v>4697.72</v>
      </c>
      <c r="Q75" s="7">
        <v>4715.82</v>
      </c>
      <c r="R75" s="7">
        <v>4195.21</v>
      </c>
      <c r="S75" s="7">
        <v>4169.84</v>
      </c>
      <c r="T75" s="7">
        <f t="shared" si="4"/>
        <v>54077.039999999994</v>
      </c>
    </row>
    <row r="76" spans="1:20">
      <c r="A76" t="s">
        <v>159</v>
      </c>
      <c r="B76" t="s">
        <v>159</v>
      </c>
      <c r="C76" t="s">
        <v>160</v>
      </c>
      <c r="D76" t="s">
        <v>169</v>
      </c>
      <c r="E76" s="7" t="s">
        <v>167</v>
      </c>
      <c r="F76" s="7" t="s">
        <v>162</v>
      </c>
      <c r="G76" s="7" t="s">
        <v>262</v>
      </c>
      <c r="H76" s="7">
        <v>1345.43</v>
      </c>
      <c r="I76" s="7">
        <v>1098.33</v>
      </c>
      <c r="J76" s="7">
        <v>1133.08</v>
      </c>
      <c r="K76" s="7">
        <v>1128.69</v>
      </c>
      <c r="L76" s="7">
        <v>1180.54</v>
      </c>
      <c r="M76" s="7">
        <v>1057.1099999999999</v>
      </c>
      <c r="N76" s="7">
        <v>1172.46</v>
      </c>
      <c r="O76" s="7">
        <v>1284.46</v>
      </c>
      <c r="P76" s="7">
        <v>1278.81</v>
      </c>
      <c r="Q76" s="7">
        <v>1199.5899999999999</v>
      </c>
      <c r="R76" s="7">
        <v>1120.96</v>
      </c>
      <c r="S76" s="7">
        <v>1131.24</v>
      </c>
      <c r="T76" s="7">
        <f t="shared" si="4"/>
        <v>14130.699999999999</v>
      </c>
    </row>
    <row r="77" spans="1:20">
      <c r="A77" t="s">
        <v>159</v>
      </c>
      <c r="B77" t="s">
        <v>159</v>
      </c>
      <c r="C77" t="s">
        <v>160</v>
      </c>
      <c r="D77" t="s">
        <v>192</v>
      </c>
      <c r="E77" s="7" t="s">
        <v>161</v>
      </c>
      <c r="F77" s="7" t="s">
        <v>162</v>
      </c>
      <c r="G77" s="7" t="s">
        <v>262</v>
      </c>
      <c r="H77" s="7">
        <v>3982.9</v>
      </c>
      <c r="I77" s="7">
        <v>3389.98</v>
      </c>
      <c r="J77" s="7">
        <v>3596.22</v>
      </c>
      <c r="K77" s="7">
        <v>3763.78</v>
      </c>
      <c r="L77" s="7">
        <v>3944.23</v>
      </c>
      <c r="M77" s="7">
        <v>3273.97</v>
      </c>
      <c r="N77" s="7">
        <v>3738</v>
      </c>
      <c r="O77" s="7">
        <v>3982.9</v>
      </c>
      <c r="P77" s="7">
        <v>3583.33</v>
      </c>
      <c r="Q77" s="7">
        <v>3944.23</v>
      </c>
      <c r="R77" s="7">
        <v>3286.86</v>
      </c>
      <c r="S77" s="7">
        <v>3196.64</v>
      </c>
      <c r="T77" s="7">
        <f t="shared" si="4"/>
        <v>43683.040000000008</v>
      </c>
    </row>
    <row r="78" spans="1:20">
      <c r="A78" t="s">
        <v>159</v>
      </c>
      <c r="B78" t="s">
        <v>159</v>
      </c>
      <c r="C78" t="s">
        <v>160</v>
      </c>
      <c r="D78" t="s">
        <v>192</v>
      </c>
      <c r="E78" s="7" t="s">
        <v>167</v>
      </c>
      <c r="F78" s="7" t="s">
        <v>162</v>
      </c>
      <c r="G78" s="7" t="s">
        <v>262</v>
      </c>
      <c r="H78" s="7">
        <v>874.3</v>
      </c>
      <c r="I78" s="7">
        <v>744.14</v>
      </c>
      <c r="J78" s="7">
        <v>789.42</v>
      </c>
      <c r="K78" s="7">
        <v>826.19</v>
      </c>
      <c r="L78" s="7">
        <v>865.81</v>
      </c>
      <c r="M78" s="7">
        <v>718.68</v>
      </c>
      <c r="N78" s="7">
        <v>820.54</v>
      </c>
      <c r="O78" s="7">
        <v>874.3</v>
      </c>
      <c r="P78" s="7">
        <v>786.58</v>
      </c>
      <c r="Q78" s="7">
        <v>865.81</v>
      </c>
      <c r="R78" s="7">
        <v>721.5</v>
      </c>
      <c r="S78" s="7">
        <v>701.7</v>
      </c>
      <c r="T78" s="7">
        <f t="shared" si="4"/>
        <v>9588.9700000000012</v>
      </c>
    </row>
    <row r="79" spans="1:20">
      <c r="A79" t="s">
        <v>159</v>
      </c>
      <c r="B79" t="s">
        <v>159</v>
      </c>
      <c r="C79" t="s">
        <v>160</v>
      </c>
      <c r="D79" t="s">
        <v>215</v>
      </c>
      <c r="E79" s="7" t="s">
        <v>161</v>
      </c>
      <c r="F79" s="7" t="s">
        <v>162</v>
      </c>
      <c r="G79" s="7" t="s">
        <v>262</v>
      </c>
      <c r="H79" s="7">
        <v>60632.93</v>
      </c>
      <c r="I79" s="7">
        <v>51606.67</v>
      </c>
      <c r="J79" s="7">
        <v>54746.239999999998</v>
      </c>
      <c r="K79" s="7">
        <v>57297.14</v>
      </c>
      <c r="L79" s="7">
        <v>60044.26</v>
      </c>
      <c r="M79" s="7">
        <v>49840.66</v>
      </c>
      <c r="N79" s="7">
        <v>56904.69</v>
      </c>
      <c r="O79" s="7">
        <v>60632.93</v>
      </c>
      <c r="P79" s="7">
        <v>54550.01</v>
      </c>
      <c r="Q79" s="7">
        <v>60044.26</v>
      </c>
      <c r="R79" s="7">
        <v>50036.88</v>
      </c>
      <c r="S79" s="7">
        <v>48663.32</v>
      </c>
      <c r="T79" s="7">
        <f t="shared" si="4"/>
        <v>664999.99</v>
      </c>
    </row>
    <row r="80" spans="1:20">
      <c r="A80" t="s">
        <v>159</v>
      </c>
      <c r="B80" t="s">
        <v>159</v>
      </c>
      <c r="C80" t="s">
        <v>160</v>
      </c>
      <c r="D80" t="s">
        <v>215</v>
      </c>
      <c r="E80" s="7" t="s">
        <v>167</v>
      </c>
      <c r="F80" s="7" t="s">
        <v>162</v>
      </c>
      <c r="G80" s="7" t="s">
        <v>262</v>
      </c>
      <c r="H80" s="7">
        <v>11305.99</v>
      </c>
      <c r="I80" s="7">
        <v>9622.9</v>
      </c>
      <c r="J80" s="7">
        <v>10208.32</v>
      </c>
      <c r="K80" s="7">
        <v>10683.98</v>
      </c>
      <c r="L80" s="7">
        <v>11196.22</v>
      </c>
      <c r="M80" s="7">
        <v>9293.6</v>
      </c>
      <c r="N80" s="7">
        <v>10610.8</v>
      </c>
      <c r="O80" s="7">
        <v>11305.99</v>
      </c>
      <c r="P80" s="7">
        <v>10171.73</v>
      </c>
      <c r="Q80" s="7">
        <v>11196.22</v>
      </c>
      <c r="R80" s="7">
        <v>9330.19</v>
      </c>
      <c r="S80" s="7">
        <v>9074.06</v>
      </c>
      <c r="T80" s="7">
        <f t="shared" si="4"/>
        <v>124000</v>
      </c>
    </row>
    <row r="81" spans="1:20">
      <c r="A81" t="s">
        <v>159</v>
      </c>
      <c r="B81" t="s">
        <v>159</v>
      </c>
      <c r="C81" t="s">
        <v>160</v>
      </c>
      <c r="D81" t="s">
        <v>216</v>
      </c>
      <c r="E81" s="7" t="s">
        <v>187</v>
      </c>
      <c r="F81" s="7" t="s">
        <v>218</v>
      </c>
      <c r="G81" s="7" t="s">
        <v>262</v>
      </c>
      <c r="H81" s="7">
        <v>-10793.65</v>
      </c>
      <c r="I81" s="7">
        <v>-29963.34</v>
      </c>
      <c r="J81" s="7">
        <v>-21797.19</v>
      </c>
      <c r="K81" s="7">
        <v>-15336.69</v>
      </c>
      <c r="L81" s="7">
        <v>-7306.3</v>
      </c>
      <c r="M81" s="7">
        <v>-11413.3</v>
      </c>
      <c r="N81" s="7">
        <v>-8830.4599999999991</v>
      </c>
      <c r="O81" s="7">
        <v>-13013.65</v>
      </c>
      <c r="P81" s="7">
        <v>-13017.07</v>
      </c>
      <c r="Q81" s="7">
        <v>-13017.3</v>
      </c>
      <c r="R81" s="7">
        <v>-13014.42</v>
      </c>
      <c r="S81" s="7">
        <v>-13017.61</v>
      </c>
      <c r="T81" s="7">
        <f t="shared" si="4"/>
        <v>-170520.97999999998</v>
      </c>
    </row>
    <row r="82" spans="1:20">
      <c r="A82" t="s">
        <v>159</v>
      </c>
      <c r="B82" t="s">
        <v>159</v>
      </c>
      <c r="C82" t="s">
        <v>160</v>
      </c>
      <c r="D82" t="s">
        <v>168</v>
      </c>
      <c r="E82" s="7" t="s">
        <v>161</v>
      </c>
      <c r="F82" s="7" t="s">
        <v>162</v>
      </c>
      <c r="G82" s="7" t="s">
        <v>262</v>
      </c>
      <c r="H82" s="7">
        <v>3650.31</v>
      </c>
      <c r="I82" s="7">
        <v>2730.06</v>
      </c>
      <c r="J82" s="7">
        <v>2638.04</v>
      </c>
      <c r="K82" s="7">
        <v>2300.61</v>
      </c>
      <c r="L82" s="7">
        <v>2392.64</v>
      </c>
      <c r="M82" s="7">
        <v>2607.36</v>
      </c>
      <c r="N82" s="7">
        <v>2699.39</v>
      </c>
      <c r="O82" s="7">
        <v>3159.51</v>
      </c>
      <c r="P82" s="7">
        <v>3834.36</v>
      </c>
      <c r="Q82" s="7">
        <v>2546.0100000000002</v>
      </c>
      <c r="R82" s="7">
        <v>3098.16</v>
      </c>
      <c r="S82" s="7">
        <v>3343.56</v>
      </c>
      <c r="T82" s="7">
        <f t="shared" si="4"/>
        <v>35000.01</v>
      </c>
    </row>
    <row r="83" spans="1:20">
      <c r="A83" t="s">
        <v>159</v>
      </c>
      <c r="B83" t="s">
        <v>159</v>
      </c>
      <c r="C83" t="s">
        <v>160</v>
      </c>
      <c r="D83" t="s">
        <v>168</v>
      </c>
      <c r="E83" s="7" t="s">
        <v>167</v>
      </c>
      <c r="F83" s="7" t="s">
        <v>162</v>
      </c>
      <c r="G83" s="7" t="s">
        <v>262</v>
      </c>
      <c r="H83" s="7">
        <v>1668.71</v>
      </c>
      <c r="I83" s="7">
        <v>1248.03</v>
      </c>
      <c r="J83" s="7">
        <v>1205.96</v>
      </c>
      <c r="K83" s="7">
        <v>1051.71</v>
      </c>
      <c r="L83" s="7">
        <v>1093.78</v>
      </c>
      <c r="M83" s="7">
        <v>1191.94</v>
      </c>
      <c r="N83" s="7">
        <v>1234.01</v>
      </c>
      <c r="O83" s="7">
        <v>1444.35</v>
      </c>
      <c r="P83" s="7">
        <v>1752.85</v>
      </c>
      <c r="Q83" s="7">
        <v>1163.8900000000001</v>
      </c>
      <c r="R83" s="7">
        <v>1416.3</v>
      </c>
      <c r="S83" s="7">
        <v>1528.48</v>
      </c>
      <c r="T83" s="7">
        <f t="shared" si="4"/>
        <v>16000.009999999998</v>
      </c>
    </row>
    <row r="84" spans="1:20">
      <c r="A84" t="s">
        <v>159</v>
      </c>
      <c r="B84" t="s">
        <v>159</v>
      </c>
      <c r="C84" t="s">
        <v>160</v>
      </c>
      <c r="D84" t="s">
        <v>170</v>
      </c>
      <c r="E84" s="7" t="s">
        <v>161</v>
      </c>
      <c r="F84" s="7" t="s">
        <v>162</v>
      </c>
      <c r="G84" s="7" t="s">
        <v>262</v>
      </c>
      <c r="H84" s="7">
        <v>325.32</v>
      </c>
      <c r="I84" s="7">
        <v>243.3</v>
      </c>
      <c r="J84" s="7">
        <v>235.1</v>
      </c>
      <c r="K84" s="7">
        <v>205.03</v>
      </c>
      <c r="L84" s="7">
        <v>213.23</v>
      </c>
      <c r="M84" s="7">
        <v>232.37</v>
      </c>
      <c r="N84" s="7">
        <v>240.57</v>
      </c>
      <c r="O84" s="7">
        <v>281.58</v>
      </c>
      <c r="P84" s="7">
        <v>341.72</v>
      </c>
      <c r="Q84" s="7">
        <v>226.9</v>
      </c>
      <c r="R84" s="7">
        <v>276.11</v>
      </c>
      <c r="S84" s="7">
        <v>297.98</v>
      </c>
      <c r="T84" s="7">
        <f t="shared" si="4"/>
        <v>3119.21</v>
      </c>
    </row>
    <row r="85" spans="1:20">
      <c r="A85" t="s">
        <v>159</v>
      </c>
      <c r="B85" t="s">
        <v>159</v>
      </c>
      <c r="C85" t="s">
        <v>160</v>
      </c>
      <c r="D85" t="s">
        <v>170</v>
      </c>
      <c r="E85" s="7" t="s">
        <v>167</v>
      </c>
      <c r="F85" s="7" t="s">
        <v>162</v>
      </c>
      <c r="G85" s="7" t="s">
        <v>262</v>
      </c>
      <c r="H85" s="7">
        <v>148.72</v>
      </c>
      <c r="I85" s="7">
        <v>111.22</v>
      </c>
      <c r="J85" s="7">
        <v>107.48</v>
      </c>
      <c r="K85" s="7">
        <v>93.73</v>
      </c>
      <c r="L85" s="7">
        <v>97.48</v>
      </c>
      <c r="M85" s="7">
        <v>106.23</v>
      </c>
      <c r="N85" s="7">
        <v>109.97</v>
      </c>
      <c r="O85" s="7">
        <v>128.72</v>
      </c>
      <c r="P85" s="7">
        <v>156.21</v>
      </c>
      <c r="Q85" s="7">
        <v>103.73</v>
      </c>
      <c r="R85" s="7">
        <v>126.22</v>
      </c>
      <c r="S85" s="7">
        <v>136.22</v>
      </c>
      <c r="T85" s="7">
        <f t="shared" si="4"/>
        <v>1425.93</v>
      </c>
    </row>
    <row r="86" spans="1:20">
      <c r="A86" t="s">
        <v>159</v>
      </c>
      <c r="B86" t="s">
        <v>159</v>
      </c>
      <c r="C86" t="s">
        <v>193</v>
      </c>
      <c r="D86" t="s">
        <v>216</v>
      </c>
      <c r="E86" s="7" t="s">
        <v>187</v>
      </c>
      <c r="F86" s="7" t="s">
        <v>219</v>
      </c>
      <c r="G86" s="7" t="s">
        <v>262</v>
      </c>
      <c r="H86" s="7">
        <v>27.66</v>
      </c>
      <c r="I86" s="7">
        <v>-1772.94</v>
      </c>
      <c r="J86" s="7">
        <v>-0.12</v>
      </c>
      <c r="K86" s="7">
        <v>-4724.58</v>
      </c>
      <c r="L86" s="7">
        <v>-297.62</v>
      </c>
      <c r="M86" s="7">
        <v>-14.77</v>
      </c>
      <c r="N86" s="7">
        <v>-265.44</v>
      </c>
      <c r="O86" s="7">
        <v>-0.34</v>
      </c>
      <c r="P86" s="7">
        <v>0.45</v>
      </c>
      <c r="Q86" s="7">
        <v>0.38</v>
      </c>
      <c r="R86" s="7">
        <v>-0.35</v>
      </c>
      <c r="S86" s="7">
        <v>-0.33</v>
      </c>
      <c r="T86" s="7">
        <f t="shared" si="4"/>
        <v>-7048</v>
      </c>
    </row>
    <row r="87" spans="1:20">
      <c r="A87" t="s">
        <v>159</v>
      </c>
      <c r="B87" t="s">
        <v>159</v>
      </c>
      <c r="C87" t="s">
        <v>220</v>
      </c>
      <c r="D87" t="s">
        <v>216</v>
      </c>
      <c r="E87" s="7" t="s">
        <v>187</v>
      </c>
      <c r="F87" s="7" t="s">
        <v>221</v>
      </c>
      <c r="G87" s="7" t="s">
        <v>262</v>
      </c>
      <c r="H87" s="7">
        <v>28470</v>
      </c>
      <c r="I87" s="7">
        <v>17435</v>
      </c>
      <c r="J87" s="7">
        <v>27114</v>
      </c>
      <c r="K87" s="7">
        <v>21899</v>
      </c>
      <c r="L87" s="7">
        <v>33571</v>
      </c>
      <c r="M87" s="7">
        <v>27093</v>
      </c>
      <c r="N87" s="7">
        <v>12659</v>
      </c>
      <c r="O87" s="7">
        <v>25593</v>
      </c>
      <c r="P87" s="7">
        <v>25599</v>
      </c>
      <c r="Q87" s="7">
        <v>25600</v>
      </c>
      <c r="R87" s="7">
        <v>25593</v>
      </c>
      <c r="S87" s="7">
        <v>25601</v>
      </c>
      <c r="T87" s="7">
        <f t="shared" si="4"/>
        <v>296227</v>
      </c>
    </row>
    <row r="88" spans="1:20">
      <c r="A88" t="s">
        <v>159</v>
      </c>
      <c r="B88" t="s">
        <v>159</v>
      </c>
      <c r="C88" t="s">
        <v>222</v>
      </c>
      <c r="D88" t="s">
        <v>216</v>
      </c>
      <c r="E88" s="7" t="s">
        <v>187</v>
      </c>
      <c r="F88" s="7" t="s">
        <v>223</v>
      </c>
      <c r="G88" s="7" t="s">
        <v>262</v>
      </c>
      <c r="H88" s="7">
        <v>-3651.53</v>
      </c>
      <c r="I88" s="7">
        <v>-5803.26</v>
      </c>
      <c r="J88" s="7">
        <v>-10837.14</v>
      </c>
      <c r="K88" s="7">
        <v>-7744.47</v>
      </c>
      <c r="L88" s="7">
        <v>-7422.99</v>
      </c>
      <c r="M88" s="7">
        <v>-6529.64</v>
      </c>
      <c r="N88" s="7">
        <v>-3407.11</v>
      </c>
      <c r="O88" s="7">
        <v>-6506.53</v>
      </c>
      <c r="P88" s="7">
        <v>-6507.96</v>
      </c>
      <c r="Q88" s="7">
        <v>-6507.99</v>
      </c>
      <c r="R88" s="7">
        <v>-6506.82</v>
      </c>
      <c r="S88" s="7">
        <v>-6508.57</v>
      </c>
      <c r="T88" s="7">
        <f t="shared" si="4"/>
        <v>-77934.010000000009</v>
      </c>
    </row>
    <row r="89" spans="1:20">
      <c r="A89" t="s">
        <v>163</v>
      </c>
      <c r="B89" t="s">
        <v>189</v>
      </c>
      <c r="C89" t="s">
        <v>160</v>
      </c>
      <c r="D89" t="s">
        <v>191</v>
      </c>
      <c r="E89" s="7" t="s">
        <v>164</v>
      </c>
      <c r="F89" s="7" t="s">
        <v>162</v>
      </c>
      <c r="G89" s="7" t="s">
        <v>262</v>
      </c>
      <c r="H89" s="7">
        <v>1000</v>
      </c>
      <c r="I89" s="7">
        <v>1000</v>
      </c>
      <c r="J89" s="7">
        <v>1000</v>
      </c>
      <c r="K89" s="7">
        <v>1000</v>
      </c>
      <c r="L89" s="7">
        <v>1000</v>
      </c>
      <c r="M89" s="7">
        <v>1000</v>
      </c>
      <c r="N89" s="7">
        <v>1000</v>
      </c>
      <c r="O89" s="7">
        <v>1000</v>
      </c>
      <c r="P89" s="7">
        <v>1000</v>
      </c>
      <c r="Q89" s="7">
        <v>1000</v>
      </c>
      <c r="R89" s="7">
        <v>1000</v>
      </c>
      <c r="S89" s="7">
        <v>1000</v>
      </c>
      <c r="T89" s="7">
        <f t="shared" si="4"/>
        <v>12000</v>
      </c>
    </row>
    <row r="90" spans="1:20">
      <c r="A90" t="s">
        <v>163</v>
      </c>
      <c r="B90" t="s">
        <v>189</v>
      </c>
      <c r="C90" t="s">
        <v>160</v>
      </c>
      <c r="D90" t="s">
        <v>156</v>
      </c>
      <c r="E90" s="7" t="s">
        <v>164</v>
      </c>
      <c r="F90" s="7" t="s">
        <v>162</v>
      </c>
      <c r="G90" s="7" t="s">
        <v>262</v>
      </c>
      <c r="H90" s="7">
        <v>3000</v>
      </c>
      <c r="I90" s="7">
        <v>3000</v>
      </c>
      <c r="J90" s="7">
        <v>2000</v>
      </c>
      <c r="K90" s="7">
        <v>3000</v>
      </c>
      <c r="L90" s="7">
        <v>3000</v>
      </c>
      <c r="M90" s="7">
        <v>3000</v>
      </c>
      <c r="N90" s="7">
        <v>2000</v>
      </c>
      <c r="O90" s="7">
        <v>3000</v>
      </c>
      <c r="P90" s="7">
        <v>3000</v>
      </c>
      <c r="Q90" s="7">
        <v>1000</v>
      </c>
      <c r="R90" s="7">
        <v>3000</v>
      </c>
      <c r="S90" s="7">
        <v>3000</v>
      </c>
      <c r="T90" s="7">
        <f t="shared" si="4"/>
        <v>32000</v>
      </c>
    </row>
    <row r="91" spans="1:20">
      <c r="A91" t="s">
        <v>163</v>
      </c>
      <c r="B91" t="s">
        <v>189</v>
      </c>
      <c r="C91" t="s">
        <v>160</v>
      </c>
      <c r="D91" t="s">
        <v>190</v>
      </c>
      <c r="E91" s="7" t="s">
        <v>164</v>
      </c>
      <c r="F91" s="7" t="s">
        <v>162</v>
      </c>
      <c r="G91" s="7" t="s">
        <v>262</v>
      </c>
      <c r="H91" s="7">
        <v>1000</v>
      </c>
      <c r="I91" s="7">
        <v>0</v>
      </c>
      <c r="J91" s="7">
        <v>1000</v>
      </c>
      <c r="K91" s="7">
        <v>0</v>
      </c>
      <c r="L91" s="7">
        <v>0</v>
      </c>
      <c r="M91" s="7">
        <v>1000</v>
      </c>
      <c r="N91" s="7">
        <v>1000</v>
      </c>
      <c r="O91" s="7">
        <v>0</v>
      </c>
      <c r="P91" s="7">
        <v>0</v>
      </c>
      <c r="Q91" s="7">
        <v>1000</v>
      </c>
      <c r="R91" s="7">
        <v>0</v>
      </c>
      <c r="S91" s="7">
        <v>0</v>
      </c>
      <c r="T91" s="7">
        <f t="shared" si="4"/>
        <v>5000</v>
      </c>
    </row>
    <row r="92" spans="1:20">
      <c r="A92" t="s">
        <v>163</v>
      </c>
      <c r="B92" t="s">
        <v>189</v>
      </c>
      <c r="C92" t="s">
        <v>160</v>
      </c>
      <c r="D92" t="s">
        <v>169</v>
      </c>
      <c r="E92" s="7" t="s">
        <v>164</v>
      </c>
      <c r="F92" s="7" t="s">
        <v>162</v>
      </c>
      <c r="G92" s="7" t="s">
        <v>262</v>
      </c>
      <c r="H92" s="7">
        <v>121</v>
      </c>
      <c r="I92" s="7">
        <v>121</v>
      </c>
      <c r="J92" s="7">
        <v>121</v>
      </c>
      <c r="K92" s="7">
        <v>121</v>
      </c>
      <c r="L92" s="7">
        <v>121</v>
      </c>
      <c r="M92" s="7">
        <v>121</v>
      </c>
      <c r="N92" s="7">
        <v>121</v>
      </c>
      <c r="O92" s="7">
        <v>121</v>
      </c>
      <c r="P92" s="7">
        <v>121</v>
      </c>
      <c r="Q92" s="7">
        <v>121</v>
      </c>
      <c r="R92" s="7">
        <v>121</v>
      </c>
      <c r="S92" s="7">
        <v>121</v>
      </c>
      <c r="T92" s="7">
        <f t="shared" si="4"/>
        <v>1452</v>
      </c>
    </row>
    <row r="93" spans="1:20">
      <c r="A93" t="s">
        <v>163</v>
      </c>
      <c r="B93" t="s">
        <v>189</v>
      </c>
      <c r="C93" t="s">
        <v>160</v>
      </c>
      <c r="D93" t="s">
        <v>192</v>
      </c>
      <c r="E93" s="7" t="s">
        <v>164</v>
      </c>
      <c r="F93" s="7" t="s">
        <v>162</v>
      </c>
      <c r="G93" s="7" t="s">
        <v>262</v>
      </c>
      <c r="H93" s="7">
        <v>266.36</v>
      </c>
      <c r="I93" s="7">
        <v>266.36</v>
      </c>
      <c r="J93" s="7">
        <v>266.36</v>
      </c>
      <c r="K93" s="7">
        <v>266.36</v>
      </c>
      <c r="L93" s="7">
        <v>266.36</v>
      </c>
      <c r="M93" s="7">
        <v>266.36</v>
      </c>
      <c r="N93" s="7">
        <v>266.36</v>
      </c>
      <c r="O93" s="7">
        <v>266.36</v>
      </c>
      <c r="P93" s="7">
        <v>266.36</v>
      </c>
      <c r="Q93" s="7">
        <v>266.36</v>
      </c>
      <c r="R93" s="7">
        <v>266.36</v>
      </c>
      <c r="S93" s="7">
        <v>266.36</v>
      </c>
      <c r="T93" s="7">
        <f t="shared" si="4"/>
        <v>3196.3200000000011</v>
      </c>
    </row>
    <row r="94" spans="1:20">
      <c r="A94" t="s">
        <v>165</v>
      </c>
      <c r="B94" t="s">
        <v>224</v>
      </c>
      <c r="C94" t="s">
        <v>160</v>
      </c>
      <c r="D94" t="s">
        <v>191</v>
      </c>
      <c r="E94" s="7" t="s">
        <v>166</v>
      </c>
      <c r="F94" s="7" t="s">
        <v>162</v>
      </c>
      <c r="G94" s="7" t="s">
        <v>262</v>
      </c>
      <c r="H94" s="7">
        <v>1000</v>
      </c>
      <c r="I94" s="7">
        <v>1000</v>
      </c>
      <c r="J94" s="7">
        <v>1000</v>
      </c>
      <c r="K94" s="7">
        <v>1000</v>
      </c>
      <c r="L94" s="7">
        <v>1000</v>
      </c>
      <c r="M94" s="7">
        <v>1000</v>
      </c>
      <c r="N94" s="7">
        <v>1000</v>
      </c>
      <c r="O94" s="7">
        <v>1000</v>
      </c>
      <c r="P94" s="7">
        <v>1000</v>
      </c>
      <c r="Q94" s="7">
        <v>1000</v>
      </c>
      <c r="R94" s="7">
        <v>1000</v>
      </c>
      <c r="S94" s="7">
        <v>1000</v>
      </c>
      <c r="T94" s="7">
        <f t="shared" si="4"/>
        <v>12000</v>
      </c>
    </row>
    <row r="95" spans="1:20">
      <c r="A95" t="s">
        <v>165</v>
      </c>
      <c r="B95" t="s">
        <v>224</v>
      </c>
      <c r="C95" t="s">
        <v>160</v>
      </c>
      <c r="D95" t="s">
        <v>190</v>
      </c>
      <c r="E95" s="7" t="s">
        <v>166</v>
      </c>
      <c r="F95" s="7" t="s">
        <v>162</v>
      </c>
      <c r="G95" s="7" t="s">
        <v>262</v>
      </c>
      <c r="H95" s="7">
        <v>0</v>
      </c>
      <c r="I95" s="7">
        <v>0</v>
      </c>
      <c r="J95" s="7">
        <v>1000</v>
      </c>
      <c r="K95" s="7">
        <v>0</v>
      </c>
      <c r="L95" s="7">
        <v>0</v>
      </c>
      <c r="M95" s="7">
        <v>1000</v>
      </c>
      <c r="N95" s="7">
        <v>0</v>
      </c>
      <c r="O95" s="7">
        <v>0</v>
      </c>
      <c r="P95" s="7">
        <v>1000</v>
      </c>
      <c r="Q95" s="7">
        <v>0</v>
      </c>
      <c r="R95" s="7">
        <v>0</v>
      </c>
      <c r="S95" s="7">
        <v>1000</v>
      </c>
      <c r="T95" s="7">
        <f t="shared" si="4"/>
        <v>4000</v>
      </c>
    </row>
    <row r="96" spans="1:20">
      <c r="A96" t="s">
        <v>165</v>
      </c>
      <c r="B96" t="s">
        <v>224</v>
      </c>
      <c r="C96" t="s">
        <v>160</v>
      </c>
      <c r="D96" t="s">
        <v>169</v>
      </c>
      <c r="E96" s="7" t="s">
        <v>166</v>
      </c>
      <c r="F96" s="7" t="s">
        <v>162</v>
      </c>
      <c r="G96" s="7" t="s">
        <v>262</v>
      </c>
      <c r="H96" s="7">
        <v>128.07</v>
      </c>
      <c r="I96" s="7">
        <v>128.07</v>
      </c>
      <c r="J96" s="7">
        <v>128.07</v>
      </c>
      <c r="K96" s="7">
        <v>128.07</v>
      </c>
      <c r="L96" s="7">
        <v>128.07</v>
      </c>
      <c r="M96" s="7">
        <v>128.07</v>
      </c>
      <c r="N96" s="7">
        <v>128.07</v>
      </c>
      <c r="O96" s="7">
        <v>128.07</v>
      </c>
      <c r="P96" s="7">
        <v>128.07</v>
      </c>
      <c r="Q96" s="7">
        <v>128.07</v>
      </c>
      <c r="R96" s="7">
        <v>128.07</v>
      </c>
      <c r="S96" s="7">
        <v>128.07</v>
      </c>
      <c r="T96" s="7">
        <f t="shared" si="4"/>
        <v>1536.8399999999995</v>
      </c>
    </row>
    <row r="97" spans="1:20">
      <c r="A97" t="s">
        <v>165</v>
      </c>
      <c r="B97" t="s">
        <v>224</v>
      </c>
      <c r="C97" t="s">
        <v>160</v>
      </c>
      <c r="D97" t="s">
        <v>192</v>
      </c>
      <c r="E97" s="7" t="s">
        <v>166</v>
      </c>
      <c r="F97" s="7" t="s">
        <v>162</v>
      </c>
      <c r="G97" s="7" t="s">
        <v>262</v>
      </c>
      <c r="H97" s="7">
        <v>266.36</v>
      </c>
      <c r="I97" s="7">
        <v>266.36</v>
      </c>
      <c r="J97" s="7">
        <v>266.36</v>
      </c>
      <c r="K97" s="7">
        <v>266.36</v>
      </c>
      <c r="L97" s="7">
        <v>266.36</v>
      </c>
      <c r="M97" s="7">
        <v>266.36</v>
      </c>
      <c r="N97" s="7">
        <v>266.36</v>
      </c>
      <c r="O97" s="7">
        <v>266.36</v>
      </c>
      <c r="P97" s="7">
        <v>266.36</v>
      </c>
      <c r="Q97" s="7">
        <v>266.36</v>
      </c>
      <c r="R97" s="7">
        <v>266.36</v>
      </c>
      <c r="S97" s="7">
        <v>266.36</v>
      </c>
      <c r="T97" s="7">
        <f t="shared" si="4"/>
        <v>3196.3200000000011</v>
      </c>
    </row>
    <row r="98" spans="1:20">
      <c r="A98" t="s">
        <v>225</v>
      </c>
      <c r="B98" t="s">
        <v>225</v>
      </c>
      <c r="C98" t="s">
        <v>226</v>
      </c>
      <c r="D98" t="s">
        <v>216</v>
      </c>
      <c r="E98" s="7" t="s">
        <v>227</v>
      </c>
      <c r="F98" s="7" t="s">
        <v>228</v>
      </c>
      <c r="G98" s="7" t="s">
        <v>262</v>
      </c>
      <c r="H98" s="37">
        <v>343311.49</v>
      </c>
      <c r="I98" s="37">
        <v>343311.49</v>
      </c>
      <c r="J98" s="37">
        <v>343311.49</v>
      </c>
      <c r="K98" s="37">
        <v>343311.49</v>
      </c>
      <c r="L98" s="37">
        <v>343311.49</v>
      </c>
      <c r="M98" s="37">
        <v>343311.49</v>
      </c>
      <c r="N98" s="37">
        <v>343311.49</v>
      </c>
      <c r="O98" s="37">
        <v>343311.49</v>
      </c>
      <c r="P98" s="37">
        <v>343311.49</v>
      </c>
      <c r="Q98" s="37">
        <v>343311.49</v>
      </c>
      <c r="R98" s="37">
        <v>343311.49</v>
      </c>
      <c r="S98" s="37">
        <v>343311.49</v>
      </c>
      <c r="T98" s="37">
        <f t="shared" si="4"/>
        <v>4119737.8800000008</v>
      </c>
    </row>
    <row r="99" spans="1:20">
      <c r="C99" s="2"/>
      <c r="D99" s="2" t="s">
        <v>263</v>
      </c>
      <c r="E99" s="34"/>
      <c r="F99" s="34"/>
      <c r="G99" s="34"/>
      <c r="H99" s="34">
        <f t="shared" ref="H99:T99" si="5">SUM(H68:H98)</f>
        <v>488844.82999999996</v>
      </c>
      <c r="I99" s="34">
        <f t="shared" si="5"/>
        <v>412734.79</v>
      </c>
      <c r="J99" s="34">
        <f t="shared" si="5"/>
        <v>442932.01</v>
      </c>
      <c r="K99" s="34">
        <f t="shared" si="5"/>
        <v>391608.32000000001</v>
      </c>
      <c r="L99" s="34">
        <f t="shared" si="5"/>
        <v>487858.64999999997</v>
      </c>
      <c r="M99" s="34">
        <f t="shared" si="5"/>
        <v>456006.74</v>
      </c>
      <c r="N99" s="34">
        <f t="shared" si="5"/>
        <v>458246.25</v>
      </c>
      <c r="O99" s="34">
        <f t="shared" si="5"/>
        <v>477468.58999999997</v>
      </c>
      <c r="P99" s="34">
        <f t="shared" si="5"/>
        <v>473967.85</v>
      </c>
      <c r="Q99" s="34">
        <f t="shared" si="5"/>
        <v>497408.77999999997</v>
      </c>
      <c r="R99" s="34">
        <f t="shared" si="5"/>
        <v>453501.36</v>
      </c>
      <c r="S99" s="34">
        <f t="shared" si="5"/>
        <v>464564.06999999995</v>
      </c>
      <c r="T99" s="34">
        <f t="shared" si="5"/>
        <v>5505142.2400000012</v>
      </c>
    </row>
  </sheetData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8576"/>
  <sheetViews>
    <sheetView zoomScale="55" zoomScaleNormal="55" workbookViewId="0">
      <selection sqref="A1:AF1"/>
    </sheetView>
  </sheetViews>
  <sheetFormatPr defaultRowHeight="20.25"/>
  <cols>
    <col min="1" max="1" width="11.140625" style="151" customWidth="1"/>
    <col min="2" max="2" width="11.28515625" style="151" customWidth="1"/>
    <col min="3" max="3" width="68.7109375" style="151" customWidth="1"/>
    <col min="4" max="4" width="8.42578125" style="151" customWidth="1"/>
    <col min="5" max="5" width="19.140625" style="151" customWidth="1"/>
    <col min="6" max="6" width="2.7109375" style="151" customWidth="1"/>
    <col min="7" max="7" width="19.140625" style="151" customWidth="1"/>
    <col min="8" max="8" width="2.7109375" style="151" customWidth="1"/>
    <col min="9" max="9" width="20.7109375" style="151" customWidth="1"/>
    <col min="10" max="10" width="2.7109375" style="151" customWidth="1"/>
    <col min="11" max="11" width="19" style="151" customWidth="1"/>
    <col min="12" max="12" width="2.7109375" style="151" customWidth="1"/>
    <col min="13" max="13" width="19.5703125" style="151" customWidth="1"/>
    <col min="14" max="14" width="2.7109375" style="151" customWidth="1"/>
    <col min="15" max="15" width="19.140625" style="151" customWidth="1"/>
    <col min="16" max="16" width="2.7109375" style="151" customWidth="1"/>
    <col min="17" max="17" width="19" style="151" customWidth="1"/>
    <col min="18" max="18" width="2.7109375" style="151" customWidth="1"/>
    <col min="19" max="19" width="19.140625" style="151" customWidth="1"/>
    <col min="20" max="20" width="2.7109375" style="151" customWidth="1"/>
    <col min="21" max="21" width="22.5703125" style="151" bestFit="1" customWidth="1"/>
    <col min="22" max="22" width="2.7109375" style="151" customWidth="1"/>
    <col min="23" max="23" width="22.7109375" style="151" bestFit="1" customWidth="1"/>
    <col min="24" max="24" width="2.7109375" style="151" customWidth="1"/>
    <col min="25" max="25" width="22.7109375" style="151" bestFit="1" customWidth="1"/>
    <col min="26" max="26" width="2.7109375" style="151" customWidth="1"/>
    <col min="27" max="27" width="23.7109375" style="151" bestFit="1" customWidth="1"/>
    <col min="28" max="28" width="2.7109375" style="151" customWidth="1"/>
    <col min="29" max="29" width="21.7109375" style="151" bestFit="1" customWidth="1"/>
    <col min="30" max="30" width="2.7109375" style="151" customWidth="1"/>
    <col min="31" max="31" width="21.42578125" style="151" customWidth="1"/>
    <col min="32" max="32" width="2.7109375" style="151" customWidth="1"/>
    <col min="33" max="33" width="13.7109375" customWidth="1"/>
    <col min="34" max="34" width="18.7109375" style="151" customWidth="1"/>
    <col min="35" max="35" width="18" style="151" customWidth="1"/>
    <col min="36" max="36" width="17" style="151" customWidth="1"/>
    <col min="37" max="37" width="14.7109375" style="151" bestFit="1" customWidth="1"/>
    <col min="38" max="38" width="14.5703125" style="151" bestFit="1" customWidth="1"/>
    <col min="39" max="39" width="13.140625" style="151" bestFit="1" customWidth="1"/>
    <col min="40" max="40" width="14" style="151" customWidth="1"/>
    <col min="41" max="41" width="15.5703125" style="151" customWidth="1"/>
    <col min="42" max="42" width="14.42578125" style="151" bestFit="1" customWidth="1"/>
    <col min="43" max="43" width="14.85546875" style="151" customWidth="1"/>
    <col min="44" max="44" width="15.7109375" style="151" customWidth="1"/>
    <col min="45" max="45" width="13.42578125" style="151" customWidth="1"/>
    <col min="46" max="46" width="12.140625" style="151" bestFit="1" customWidth="1"/>
    <col min="47" max="47" width="16.5703125" style="151" customWidth="1"/>
    <col min="48" max="48" width="14.42578125" style="151" customWidth="1"/>
    <col min="49" max="49" width="15.140625" style="151" customWidth="1"/>
    <col min="50" max="50" width="9.42578125" style="151" bestFit="1" customWidth="1"/>
    <col min="51" max="51" width="12.7109375" style="151" customWidth="1"/>
    <col min="52" max="16384" width="9.140625" style="151"/>
  </cols>
  <sheetData>
    <row r="1" spans="1:51">
      <c r="A1" s="315" t="s">
        <v>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</row>
    <row r="2" spans="1:51">
      <c r="A2" s="315" t="s">
        <v>306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01"/>
    </row>
    <row r="3" spans="1:51">
      <c r="A3" s="315" t="s">
        <v>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</row>
    <row r="4" spans="1:51" s="42" customFormat="1">
      <c r="A4" s="152"/>
      <c r="E4" s="39"/>
      <c r="AG4"/>
      <c r="AJ4" s="21"/>
      <c r="AK4" s="21"/>
      <c r="AL4" s="21"/>
      <c r="AM4" s="21"/>
      <c r="AN4" s="21"/>
      <c r="AO4" s="21"/>
      <c r="AP4" s="21"/>
      <c r="AQ4" s="21"/>
      <c r="AR4" s="22"/>
      <c r="AS4" s="21"/>
      <c r="AT4" s="21"/>
      <c r="AU4" s="21"/>
      <c r="AV4" s="21"/>
      <c r="AW4" s="21"/>
      <c r="AX4" s="21"/>
      <c r="AY4" s="21"/>
    </row>
    <row r="5" spans="1:51" s="42" customFormat="1">
      <c r="E5" s="317" t="s">
        <v>307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  <c r="S5" s="320" t="s">
        <v>290</v>
      </c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2"/>
      <c r="AG5"/>
      <c r="AJ5" s="23"/>
      <c r="AK5" s="22"/>
      <c r="AL5" s="22"/>
      <c r="AM5" s="22"/>
      <c r="AN5" s="22"/>
      <c r="AO5" s="22"/>
      <c r="AP5" s="22"/>
      <c r="AQ5" s="22"/>
      <c r="AR5" s="316"/>
      <c r="AS5" s="316"/>
      <c r="AT5" s="316"/>
      <c r="AU5" s="316"/>
      <c r="AV5" s="316"/>
      <c r="AW5" s="316"/>
      <c r="AX5" s="316"/>
      <c r="AY5" s="316"/>
    </row>
    <row r="6" spans="1:51" s="42" customFormat="1">
      <c r="A6" s="169" t="s">
        <v>4</v>
      </c>
      <c r="B6" s="43"/>
      <c r="D6" s="43"/>
      <c r="E6" s="196">
        <v>2016</v>
      </c>
      <c r="F6" s="190"/>
      <c r="G6" s="187">
        <v>2017</v>
      </c>
      <c r="H6" s="187"/>
      <c r="I6" s="187">
        <f>$G$6</f>
        <v>2017</v>
      </c>
      <c r="J6" s="187"/>
      <c r="K6" s="187">
        <f>$G$6</f>
        <v>2017</v>
      </c>
      <c r="L6" s="187"/>
      <c r="M6" s="187">
        <f>$G$6</f>
        <v>2017</v>
      </c>
      <c r="N6" s="187"/>
      <c r="O6" s="187">
        <f>$G$6</f>
        <v>2017</v>
      </c>
      <c r="P6" s="190"/>
      <c r="Q6" s="197">
        <f>$G$6</f>
        <v>2017</v>
      </c>
      <c r="R6" s="43"/>
      <c r="S6" s="218">
        <f>$G$6</f>
        <v>2017</v>
      </c>
      <c r="T6" s="82"/>
      <c r="U6" s="186">
        <f>$G$6</f>
        <v>2017</v>
      </c>
      <c r="V6" s="82"/>
      <c r="W6" s="186">
        <f>$G$6</f>
        <v>2017</v>
      </c>
      <c r="X6" s="82"/>
      <c r="Y6" s="186">
        <f>$G$6</f>
        <v>2017</v>
      </c>
      <c r="Z6" s="82"/>
      <c r="AA6" s="186">
        <f>$G$6</f>
        <v>2017</v>
      </c>
      <c r="AB6" s="82"/>
      <c r="AC6" s="186">
        <f>$G$6</f>
        <v>2017</v>
      </c>
      <c r="AD6" s="82"/>
      <c r="AE6" s="219">
        <v>2017</v>
      </c>
      <c r="AF6" s="43"/>
      <c r="AG6"/>
      <c r="AJ6" s="171"/>
      <c r="AK6" s="24"/>
      <c r="AL6" s="171"/>
      <c r="AM6" s="171"/>
      <c r="AN6" s="171"/>
      <c r="AO6" s="171"/>
      <c r="AP6" s="171"/>
      <c r="AQ6" s="171"/>
      <c r="AR6" s="171"/>
      <c r="AS6" s="171"/>
      <c r="AT6" s="171"/>
      <c r="AU6" s="24"/>
      <c r="AV6" s="171"/>
      <c r="AW6" s="171"/>
      <c r="AX6" s="171"/>
      <c r="AY6" s="171"/>
    </row>
    <row r="7" spans="1:51" s="42" customFormat="1">
      <c r="A7" s="153" t="s">
        <v>5</v>
      </c>
      <c r="B7" s="43"/>
      <c r="C7" s="153" t="s">
        <v>6</v>
      </c>
      <c r="D7" s="43"/>
      <c r="E7" s="198" t="s">
        <v>115</v>
      </c>
      <c r="F7" s="190"/>
      <c r="G7" s="188" t="s">
        <v>103</v>
      </c>
      <c r="H7" s="187"/>
      <c r="I7" s="188" t="s">
        <v>106</v>
      </c>
      <c r="J7" s="187"/>
      <c r="K7" s="188" t="s">
        <v>107</v>
      </c>
      <c r="L7" s="187"/>
      <c r="M7" s="188" t="s">
        <v>108</v>
      </c>
      <c r="N7" s="187"/>
      <c r="O7" s="188" t="s">
        <v>96</v>
      </c>
      <c r="P7" s="190"/>
      <c r="Q7" s="199" t="s">
        <v>109</v>
      </c>
      <c r="R7" s="43"/>
      <c r="S7" s="220" t="s">
        <v>110</v>
      </c>
      <c r="T7" s="82"/>
      <c r="U7" s="154" t="s">
        <v>111</v>
      </c>
      <c r="V7" s="82"/>
      <c r="W7" s="154" t="s">
        <v>112</v>
      </c>
      <c r="X7" s="82"/>
      <c r="Y7" s="154" t="s">
        <v>113</v>
      </c>
      <c r="Z7" s="82"/>
      <c r="AA7" s="154" t="s">
        <v>114</v>
      </c>
      <c r="AB7" s="82"/>
      <c r="AC7" s="154" t="s">
        <v>115</v>
      </c>
      <c r="AD7" s="82"/>
      <c r="AE7" s="221" t="s">
        <v>289</v>
      </c>
      <c r="AF7" s="43"/>
      <c r="AG7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24"/>
      <c r="AV7" s="171"/>
      <c r="AW7" s="171"/>
      <c r="AX7" s="171"/>
      <c r="AY7" s="171"/>
    </row>
    <row r="8" spans="1:51" s="42" customFormat="1">
      <c r="A8" s="169"/>
      <c r="B8" s="43"/>
      <c r="C8" s="155">
        <v>-1</v>
      </c>
      <c r="D8" s="43"/>
      <c r="E8" s="200">
        <v>-2</v>
      </c>
      <c r="F8" s="190"/>
      <c r="G8" s="201">
        <v>-3</v>
      </c>
      <c r="H8" s="190"/>
      <c r="I8" s="201">
        <v>-4</v>
      </c>
      <c r="J8" s="190"/>
      <c r="K8" s="201">
        <v>-5</v>
      </c>
      <c r="L8" s="190"/>
      <c r="M8" s="201">
        <v>-6</v>
      </c>
      <c r="N8" s="190"/>
      <c r="O8" s="201">
        <v>-7</v>
      </c>
      <c r="P8" s="190"/>
      <c r="Q8" s="202">
        <v>-8</v>
      </c>
      <c r="R8" s="43"/>
      <c r="S8" s="222">
        <v>-9</v>
      </c>
      <c r="T8" s="82"/>
      <c r="U8" s="223">
        <v>-10</v>
      </c>
      <c r="V8" s="82"/>
      <c r="W8" s="223">
        <v>-11</v>
      </c>
      <c r="X8" s="82"/>
      <c r="Y8" s="223">
        <v>-12</v>
      </c>
      <c r="Z8" s="82"/>
      <c r="AA8" s="223">
        <v>-13</v>
      </c>
      <c r="AB8" s="82"/>
      <c r="AC8" s="223">
        <v>-14</v>
      </c>
      <c r="AD8" s="82"/>
      <c r="AE8" s="224">
        <v>-15</v>
      </c>
      <c r="AF8" s="43"/>
      <c r="AG8"/>
      <c r="AJ8" s="17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s="42" customFormat="1">
      <c r="A9" s="43"/>
      <c r="B9" s="43"/>
      <c r="D9" s="43"/>
      <c r="E9" s="203"/>
      <c r="F9" s="190"/>
      <c r="G9" s="204"/>
      <c r="H9" s="190"/>
      <c r="I9" s="204"/>
      <c r="J9" s="190"/>
      <c r="K9" s="204"/>
      <c r="L9" s="190"/>
      <c r="M9" s="204"/>
      <c r="N9" s="190"/>
      <c r="O9" s="204"/>
      <c r="P9" s="190"/>
      <c r="Q9" s="205"/>
      <c r="R9" s="43"/>
      <c r="S9" s="225"/>
      <c r="T9" s="82"/>
      <c r="U9" s="21"/>
      <c r="V9" s="82"/>
      <c r="W9" s="21"/>
      <c r="X9" s="82"/>
      <c r="Y9" s="21"/>
      <c r="Z9" s="82"/>
      <c r="AA9" s="21"/>
      <c r="AB9" s="82"/>
      <c r="AC9" s="21"/>
      <c r="AD9" s="82"/>
      <c r="AE9" s="226"/>
      <c r="AF9" s="43"/>
      <c r="AG9"/>
      <c r="AJ9" s="171"/>
      <c r="AK9" s="25"/>
      <c r="AL9" s="25"/>
      <c r="AM9" s="25"/>
      <c r="AN9" s="25"/>
      <c r="AO9" s="25"/>
      <c r="AP9" s="25"/>
      <c r="AQ9" s="26"/>
      <c r="AR9" s="25"/>
      <c r="AS9" s="26"/>
      <c r="AT9" s="26"/>
      <c r="AU9" s="26"/>
      <c r="AV9" s="25"/>
      <c r="AW9" s="25"/>
      <c r="AX9" s="25"/>
      <c r="AY9" s="25"/>
    </row>
    <row r="10" spans="1:51" s="42" customFormat="1">
      <c r="A10" s="43"/>
      <c r="B10" s="156" t="s">
        <v>53</v>
      </c>
      <c r="D10" s="43"/>
      <c r="E10" s="203"/>
      <c r="F10" s="190"/>
      <c r="G10" s="204"/>
      <c r="H10" s="190"/>
      <c r="I10" s="204"/>
      <c r="J10" s="190"/>
      <c r="K10" s="204"/>
      <c r="L10" s="190"/>
      <c r="M10" s="204"/>
      <c r="N10" s="190"/>
      <c r="O10" s="204"/>
      <c r="P10" s="190"/>
      <c r="Q10" s="205"/>
      <c r="R10" s="43"/>
      <c r="S10" s="225"/>
      <c r="T10" s="82"/>
      <c r="U10" s="21"/>
      <c r="V10" s="82"/>
      <c r="W10" s="21"/>
      <c r="X10" s="82"/>
      <c r="Y10" s="21"/>
      <c r="Z10" s="82"/>
      <c r="AA10" s="21"/>
      <c r="AB10" s="82"/>
      <c r="AC10" s="21"/>
      <c r="AD10" s="82"/>
      <c r="AE10" s="226"/>
      <c r="AF10" s="43"/>
      <c r="AG10"/>
      <c r="AJ10" s="171"/>
      <c r="AK10" s="25"/>
      <c r="AL10" s="25"/>
      <c r="AM10" s="25"/>
      <c r="AN10" s="25"/>
      <c r="AO10" s="25"/>
      <c r="AP10" s="25"/>
      <c r="AQ10" s="26"/>
      <c r="AR10" s="25"/>
      <c r="AS10" s="25"/>
      <c r="AT10" s="25"/>
      <c r="AU10" s="26"/>
      <c r="AV10" s="25"/>
      <c r="AW10" s="25"/>
      <c r="AX10" s="25"/>
      <c r="AY10" s="25"/>
    </row>
    <row r="11" spans="1:51" s="42" customFormat="1">
      <c r="A11" s="43">
        <v>1</v>
      </c>
      <c r="B11" s="43"/>
      <c r="C11" s="157" t="s">
        <v>54</v>
      </c>
      <c r="D11" s="43"/>
      <c r="E11" s="206">
        <v>218673518.64999992</v>
      </c>
      <c r="F11" s="190"/>
      <c r="G11" s="193">
        <v>221555022.26999992</v>
      </c>
      <c r="H11" s="190"/>
      <c r="I11" s="193">
        <v>224484281.51999995</v>
      </c>
      <c r="J11" s="190"/>
      <c r="K11" s="193">
        <v>228235660.75999993</v>
      </c>
      <c r="L11" s="190"/>
      <c r="M11" s="193">
        <v>232266198.41999993</v>
      </c>
      <c r="N11" s="190"/>
      <c r="O11" s="193">
        <v>236524388.05999991</v>
      </c>
      <c r="P11" s="190"/>
      <c r="Q11" s="207">
        <v>240904618.2599999</v>
      </c>
      <c r="R11" s="43"/>
      <c r="S11" s="227">
        <f>'201707 Bk Depr'!$R25</f>
        <v>4363155.13</v>
      </c>
      <c r="T11" s="82"/>
      <c r="U11" s="62">
        <f>'201708 Bk Depr'!$R25</f>
        <v>9101493.8399999999</v>
      </c>
      <c r="V11" s="82"/>
      <c r="W11" s="62">
        <f>'201709 Bk Depr'!$R25</f>
        <v>13379537.209999999</v>
      </c>
      <c r="X11" s="82"/>
      <c r="Y11" s="62">
        <f>'201710 Bk Depr'!$R25</f>
        <v>17648583.809999999</v>
      </c>
      <c r="Z11" s="82"/>
      <c r="AA11" s="62">
        <f>'201711 Bk Depr'!$R25</f>
        <v>21546935.890000001</v>
      </c>
      <c r="AB11" s="82"/>
      <c r="AC11" s="62">
        <f>'201712 Bk Depr'!$R25</f>
        <v>24936966.640000001</v>
      </c>
      <c r="AD11" s="82"/>
      <c r="AE11" s="228">
        <f>SUM(S11:AC11)/7</f>
        <v>12996667.502857143</v>
      </c>
      <c r="AF11" s="158"/>
      <c r="AG11"/>
      <c r="AJ11" s="171"/>
      <c r="AK11" s="25"/>
      <c r="AL11" s="25"/>
      <c r="AM11" s="25"/>
      <c r="AN11" s="25"/>
      <c r="AO11" s="25"/>
      <c r="AP11" s="25"/>
      <c r="AQ11" s="26"/>
      <c r="AR11" s="25"/>
      <c r="AS11" s="25"/>
      <c r="AT11" s="25"/>
      <c r="AU11" s="26"/>
      <c r="AV11" s="25"/>
      <c r="AW11" s="25"/>
      <c r="AX11" s="25"/>
      <c r="AY11" s="25"/>
    </row>
    <row r="12" spans="1:51" s="42" customFormat="1">
      <c r="A12" s="43">
        <v>2</v>
      </c>
      <c r="B12" s="43"/>
      <c r="C12" s="42" t="s">
        <v>19</v>
      </c>
      <c r="D12" s="43"/>
      <c r="E12" s="206">
        <v>4540286.8899999997</v>
      </c>
      <c r="F12" s="190"/>
      <c r="G12" s="193">
        <v>4642448.26</v>
      </c>
      <c r="H12" s="190"/>
      <c r="I12" s="193">
        <v>4749273.92</v>
      </c>
      <c r="J12" s="190"/>
      <c r="K12" s="193">
        <v>4859999.8599999994</v>
      </c>
      <c r="L12" s="190"/>
      <c r="M12" s="193">
        <v>4969441.51</v>
      </c>
      <c r="N12" s="190"/>
      <c r="O12" s="193">
        <v>5089001.5799999991</v>
      </c>
      <c r="P12" s="190"/>
      <c r="Q12" s="207">
        <v>5209606.8599999994</v>
      </c>
      <c r="R12" s="43"/>
      <c r="S12" s="227">
        <f>'201707 Bk Depr'!$R31</f>
        <v>98875.65</v>
      </c>
      <c r="T12" s="82"/>
      <c r="U12" s="62">
        <f>'201708 Bk Depr'!$R31</f>
        <v>208709.73</v>
      </c>
      <c r="V12" s="82"/>
      <c r="W12" s="62">
        <f>'201709 Bk Depr'!$R31</f>
        <v>318133.18</v>
      </c>
      <c r="X12" s="82"/>
      <c r="Y12" s="62">
        <f>'201710 Bk Depr'!$R31</f>
        <v>423331.62</v>
      </c>
      <c r="Z12" s="82"/>
      <c r="AA12" s="62">
        <f>'201711 Bk Depr'!$R31</f>
        <v>528611.08000000007</v>
      </c>
      <c r="AB12" s="82"/>
      <c r="AC12" s="62">
        <f>'201712 Bk Depr'!$R31</f>
        <v>635962.4</v>
      </c>
      <c r="AD12" s="82"/>
      <c r="AE12" s="228">
        <f t="shared" ref="AE12:AE13" si="0">SUM(S12:AC12)/7</f>
        <v>316231.95142857142</v>
      </c>
      <c r="AF12" s="43"/>
      <c r="AG12"/>
      <c r="AJ12" s="171"/>
      <c r="AK12" s="25"/>
      <c r="AL12" s="25"/>
      <c r="AM12" s="25"/>
      <c r="AN12" s="25"/>
      <c r="AO12" s="25"/>
      <c r="AP12" s="25"/>
      <c r="AQ12" s="26"/>
      <c r="AR12" s="25"/>
      <c r="AS12" s="25"/>
      <c r="AT12" s="25"/>
      <c r="AU12" s="26"/>
      <c r="AV12" s="25"/>
      <c r="AW12" s="25"/>
      <c r="AX12" s="25"/>
      <c r="AY12" s="25"/>
    </row>
    <row r="13" spans="1:51" s="42" customFormat="1">
      <c r="A13" s="43">
        <v>3</v>
      </c>
      <c r="B13" s="43"/>
      <c r="C13" s="42" t="s">
        <v>55</v>
      </c>
      <c r="D13" s="43"/>
      <c r="E13" s="208">
        <v>-11624581.388949178</v>
      </c>
      <c r="F13" s="190"/>
      <c r="G13" s="189">
        <v>-12223718.714747511</v>
      </c>
      <c r="H13" s="191"/>
      <c r="I13" s="189">
        <v>-12830571.515023053</v>
      </c>
      <c r="J13" s="192"/>
      <c r="K13" s="189">
        <v>-13446162.154084053</v>
      </c>
      <c r="L13" s="192"/>
      <c r="M13" s="189">
        <v>-14071952.10238922</v>
      </c>
      <c r="N13" s="192"/>
      <c r="O13" s="189">
        <v>-14708754.916368136</v>
      </c>
      <c r="P13" s="192"/>
      <c r="Q13" s="209">
        <v>-15357043.41514772</v>
      </c>
      <c r="R13" s="168"/>
      <c r="S13" s="229">
        <f>(-'Cap&amp;OpEx 2017'!C$22-'201707 Bk Depr'!$N17-'201707 Bk Depr'!$J17)</f>
        <v>-5144.5105125416667</v>
      </c>
      <c r="T13" s="168"/>
      <c r="U13" s="48">
        <f>(-'Cap&amp;OpEx 2017'!D$22-'201708 Bk Depr'!$N17-'201708 Bk Depr'!$J17)+S13</f>
        <v>-21075.582327083332</v>
      </c>
      <c r="V13" s="168"/>
      <c r="W13" s="48">
        <f>(-'Cap&amp;OpEx 2017'!E$22-'201709 Bk Depr'!$N17-'201709 Bk Depr'!$J17)+U13</f>
        <v>-47757.617503416666</v>
      </c>
      <c r="X13" s="168"/>
      <c r="Y13" s="48">
        <f>(-'Cap&amp;OpEx 2017'!F$22-'201710 Bk Depr'!$N17-'201710 Bk Depr'!$J17)+W13</f>
        <v>-84768.045343249993</v>
      </c>
      <c r="Z13" s="168"/>
      <c r="AA13" s="48">
        <f>(-'Cap&amp;OpEx 2017'!G$22-'201711 Bk Depr'!$N17-'201711 Bk Depr'!$J17)+Y13</f>
        <v>-131797.64098754164</v>
      </c>
      <c r="AB13" s="168"/>
      <c r="AC13" s="48">
        <f>(-'Cap&amp;OpEx 2017'!H$22-'201712 Bk Depr'!$N17-'201712 Bk Depr'!$J17)+AA13</f>
        <v>-187771.92748562497</v>
      </c>
      <c r="AD13" s="82"/>
      <c r="AE13" s="230">
        <f t="shared" si="0"/>
        <v>-68330.760594208332</v>
      </c>
      <c r="AF13" s="43"/>
      <c r="AG13"/>
      <c r="AJ13" s="171"/>
      <c r="AK13" s="25"/>
      <c r="AL13" s="25"/>
      <c r="AM13" s="25"/>
      <c r="AN13" s="25"/>
      <c r="AO13" s="25"/>
      <c r="AP13" s="25"/>
      <c r="AQ13" s="26"/>
      <c r="AR13" s="25"/>
      <c r="AS13" s="25"/>
      <c r="AT13" s="25"/>
      <c r="AU13" s="26"/>
      <c r="AV13" s="25"/>
      <c r="AW13" s="25"/>
      <c r="AX13" s="25"/>
      <c r="AY13" s="25"/>
    </row>
    <row r="14" spans="1:51" s="42" customFormat="1">
      <c r="A14" s="43">
        <v>4</v>
      </c>
      <c r="B14" s="43"/>
      <c r="C14" s="42" t="s">
        <v>56</v>
      </c>
      <c r="D14" s="43"/>
      <c r="E14" s="206">
        <v>211589224.15105072</v>
      </c>
      <c r="F14" s="190"/>
      <c r="G14" s="193">
        <v>213973751.81525239</v>
      </c>
      <c r="H14" s="190"/>
      <c r="I14" s="193">
        <v>216402983.92497689</v>
      </c>
      <c r="J14" s="190"/>
      <c r="K14" s="193">
        <v>219649498.46591589</v>
      </c>
      <c r="L14" s="190"/>
      <c r="M14" s="193">
        <v>223163687.8276107</v>
      </c>
      <c r="N14" s="190"/>
      <c r="O14" s="193">
        <v>226904634.7236318</v>
      </c>
      <c r="P14" s="190"/>
      <c r="Q14" s="207">
        <v>230757181.70485216</v>
      </c>
      <c r="R14" s="82"/>
      <c r="S14" s="227">
        <f>SUM(S11:S13)</f>
        <v>4456886.2694874583</v>
      </c>
      <c r="T14" s="82"/>
      <c r="U14" s="62">
        <f>SUM(U11:U13)</f>
        <v>9289127.9876729175</v>
      </c>
      <c r="V14" s="82"/>
      <c r="W14" s="62">
        <f>SUM(W11:W13)</f>
        <v>13649912.772496583</v>
      </c>
      <c r="X14" s="82"/>
      <c r="Y14" s="62">
        <f>SUM(Y11:Y13)</f>
        <v>17987147.38465675</v>
      </c>
      <c r="Z14" s="82"/>
      <c r="AA14" s="62">
        <f>SUM(AA11:AA13)</f>
        <v>21943749.329012457</v>
      </c>
      <c r="AB14" s="82"/>
      <c r="AC14" s="62">
        <f>SUM(AC11:AC13)</f>
        <v>25385157.112514373</v>
      </c>
      <c r="AD14" s="82"/>
      <c r="AE14" s="228">
        <f>SUM(AE11:AE13)</f>
        <v>13244568.693691507</v>
      </c>
      <c r="AF14" s="82"/>
      <c r="AG14"/>
      <c r="AJ14" s="171"/>
      <c r="AK14" s="21"/>
      <c r="AL14" s="21"/>
      <c r="AM14" s="21"/>
      <c r="AN14" s="21"/>
      <c r="AO14" s="21"/>
      <c r="AP14" s="21"/>
      <c r="AQ14" s="26"/>
      <c r="AR14" s="25"/>
      <c r="AS14" s="25"/>
      <c r="AT14" s="25"/>
      <c r="AU14" s="26"/>
      <c r="AV14" s="25"/>
      <c r="AW14" s="25"/>
      <c r="AX14" s="25"/>
      <c r="AY14" s="25"/>
    </row>
    <row r="15" spans="1:51" s="42" customFormat="1">
      <c r="A15" s="43"/>
      <c r="B15" s="43"/>
      <c r="D15" s="43"/>
      <c r="E15" s="206"/>
      <c r="F15" s="190"/>
      <c r="G15" s="193"/>
      <c r="H15" s="190"/>
      <c r="I15" s="193"/>
      <c r="J15" s="190"/>
      <c r="K15" s="193"/>
      <c r="L15" s="190"/>
      <c r="M15" s="193"/>
      <c r="N15" s="190"/>
      <c r="O15" s="193"/>
      <c r="P15" s="190"/>
      <c r="Q15" s="207"/>
      <c r="R15" s="43"/>
      <c r="S15" s="227"/>
      <c r="T15" s="82"/>
      <c r="U15" s="62"/>
      <c r="V15" s="82"/>
      <c r="W15" s="62"/>
      <c r="X15" s="82"/>
      <c r="Y15" s="62"/>
      <c r="Z15" s="82"/>
      <c r="AA15" s="62"/>
      <c r="AB15" s="82"/>
      <c r="AC15" s="62"/>
      <c r="AD15" s="82"/>
      <c r="AE15" s="228"/>
      <c r="AF15" s="43"/>
      <c r="AG15"/>
      <c r="AJ15" s="171"/>
      <c r="AK15" s="21"/>
      <c r="AL15" s="21"/>
      <c r="AM15" s="21"/>
      <c r="AN15" s="21"/>
      <c r="AO15" s="21"/>
      <c r="AP15" s="21"/>
      <c r="AQ15" s="26"/>
      <c r="AR15" s="25"/>
      <c r="AS15" s="25"/>
      <c r="AT15" s="25"/>
      <c r="AU15" s="26"/>
      <c r="AV15" s="25"/>
      <c r="AW15" s="25"/>
      <c r="AX15" s="25"/>
      <c r="AY15" s="25"/>
    </row>
    <row r="16" spans="1:51" s="42" customFormat="1">
      <c r="A16" s="43">
        <v>5</v>
      </c>
      <c r="B16" s="43"/>
      <c r="C16" s="42" t="s">
        <v>57</v>
      </c>
      <c r="D16" s="43"/>
      <c r="E16" s="208">
        <v>-29925580.547962356</v>
      </c>
      <c r="F16" s="190"/>
      <c r="G16" s="189">
        <v>-36933741.090531789</v>
      </c>
      <c r="H16" s="190"/>
      <c r="I16" s="189">
        <v>-37531662.582907513</v>
      </c>
      <c r="J16" s="190"/>
      <c r="K16" s="189">
        <v>-38157645.852782331</v>
      </c>
      <c r="L16" s="190"/>
      <c r="M16" s="189">
        <v>-38708863.869166292</v>
      </c>
      <c r="N16" s="190"/>
      <c r="O16" s="189">
        <v>-39205882.884475417</v>
      </c>
      <c r="P16" s="190"/>
      <c r="Q16" s="209">
        <v>-39638805.084670633</v>
      </c>
      <c r="R16" s="43"/>
      <c r="S16" s="229">
        <f>-'Tax Depr 2017'!$AP23</f>
        <v>-694497.72784640384</v>
      </c>
      <c r="T16" s="82"/>
      <c r="U16" s="48">
        <f>-'Tax Depr 2017'!$AP24</f>
        <v>-1278665.6714196368</v>
      </c>
      <c r="V16" s="82"/>
      <c r="W16" s="48">
        <f>-'Tax Depr 2017'!$AP25</f>
        <v>-1696076.2257032923</v>
      </c>
      <c r="X16" s="82"/>
      <c r="Y16" s="48">
        <f>-'Tax Depr 2017'!$AP26</f>
        <v>-1957849.0152377391</v>
      </c>
      <c r="Z16" s="82"/>
      <c r="AA16" s="48">
        <f>-'Tax Depr 2017'!$AP27</f>
        <v>-2089679.6086215933</v>
      </c>
      <c r="AB16" s="82"/>
      <c r="AC16" s="48">
        <f>-'Tax Depr 2017'!$AP28</f>
        <v>-2093454.8399021833</v>
      </c>
      <c r="AD16" s="82"/>
      <c r="AE16" s="230">
        <f>AC16</f>
        <v>-2093454.8399021833</v>
      </c>
      <c r="AF16" s="43"/>
      <c r="AG16"/>
      <c r="AJ16" s="171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34" s="42" customFormat="1">
      <c r="A17" s="43"/>
      <c r="B17" s="43"/>
      <c r="D17" s="43"/>
      <c r="E17" s="206"/>
      <c r="F17" s="190"/>
      <c r="G17" s="193"/>
      <c r="H17" s="190"/>
      <c r="I17" s="193"/>
      <c r="J17" s="190"/>
      <c r="K17" s="193"/>
      <c r="L17" s="190"/>
      <c r="M17" s="193"/>
      <c r="N17" s="190"/>
      <c r="O17" s="193"/>
      <c r="P17" s="190"/>
      <c r="Q17" s="207"/>
      <c r="R17" s="43"/>
      <c r="S17" s="227"/>
      <c r="T17" s="82"/>
      <c r="U17" s="62"/>
      <c r="V17" s="82"/>
      <c r="W17" s="62"/>
      <c r="X17" s="82"/>
      <c r="Y17" s="62"/>
      <c r="Z17" s="82"/>
      <c r="AA17" s="62"/>
      <c r="AB17" s="82"/>
      <c r="AC17" s="62"/>
      <c r="AD17" s="82"/>
      <c r="AE17" s="228"/>
      <c r="AF17" s="43"/>
      <c r="AG17"/>
    </row>
    <row r="18" spans="1:34" s="42" customFormat="1">
      <c r="A18" s="43">
        <v>6</v>
      </c>
      <c r="B18" s="43"/>
      <c r="C18" s="157" t="s">
        <v>58</v>
      </c>
      <c r="D18" s="43"/>
      <c r="E18" s="206">
        <v>181663643.60308835</v>
      </c>
      <c r="F18" s="190"/>
      <c r="G18" s="193">
        <v>177040010.7247206</v>
      </c>
      <c r="H18" s="190"/>
      <c r="I18" s="193">
        <v>178871321.34206939</v>
      </c>
      <c r="J18" s="190"/>
      <c r="K18" s="193">
        <v>181491852.61313355</v>
      </c>
      <c r="L18" s="190"/>
      <c r="M18" s="193">
        <v>184454823.95844442</v>
      </c>
      <c r="N18" s="190"/>
      <c r="O18" s="193">
        <v>187698751.83915639</v>
      </c>
      <c r="P18" s="190"/>
      <c r="Q18" s="207">
        <v>191118376.62018153</v>
      </c>
      <c r="R18" s="43"/>
      <c r="S18" s="227">
        <f>SUM(S14:S16)</f>
        <v>3762388.5416410547</v>
      </c>
      <c r="T18" s="82"/>
      <c r="U18" s="62">
        <f>SUM(U14:U16)</f>
        <v>8010462.3162532803</v>
      </c>
      <c r="V18" s="82"/>
      <c r="W18" s="62">
        <f>SUM(W14:W16)</f>
        <v>11953836.546793291</v>
      </c>
      <c r="X18" s="82"/>
      <c r="Y18" s="62">
        <f>SUM(Y14:Y16)</f>
        <v>16029298.36941901</v>
      </c>
      <c r="Z18" s="82"/>
      <c r="AA18" s="62">
        <f>SUM(AA14:AA16)</f>
        <v>19854069.720390864</v>
      </c>
      <c r="AB18" s="82"/>
      <c r="AC18" s="62">
        <f>SUM(AC14:AC16)</f>
        <v>23291702.272612188</v>
      </c>
      <c r="AD18" s="82"/>
      <c r="AE18" s="228">
        <f>SUM(AE14:AE16)</f>
        <v>11151113.853789324</v>
      </c>
      <c r="AF18" s="43"/>
      <c r="AG18"/>
      <c r="AH18" s="159"/>
    </row>
    <row r="19" spans="1:34" s="42" customFormat="1">
      <c r="A19" s="43"/>
      <c r="B19" s="43"/>
      <c r="D19" s="43"/>
      <c r="E19" s="203"/>
      <c r="F19" s="190"/>
      <c r="G19" s="204"/>
      <c r="H19" s="190"/>
      <c r="I19" s="204"/>
      <c r="J19" s="190"/>
      <c r="K19" s="204"/>
      <c r="L19" s="190"/>
      <c r="M19" s="204"/>
      <c r="N19" s="190"/>
      <c r="O19" s="204"/>
      <c r="P19" s="190"/>
      <c r="Q19" s="205"/>
      <c r="R19" s="43"/>
      <c r="S19" s="225"/>
      <c r="T19" s="82"/>
      <c r="U19" s="21"/>
      <c r="V19" s="82"/>
      <c r="W19" s="21"/>
      <c r="X19" s="82"/>
      <c r="Y19" s="21"/>
      <c r="Z19" s="82"/>
      <c r="AA19" s="21"/>
      <c r="AB19" s="82"/>
      <c r="AC19" s="21"/>
      <c r="AD19" s="82"/>
      <c r="AE19" s="226"/>
      <c r="AF19" s="43"/>
      <c r="AG19"/>
    </row>
    <row r="20" spans="1:34" s="42" customFormat="1">
      <c r="A20" s="43">
        <v>7</v>
      </c>
      <c r="B20" s="43"/>
      <c r="C20" s="42" t="s">
        <v>59</v>
      </c>
      <c r="D20" s="43"/>
      <c r="E20" s="210">
        <v>8.7039841473943429E-3</v>
      </c>
      <c r="F20" s="190"/>
      <c r="G20" s="194">
        <v>8.7039841473943429E-3</v>
      </c>
      <c r="H20" s="190"/>
      <c r="I20" s="194">
        <v>8.7039841473943429E-3</v>
      </c>
      <c r="J20" s="190"/>
      <c r="K20" s="194">
        <v>8.7039841473943429E-3</v>
      </c>
      <c r="L20" s="190"/>
      <c r="M20" s="194">
        <v>8.7039841473943429E-3</v>
      </c>
      <c r="N20" s="190"/>
      <c r="O20" s="194">
        <v>8.7039841473943429E-3</v>
      </c>
      <c r="P20" s="190"/>
      <c r="Q20" s="211">
        <v>8.7039841473943429E-3</v>
      </c>
      <c r="R20" s="43"/>
      <c r="S20" s="231">
        <f>ROR!$M$14/12</f>
        <v>8.7039841473943429E-3</v>
      </c>
      <c r="T20" s="82"/>
      <c r="U20" s="49">
        <f>ROR!$M$14/12</f>
        <v>8.7039841473943429E-3</v>
      </c>
      <c r="V20" s="82"/>
      <c r="W20" s="49">
        <f>ROR!$M$14/12</f>
        <v>8.7039841473943429E-3</v>
      </c>
      <c r="X20" s="82"/>
      <c r="Y20" s="49">
        <f>ROR!$M$14/12</f>
        <v>8.7039841473943429E-3</v>
      </c>
      <c r="Z20" s="82"/>
      <c r="AA20" s="49">
        <f>ROR!$M$14/12</f>
        <v>8.7039841473943429E-3</v>
      </c>
      <c r="AB20" s="82"/>
      <c r="AC20" s="49">
        <f>ROR!$M$14/12</f>
        <v>8.7039841473943429E-3</v>
      </c>
      <c r="AD20" s="82"/>
      <c r="AE20" s="232">
        <f>ROR!$M$14/2</f>
        <v>5.2223904884366054E-2</v>
      </c>
      <c r="AF20" s="43"/>
      <c r="AG20"/>
    </row>
    <row r="21" spans="1:34" s="42" customFormat="1">
      <c r="A21" s="43"/>
      <c r="B21" s="43"/>
      <c r="D21" s="43"/>
      <c r="E21" s="212"/>
      <c r="F21" s="190"/>
      <c r="G21" s="204"/>
      <c r="H21" s="190"/>
      <c r="I21" s="204"/>
      <c r="J21" s="190"/>
      <c r="K21" s="204"/>
      <c r="L21" s="190"/>
      <c r="M21" s="204"/>
      <c r="N21" s="190"/>
      <c r="O21" s="204"/>
      <c r="P21" s="190"/>
      <c r="Q21" s="205"/>
      <c r="R21" s="43"/>
      <c r="S21" s="225"/>
      <c r="T21" s="82"/>
      <c r="U21" s="21"/>
      <c r="V21" s="82"/>
      <c r="W21" s="21"/>
      <c r="X21" s="82"/>
      <c r="Y21" s="21"/>
      <c r="Z21" s="82"/>
      <c r="AA21" s="21"/>
      <c r="AB21" s="82"/>
      <c r="AC21" s="21"/>
      <c r="AD21" s="82"/>
      <c r="AE21" s="226"/>
      <c r="AF21" s="43"/>
      <c r="AG21"/>
    </row>
    <row r="22" spans="1:34" s="42" customFormat="1">
      <c r="A22" s="43">
        <v>8</v>
      </c>
      <c r="B22" s="43"/>
      <c r="C22" s="42" t="s">
        <v>60</v>
      </c>
      <c r="D22" s="43"/>
      <c r="E22" s="213">
        <v>1581197.4740791768</v>
      </c>
      <c r="F22" s="190"/>
      <c r="G22" s="195">
        <v>1540953.4468024925</v>
      </c>
      <c r="H22" s="190"/>
      <c r="I22" s="195">
        <v>1556893.1453848514</v>
      </c>
      <c r="J22" s="190"/>
      <c r="K22" s="195">
        <v>1579702.2080259449</v>
      </c>
      <c r="L22" s="190"/>
      <c r="M22" s="195">
        <v>1605491.8636447145</v>
      </c>
      <c r="N22" s="190"/>
      <c r="O22" s="195">
        <v>1633726.960493722</v>
      </c>
      <c r="P22" s="190"/>
      <c r="Q22" s="214">
        <v>1663491.3203778018</v>
      </c>
      <c r="R22" s="43"/>
      <c r="S22" s="233">
        <f>S18*S20</f>
        <v>32747.770222781859</v>
      </c>
      <c r="T22" s="82"/>
      <c r="U22" s="50">
        <f>U18*U20</f>
        <v>69722.937013968316</v>
      </c>
      <c r="V22" s="82"/>
      <c r="W22" s="50">
        <f>W18*W20</f>
        <v>104046.00380383195</v>
      </c>
      <c r="X22" s="82"/>
      <c r="Y22" s="50">
        <f>Y18*Y20</f>
        <v>139518.75890127706</v>
      </c>
      <c r="Z22" s="82"/>
      <c r="AA22" s="50">
        <f>AA18*AA20</f>
        <v>172809.50810754413</v>
      </c>
      <c r="AB22" s="82"/>
      <c r="AC22" s="50">
        <f>AC18*AC20</f>
        <v>202730.60734664527</v>
      </c>
      <c r="AD22" s="82"/>
      <c r="AE22" s="237">
        <f>AE18*AE20</f>
        <v>582354.70925503026</v>
      </c>
      <c r="AF22" s="43"/>
      <c r="AG22"/>
    </row>
    <row r="23" spans="1:34" s="42" customFormat="1">
      <c r="A23" s="43"/>
      <c r="B23" s="43"/>
      <c r="D23" s="43"/>
      <c r="E23" s="212"/>
      <c r="F23" s="190"/>
      <c r="G23" s="204"/>
      <c r="H23" s="190"/>
      <c r="I23" s="204"/>
      <c r="J23" s="190"/>
      <c r="K23" s="204"/>
      <c r="L23" s="190"/>
      <c r="M23" s="204"/>
      <c r="N23" s="190"/>
      <c r="O23" s="204"/>
      <c r="P23" s="190"/>
      <c r="Q23" s="205"/>
      <c r="R23" s="43"/>
      <c r="S23" s="225"/>
      <c r="T23" s="82"/>
      <c r="U23" s="21"/>
      <c r="V23" s="82"/>
      <c r="W23" s="21"/>
      <c r="X23" s="82"/>
      <c r="Y23" s="21"/>
      <c r="Z23" s="82"/>
      <c r="AA23" s="21"/>
      <c r="AB23" s="82"/>
      <c r="AC23" s="21"/>
      <c r="AD23" s="82"/>
      <c r="AE23" s="226"/>
      <c r="AF23" s="43"/>
      <c r="AG23"/>
    </row>
    <row r="24" spans="1:34" s="42" customFormat="1">
      <c r="A24" s="43"/>
      <c r="B24" s="156" t="s">
        <v>61</v>
      </c>
      <c r="D24" s="43"/>
      <c r="E24" s="203"/>
      <c r="F24" s="190"/>
      <c r="G24" s="204"/>
      <c r="H24" s="190"/>
      <c r="I24" s="204"/>
      <c r="J24" s="190"/>
      <c r="K24" s="204"/>
      <c r="L24" s="190"/>
      <c r="M24" s="204"/>
      <c r="N24" s="190"/>
      <c r="O24" s="204"/>
      <c r="P24" s="190"/>
      <c r="Q24" s="205"/>
      <c r="R24" s="43"/>
      <c r="S24" s="225"/>
      <c r="T24" s="82"/>
      <c r="U24" s="21"/>
      <c r="V24" s="82"/>
      <c r="W24" s="21"/>
      <c r="X24" s="82"/>
      <c r="Y24" s="21"/>
      <c r="Z24" s="82"/>
      <c r="AA24" s="21"/>
      <c r="AB24" s="82"/>
      <c r="AC24" s="21"/>
      <c r="AD24" s="82"/>
      <c r="AE24" s="226"/>
      <c r="AF24" s="43"/>
      <c r="AG24"/>
    </row>
    <row r="25" spans="1:34" s="42" customFormat="1">
      <c r="A25" s="43">
        <v>9</v>
      </c>
      <c r="B25" s="43"/>
      <c r="C25" s="42" t="s">
        <v>0</v>
      </c>
      <c r="D25" s="43"/>
      <c r="E25" s="206">
        <v>579467.52354124992</v>
      </c>
      <c r="F25" s="190"/>
      <c r="G25" s="193">
        <v>588476.18058408331</v>
      </c>
      <c r="H25" s="190"/>
      <c r="I25" s="193">
        <v>596191.65506129165</v>
      </c>
      <c r="J25" s="190"/>
      <c r="K25" s="193">
        <v>604929.49384674989</v>
      </c>
      <c r="L25" s="190"/>
      <c r="M25" s="193">
        <v>615128.8030909166</v>
      </c>
      <c r="N25" s="190"/>
      <c r="O25" s="193">
        <v>626141.66876466665</v>
      </c>
      <c r="P25" s="190"/>
      <c r="Q25" s="207">
        <v>637627.35356533329</v>
      </c>
      <c r="R25" s="43"/>
      <c r="S25" s="227">
        <f>'201707 Bk Depr'!$P25</f>
        <v>5144.5105125416667</v>
      </c>
      <c r="T25" s="82"/>
      <c r="U25" s="62">
        <f>'201708 Bk Depr'!$P25</f>
        <v>15931.071814541665</v>
      </c>
      <c r="V25" s="82"/>
      <c r="W25" s="62">
        <f>'201709 Bk Depr'!$P25</f>
        <v>26682.035176333331</v>
      </c>
      <c r="X25" s="82"/>
      <c r="Y25" s="62">
        <f>'201710 Bk Depr'!$P25</f>
        <v>37010.427839833326</v>
      </c>
      <c r="Z25" s="82"/>
      <c r="AA25" s="62">
        <f>'201711 Bk Depr'!$P25</f>
        <v>47029.595644291665</v>
      </c>
      <c r="AB25" s="82"/>
      <c r="AC25" s="62">
        <f>'201712 Bk Depr'!$P25</f>
        <v>55974.286498083326</v>
      </c>
      <c r="AD25" s="82"/>
      <c r="AE25" s="228">
        <f>SUM(S25:AC25)</f>
        <v>187771.92748562497</v>
      </c>
      <c r="AF25" s="43"/>
      <c r="AG25"/>
      <c r="AH25" s="159"/>
    </row>
    <row r="26" spans="1:34" s="42" customFormat="1">
      <c r="A26" s="43">
        <v>10</v>
      </c>
      <c r="B26" s="43"/>
      <c r="C26" s="21" t="s">
        <v>62</v>
      </c>
      <c r="D26" s="82"/>
      <c r="E26" s="206">
        <v>117915.46000000002</v>
      </c>
      <c r="F26" s="190"/>
      <c r="G26" s="193">
        <v>139510.51999999999</v>
      </c>
      <c r="H26" s="190"/>
      <c r="I26" s="193">
        <v>73320.98000000001</v>
      </c>
      <c r="J26" s="190"/>
      <c r="K26" s="193">
        <v>111290.44000000003</v>
      </c>
      <c r="L26" s="190"/>
      <c r="M26" s="193">
        <v>45198.47</v>
      </c>
      <c r="N26" s="190"/>
      <c r="O26" s="193">
        <v>140279.72</v>
      </c>
      <c r="P26" s="190"/>
      <c r="Q26" s="207">
        <v>120955.86000000002</v>
      </c>
      <c r="R26" s="82"/>
      <c r="S26" s="227">
        <f>'Cap&amp;OpEx 2017'!C29</f>
        <v>102067.34</v>
      </c>
      <c r="T26" s="82"/>
      <c r="U26" s="62">
        <f>'Cap&amp;OpEx 2017'!D29</f>
        <v>136533.25999999992</v>
      </c>
      <c r="V26" s="82"/>
      <c r="W26" s="62">
        <f>'Cap&amp;OpEx 2017'!E29</f>
        <v>129354.00000000003</v>
      </c>
      <c r="X26" s="82"/>
      <c r="Y26" s="62">
        <f>'Cap&amp;OpEx 2017'!F29</f>
        <v>148435.16999999995</v>
      </c>
      <c r="Z26" s="82"/>
      <c r="AA26" s="62">
        <f>'Cap&amp;OpEx 2017'!G29</f>
        <v>116794.94999999998</v>
      </c>
      <c r="AB26" s="82"/>
      <c r="AC26" s="62">
        <f>'Cap&amp;OpEx 2017'!H29</f>
        <v>115895.67000000001</v>
      </c>
      <c r="AD26" s="82"/>
      <c r="AE26" s="228">
        <f>SUM(S26:AC26)</f>
        <v>749080.3899999999</v>
      </c>
      <c r="AF26" s="43"/>
      <c r="AG26"/>
      <c r="AH26" s="159"/>
    </row>
    <row r="27" spans="1:34" s="42" customFormat="1">
      <c r="A27" s="43">
        <v>11</v>
      </c>
      <c r="B27" s="43"/>
      <c r="C27" s="42" t="s">
        <v>196</v>
      </c>
      <c r="D27" s="43"/>
      <c r="E27" s="206">
        <v>178960</v>
      </c>
      <c r="F27" s="190"/>
      <c r="G27" s="193">
        <v>237772.02999999994</v>
      </c>
      <c r="H27" s="190"/>
      <c r="I27" s="193">
        <v>237772.02999999994</v>
      </c>
      <c r="J27" s="190"/>
      <c r="K27" s="193">
        <v>237772.02999999994</v>
      </c>
      <c r="L27" s="190"/>
      <c r="M27" s="193">
        <v>237772.02999999994</v>
      </c>
      <c r="N27" s="190"/>
      <c r="O27" s="193">
        <v>237772.02999999994</v>
      </c>
      <c r="P27" s="190"/>
      <c r="Q27" s="207">
        <v>237772.02999999994</v>
      </c>
      <c r="R27" s="43"/>
      <c r="S27" s="227">
        <f>'Cap&amp;OpEx 2017'!C30</f>
        <v>0</v>
      </c>
      <c r="T27" s="82"/>
      <c r="U27" s="62">
        <f>'Cap&amp;OpEx 2017'!D30</f>
        <v>0</v>
      </c>
      <c r="V27" s="82"/>
      <c r="W27" s="62">
        <f>'Cap&amp;OpEx 2017'!E30</f>
        <v>0</v>
      </c>
      <c r="X27" s="82"/>
      <c r="Y27" s="62">
        <f>'Cap&amp;OpEx 2017'!F30</f>
        <v>0</v>
      </c>
      <c r="Z27" s="82"/>
      <c r="AA27" s="62">
        <f>'Cap&amp;OpEx 2017'!G30</f>
        <v>0</v>
      </c>
      <c r="AB27" s="82"/>
      <c r="AC27" s="62">
        <f>'Cap&amp;OpEx 2017'!H30</f>
        <v>0</v>
      </c>
      <c r="AD27" s="82"/>
      <c r="AE27" s="228">
        <f>SUM(S27:AC27)</f>
        <v>0</v>
      </c>
      <c r="AF27" s="43"/>
      <c r="AG27"/>
      <c r="AH27" s="159"/>
    </row>
    <row r="28" spans="1:34" s="42" customFormat="1">
      <c r="A28" s="43"/>
      <c r="B28" s="43"/>
      <c r="D28" s="43"/>
      <c r="E28" s="206"/>
      <c r="F28" s="190"/>
      <c r="G28" s="193"/>
      <c r="H28" s="190"/>
      <c r="I28" s="193"/>
      <c r="J28" s="190"/>
      <c r="K28" s="193"/>
      <c r="L28" s="190"/>
      <c r="M28" s="193"/>
      <c r="N28" s="190"/>
      <c r="O28" s="193"/>
      <c r="P28" s="190"/>
      <c r="Q28" s="207"/>
      <c r="R28" s="43"/>
      <c r="S28" s="227"/>
      <c r="T28" s="82"/>
      <c r="U28" s="62"/>
      <c r="V28" s="82"/>
      <c r="W28" s="62"/>
      <c r="X28" s="82"/>
      <c r="Y28" s="62"/>
      <c r="Z28" s="82"/>
      <c r="AA28" s="62"/>
      <c r="AB28" s="82"/>
      <c r="AC28" s="62"/>
      <c r="AD28" s="82"/>
      <c r="AE28" s="228"/>
      <c r="AF28" s="43"/>
      <c r="AG28"/>
    </row>
    <row r="29" spans="1:34" s="42" customFormat="1">
      <c r="A29" s="43">
        <v>12</v>
      </c>
      <c r="B29" s="43"/>
      <c r="C29" s="42" t="s">
        <v>63</v>
      </c>
      <c r="D29" s="43"/>
      <c r="E29" s="206">
        <v>876342.98354125</v>
      </c>
      <c r="F29" s="190"/>
      <c r="G29" s="193">
        <v>965758.73058408324</v>
      </c>
      <c r="H29" s="190"/>
      <c r="I29" s="193">
        <v>907284.66506129154</v>
      </c>
      <c r="J29" s="190"/>
      <c r="K29" s="193">
        <v>953991.96384674986</v>
      </c>
      <c r="L29" s="190"/>
      <c r="M29" s="193">
        <v>898099.30309091648</v>
      </c>
      <c r="N29" s="190"/>
      <c r="O29" s="193">
        <v>1004193.4187646665</v>
      </c>
      <c r="P29" s="190"/>
      <c r="Q29" s="207">
        <v>996355.24356533319</v>
      </c>
      <c r="R29" s="43"/>
      <c r="S29" s="227">
        <f>SUM(S25:S28)</f>
        <v>107211.85051254166</v>
      </c>
      <c r="T29" s="82"/>
      <c r="U29" s="62">
        <f>SUM(U25:U28)</f>
        <v>152464.3318145416</v>
      </c>
      <c r="V29" s="82"/>
      <c r="W29" s="62">
        <f>SUM(W25:W28)</f>
        <v>156036.03517633336</v>
      </c>
      <c r="X29" s="82"/>
      <c r="Y29" s="62">
        <f>SUM(Y25:Y28)</f>
        <v>185445.5978398333</v>
      </c>
      <c r="Z29" s="82"/>
      <c r="AA29" s="62">
        <f>SUM(AA25:AA28)</f>
        <v>163824.54564429165</v>
      </c>
      <c r="AB29" s="82"/>
      <c r="AC29" s="62">
        <f>SUM(AC25:AC28)</f>
        <v>171869.95649808334</v>
      </c>
      <c r="AD29" s="82"/>
      <c r="AE29" s="228">
        <f>SUM(AE25:AE28)</f>
        <v>936852.31748562492</v>
      </c>
      <c r="AF29" s="43"/>
      <c r="AG29"/>
    </row>
    <row r="30" spans="1:34" s="42" customFormat="1">
      <c r="A30" s="43"/>
      <c r="B30" s="43"/>
      <c r="D30" s="43"/>
      <c r="E30" s="203"/>
      <c r="F30" s="190"/>
      <c r="G30" s="204"/>
      <c r="H30" s="190"/>
      <c r="I30" s="204"/>
      <c r="J30" s="190"/>
      <c r="K30" s="204"/>
      <c r="L30" s="190"/>
      <c r="M30" s="204"/>
      <c r="N30" s="190"/>
      <c r="O30" s="204"/>
      <c r="P30" s="190"/>
      <c r="Q30" s="205"/>
      <c r="R30" s="43"/>
      <c r="S30" s="225"/>
      <c r="T30" s="82"/>
      <c r="U30" s="21"/>
      <c r="V30" s="82"/>
      <c r="W30" s="21"/>
      <c r="X30" s="82"/>
      <c r="Y30" s="21"/>
      <c r="Z30" s="82"/>
      <c r="AA30" s="21"/>
      <c r="AB30" s="82"/>
      <c r="AC30" s="21"/>
      <c r="AD30" s="82"/>
      <c r="AE30" s="226"/>
      <c r="AF30" s="43"/>
      <c r="AG30"/>
    </row>
    <row r="31" spans="1:34" s="42" customFormat="1">
      <c r="A31" s="43">
        <v>13</v>
      </c>
      <c r="B31" s="156" t="s">
        <v>180</v>
      </c>
      <c r="D31" s="43"/>
      <c r="E31" s="215">
        <v>2457540.457620427</v>
      </c>
      <c r="F31" s="191"/>
      <c r="G31" s="216">
        <v>2506712.1773865758</v>
      </c>
      <c r="H31" s="191"/>
      <c r="I31" s="216">
        <v>2464177.8104461432</v>
      </c>
      <c r="J31" s="191"/>
      <c r="K31" s="216">
        <v>2533694.171872695</v>
      </c>
      <c r="L31" s="191"/>
      <c r="M31" s="216">
        <v>2503591.1667356309</v>
      </c>
      <c r="N31" s="191"/>
      <c r="O31" s="216">
        <v>2637920.3792583887</v>
      </c>
      <c r="P31" s="191"/>
      <c r="Q31" s="217">
        <v>2659846.5639431351</v>
      </c>
      <c r="R31" s="43"/>
      <c r="S31" s="234">
        <f>S22+S29</f>
        <v>139959.62073532352</v>
      </c>
      <c r="T31" s="83"/>
      <c r="U31" s="235">
        <f>U22+U29</f>
        <v>222187.2688285099</v>
      </c>
      <c r="V31" s="83"/>
      <c r="W31" s="235">
        <f>W22+W29</f>
        <v>260082.03898016532</v>
      </c>
      <c r="X31" s="83"/>
      <c r="Y31" s="235">
        <f>Y22+Y29</f>
        <v>324964.35674111033</v>
      </c>
      <c r="Z31" s="83"/>
      <c r="AA31" s="235">
        <f>AA22+AA29</f>
        <v>336634.05375183577</v>
      </c>
      <c r="AB31" s="83"/>
      <c r="AC31" s="235">
        <f>AC22+AC29</f>
        <v>374600.56384472863</v>
      </c>
      <c r="AD31" s="83"/>
      <c r="AE31" s="236">
        <f>AE22+AE29</f>
        <v>1519207.0267406553</v>
      </c>
      <c r="AF31" s="43"/>
      <c r="AG31"/>
    </row>
    <row r="32" spans="1:34" s="42" customFormat="1">
      <c r="A32" s="43"/>
      <c r="B32" s="43"/>
      <c r="D32" s="43"/>
      <c r="E32" s="159"/>
      <c r="F32" s="43"/>
      <c r="H32" s="43"/>
      <c r="J32" s="43"/>
      <c r="L32" s="43"/>
      <c r="N32" s="43"/>
      <c r="P32" s="43"/>
      <c r="R32" s="43"/>
      <c r="T32" s="43"/>
      <c r="V32" s="43"/>
      <c r="X32" s="43"/>
      <c r="Z32" s="43"/>
      <c r="AB32" s="43"/>
      <c r="AC32" s="159"/>
      <c r="AD32" s="43"/>
      <c r="AF32" s="43"/>
      <c r="AG32"/>
    </row>
    <row r="33" spans="1:43" customFormat="1" ht="12.75"/>
    <row r="34" spans="1:43" s="42" customFormat="1">
      <c r="D34" s="43"/>
      <c r="E34" s="47"/>
      <c r="F34" s="43"/>
      <c r="G34" s="160"/>
      <c r="H34" s="43"/>
      <c r="I34" s="160"/>
      <c r="J34" s="43"/>
      <c r="K34" s="160"/>
      <c r="L34" s="43"/>
      <c r="M34" s="160"/>
      <c r="N34" s="43"/>
      <c r="O34" s="160"/>
      <c r="P34" s="43"/>
      <c r="Q34" s="160"/>
      <c r="R34" s="43"/>
      <c r="S34" s="160"/>
      <c r="T34" s="43"/>
      <c r="U34" s="160"/>
      <c r="V34" s="43"/>
      <c r="W34" s="160"/>
      <c r="X34" s="43"/>
      <c r="Y34" s="160"/>
      <c r="Z34" s="43"/>
      <c r="AA34" s="160"/>
      <c r="AB34" s="43"/>
      <c r="AD34" s="43"/>
      <c r="AF34" s="43"/>
      <c r="AG34"/>
    </row>
    <row r="35" spans="1:43" s="42" customFormat="1">
      <c r="A35" s="284"/>
      <c r="B35" s="285"/>
      <c r="C35" s="21"/>
      <c r="D35" s="82"/>
      <c r="E35" s="21"/>
      <c r="F35" s="82"/>
      <c r="G35" s="21"/>
      <c r="H35" s="82"/>
      <c r="I35" s="21"/>
      <c r="J35" s="82"/>
      <c r="K35" s="21"/>
      <c r="L35" s="82"/>
      <c r="M35" s="21"/>
      <c r="N35" s="82"/>
      <c r="O35" s="21"/>
      <c r="P35" s="82"/>
      <c r="Q35" s="21"/>
      <c r="R35" s="82"/>
      <c r="S35" s="21"/>
      <c r="T35" s="82"/>
      <c r="U35" s="21"/>
      <c r="V35" s="82"/>
      <c r="W35" s="21"/>
      <c r="X35" s="82"/>
      <c r="Y35" s="21"/>
      <c r="Z35" s="82"/>
      <c r="AA35" s="21"/>
      <c r="AB35" s="82"/>
      <c r="AC35" s="21"/>
      <c r="AD35" s="82"/>
      <c r="AE35" s="21"/>
      <c r="AF35" s="82"/>
      <c r="AG35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>
      <c r="A36" s="286"/>
      <c r="B36" s="287"/>
      <c r="C36" s="31"/>
      <c r="D36" s="286"/>
      <c r="E36" s="31"/>
      <c r="F36" s="286"/>
      <c r="G36" s="31"/>
      <c r="H36" s="286"/>
      <c r="I36" s="31"/>
      <c r="J36" s="286"/>
      <c r="K36" s="31"/>
      <c r="L36" s="286"/>
      <c r="M36" s="31"/>
      <c r="N36" s="286"/>
      <c r="O36" s="31"/>
      <c r="P36" s="286"/>
      <c r="Q36" s="31"/>
      <c r="R36" s="286"/>
      <c r="S36" s="31"/>
      <c r="T36" s="286"/>
      <c r="U36" s="31"/>
      <c r="V36" s="286"/>
      <c r="W36" s="31"/>
      <c r="X36" s="286"/>
      <c r="Y36" s="31"/>
      <c r="Z36" s="286"/>
      <c r="AA36" s="31"/>
      <c r="AB36" s="286"/>
      <c r="AC36" s="31"/>
      <c r="AD36" s="286"/>
      <c r="AE36" s="31"/>
      <c r="AF36" s="286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>
      <c r="A37" s="286"/>
      <c r="B37" s="286"/>
      <c r="C37" s="288"/>
      <c r="D37" s="286"/>
      <c r="E37" s="289"/>
      <c r="F37" s="286"/>
      <c r="G37" s="289"/>
      <c r="H37" s="286"/>
      <c r="I37" s="289"/>
      <c r="J37" s="286"/>
      <c r="K37" s="289"/>
      <c r="L37" s="286"/>
      <c r="M37" s="289"/>
      <c r="N37" s="286"/>
      <c r="O37" s="289"/>
      <c r="P37" s="286"/>
      <c r="Q37" s="289"/>
      <c r="R37" s="286"/>
      <c r="S37" s="289"/>
      <c r="T37" s="286"/>
      <c r="U37" s="289"/>
      <c r="V37" s="286"/>
      <c r="W37" s="289"/>
      <c r="X37" s="286"/>
      <c r="Y37" s="289"/>
      <c r="Z37" s="286"/>
      <c r="AA37" s="289"/>
      <c r="AB37" s="286"/>
      <c r="AC37" s="289"/>
      <c r="AD37" s="286"/>
      <c r="AE37" s="289"/>
      <c r="AF37" s="286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>
      <c r="A38" s="286"/>
      <c r="B38" s="286"/>
      <c r="C38" s="288"/>
      <c r="D38" s="286"/>
      <c r="E38" s="289"/>
      <c r="F38" s="286"/>
      <c r="G38" s="289"/>
      <c r="H38" s="286"/>
      <c r="I38" s="289"/>
      <c r="J38" s="286"/>
      <c r="K38" s="289"/>
      <c r="L38" s="286"/>
      <c r="M38" s="289"/>
      <c r="N38" s="286"/>
      <c r="O38" s="289"/>
      <c r="P38" s="286"/>
      <c r="Q38" s="289"/>
      <c r="R38" s="286"/>
      <c r="S38" s="289"/>
      <c r="T38" s="286"/>
      <c r="U38" s="289"/>
      <c r="V38" s="286"/>
      <c r="W38" s="289"/>
      <c r="X38" s="286"/>
      <c r="Y38" s="289"/>
      <c r="Z38" s="286"/>
      <c r="AA38" s="289"/>
      <c r="AB38" s="286"/>
      <c r="AC38" s="289"/>
      <c r="AD38" s="286"/>
      <c r="AE38" s="289"/>
      <c r="AF38" s="286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43">
      <c r="A39" s="286"/>
      <c r="B39" s="286"/>
      <c r="C39" s="288"/>
      <c r="D39" s="286"/>
      <c r="E39" s="289"/>
      <c r="F39" s="286"/>
      <c r="G39" s="289"/>
      <c r="H39" s="286"/>
      <c r="I39" s="289"/>
      <c r="J39" s="286"/>
      <c r="K39" s="289"/>
      <c r="L39" s="286"/>
      <c r="M39" s="289"/>
      <c r="N39" s="286"/>
      <c r="O39" s="289"/>
      <c r="P39" s="286"/>
      <c r="Q39" s="289"/>
      <c r="R39" s="286"/>
      <c r="S39" s="289"/>
      <c r="T39" s="286"/>
      <c r="U39" s="289"/>
      <c r="V39" s="286"/>
      <c r="W39" s="289"/>
      <c r="X39" s="286"/>
      <c r="Y39" s="289"/>
      <c r="Z39" s="286"/>
      <c r="AA39" s="289"/>
      <c r="AB39" s="286"/>
      <c r="AC39" s="289"/>
      <c r="AD39" s="286"/>
      <c r="AE39" s="289"/>
      <c r="AF39" s="286"/>
      <c r="AH39" s="31"/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43">
      <c r="A40" s="286"/>
      <c r="B40" s="286"/>
      <c r="C40" s="288"/>
      <c r="D40" s="286"/>
      <c r="E40" s="289"/>
      <c r="F40" s="286"/>
      <c r="G40" s="289"/>
      <c r="H40" s="286"/>
      <c r="I40" s="289"/>
      <c r="J40" s="286"/>
      <c r="K40" s="289"/>
      <c r="L40" s="286"/>
      <c r="M40" s="289"/>
      <c r="N40" s="286"/>
      <c r="O40" s="289"/>
      <c r="P40" s="286"/>
      <c r="Q40" s="289"/>
      <c r="R40" s="286"/>
      <c r="S40" s="289"/>
      <c r="T40" s="286"/>
      <c r="U40" s="289"/>
      <c r="V40" s="286"/>
      <c r="W40" s="289"/>
      <c r="X40" s="286"/>
      <c r="Y40" s="289"/>
      <c r="Z40" s="286"/>
      <c r="AA40" s="289"/>
      <c r="AB40" s="286"/>
      <c r="AC40" s="289"/>
      <c r="AD40" s="286"/>
      <c r="AE40" s="289"/>
      <c r="AF40" s="286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>
      <c r="A41" s="31"/>
      <c r="B41" s="31"/>
      <c r="C41" s="29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3">
      <c r="A42" s="31"/>
      <c r="B42" s="291"/>
      <c r="C42" s="29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43">
      <c r="A43" s="31"/>
      <c r="B43" s="31"/>
      <c r="C43" s="29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3">
      <c r="A46" s="31"/>
      <c r="B46" s="31"/>
      <c r="C46" s="31"/>
      <c r="D46" s="31"/>
      <c r="E46" s="31"/>
      <c r="F46" s="31"/>
      <c r="G46" s="293"/>
      <c r="H46" s="31"/>
      <c r="I46" s="293"/>
      <c r="J46" s="31"/>
      <c r="K46" s="293"/>
      <c r="L46" s="31"/>
      <c r="M46" s="293"/>
      <c r="N46" s="31"/>
      <c r="O46" s="293"/>
      <c r="P46" s="31"/>
      <c r="Q46" s="293"/>
      <c r="R46" s="31"/>
      <c r="S46" s="293"/>
      <c r="T46" s="31"/>
      <c r="U46" s="293"/>
      <c r="V46" s="31"/>
      <c r="W46" s="293"/>
      <c r="X46" s="31"/>
      <c r="Y46" s="293"/>
      <c r="Z46" s="31"/>
      <c r="AA46" s="293"/>
      <c r="AB46" s="31"/>
      <c r="AC46" s="31"/>
      <c r="AD46" s="31"/>
      <c r="AE46" s="31"/>
      <c r="AF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>
      <c r="A48" s="294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51">
      <c r="A49" s="29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51">
      <c r="A50" s="2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51">
      <c r="A51" s="286"/>
      <c r="B51" s="286"/>
      <c r="C51" s="31"/>
      <c r="D51" s="286"/>
      <c r="E51" s="31"/>
      <c r="F51" s="286"/>
      <c r="G51" s="31"/>
      <c r="H51" s="286"/>
      <c r="I51" s="31"/>
      <c r="J51" s="286"/>
      <c r="K51" s="31"/>
      <c r="L51" s="286"/>
      <c r="M51" s="31"/>
      <c r="N51" s="286"/>
      <c r="O51" s="31"/>
      <c r="P51" s="286"/>
      <c r="Q51" s="31"/>
      <c r="R51" s="286"/>
      <c r="S51" s="31"/>
      <c r="T51" s="286"/>
      <c r="U51" s="31"/>
      <c r="V51" s="286"/>
      <c r="W51" s="31"/>
      <c r="X51" s="286"/>
      <c r="Y51" s="31"/>
      <c r="Z51" s="286"/>
      <c r="AA51" s="31"/>
      <c r="AB51" s="286"/>
      <c r="AC51" s="31"/>
      <c r="AD51" s="286"/>
      <c r="AE51" s="31"/>
      <c r="AF51" s="286"/>
      <c r="AH51" s="31"/>
      <c r="AI51" s="31"/>
      <c r="AJ51" s="27"/>
      <c r="AK51" s="28"/>
      <c r="AL51" s="28"/>
      <c r="AM51" s="28"/>
      <c r="AN51" s="28"/>
      <c r="AO51" s="28"/>
      <c r="AP51" s="28"/>
      <c r="AQ51" s="28"/>
      <c r="AR51" s="185"/>
      <c r="AS51" s="185"/>
      <c r="AT51" s="185"/>
      <c r="AU51" s="185"/>
      <c r="AV51" s="185"/>
      <c r="AW51" s="185"/>
      <c r="AX51" s="185"/>
      <c r="AY51" s="185"/>
    </row>
    <row r="52" spans="1:51">
      <c r="A52" s="29"/>
      <c r="B52" s="286"/>
      <c r="C52" s="31"/>
      <c r="D52" s="286"/>
      <c r="E52" s="29"/>
      <c r="F52" s="286"/>
      <c r="G52" s="29"/>
      <c r="H52" s="29"/>
      <c r="I52" s="29"/>
      <c r="J52" s="29"/>
      <c r="K52" s="29"/>
      <c r="L52" s="29"/>
      <c r="M52" s="29"/>
      <c r="N52" s="29"/>
      <c r="O52" s="29"/>
      <c r="P52" s="286"/>
      <c r="Q52" s="29"/>
      <c r="R52" s="286"/>
      <c r="S52" s="29"/>
      <c r="T52" s="286"/>
      <c r="U52" s="29"/>
      <c r="V52" s="286"/>
      <c r="W52" s="29"/>
      <c r="X52" s="286"/>
      <c r="Y52" s="29"/>
      <c r="Z52" s="286"/>
      <c r="AA52" s="29"/>
      <c r="AB52" s="286"/>
      <c r="AC52" s="29"/>
      <c r="AD52" s="286"/>
      <c r="AE52" s="29"/>
      <c r="AF52" s="286"/>
      <c r="AH52" s="31"/>
      <c r="AI52" s="31"/>
      <c r="AJ52" s="29"/>
      <c r="AK52" s="30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51">
      <c r="A53" s="163"/>
      <c r="B53" s="286"/>
      <c r="C53" s="163"/>
      <c r="D53" s="286"/>
      <c r="E53" s="162"/>
      <c r="F53" s="286"/>
      <c r="G53" s="163"/>
      <c r="H53" s="29"/>
      <c r="I53" s="162"/>
      <c r="J53" s="29"/>
      <c r="K53" s="162"/>
      <c r="L53" s="29"/>
      <c r="M53" s="162"/>
      <c r="N53" s="29"/>
      <c r="O53" s="162"/>
      <c r="P53" s="286"/>
      <c r="Q53" s="162"/>
      <c r="R53" s="286"/>
      <c r="S53" s="162"/>
      <c r="T53" s="286"/>
      <c r="U53" s="162"/>
      <c r="V53" s="286"/>
      <c r="W53" s="162"/>
      <c r="X53" s="286"/>
      <c r="Y53" s="162"/>
      <c r="Z53" s="286"/>
      <c r="AA53" s="162"/>
      <c r="AB53" s="286"/>
      <c r="AC53" s="162"/>
      <c r="AD53" s="286"/>
      <c r="AE53" s="162"/>
      <c r="AF53" s="286"/>
      <c r="AH53" s="31"/>
      <c r="AI53" s="31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51">
      <c r="A54" s="29"/>
      <c r="B54" s="286"/>
      <c r="C54" s="295"/>
      <c r="D54" s="286"/>
      <c r="E54" s="295"/>
      <c r="F54" s="286"/>
      <c r="G54" s="295"/>
      <c r="H54" s="286"/>
      <c r="I54" s="295"/>
      <c r="J54" s="286"/>
      <c r="K54" s="295"/>
      <c r="L54" s="286"/>
      <c r="M54" s="295"/>
      <c r="N54" s="286"/>
      <c r="O54" s="295"/>
      <c r="P54" s="286"/>
      <c r="Q54" s="295"/>
      <c r="R54" s="286"/>
      <c r="S54" s="295"/>
      <c r="T54" s="286"/>
      <c r="U54" s="295"/>
      <c r="V54" s="286"/>
      <c r="W54" s="295"/>
      <c r="X54" s="286"/>
      <c r="Y54" s="295"/>
      <c r="Z54" s="286"/>
      <c r="AA54" s="295"/>
      <c r="AB54" s="286"/>
      <c r="AC54" s="295"/>
      <c r="AD54" s="286"/>
      <c r="AE54" s="295"/>
      <c r="AF54" s="286"/>
      <c r="AH54" s="31"/>
      <c r="AI54" s="31"/>
      <c r="AJ54" s="29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1">
      <c r="A55" s="286"/>
      <c r="B55" s="286"/>
      <c r="C55" s="31"/>
      <c r="D55" s="286"/>
      <c r="E55" s="31"/>
      <c r="F55" s="286"/>
      <c r="G55" s="31"/>
      <c r="H55" s="286"/>
      <c r="I55" s="31"/>
      <c r="J55" s="286"/>
      <c r="K55" s="31"/>
      <c r="L55" s="286"/>
      <c r="M55" s="31"/>
      <c r="N55" s="286"/>
      <c r="O55" s="31"/>
      <c r="P55" s="286"/>
      <c r="Q55" s="31"/>
      <c r="R55" s="286"/>
      <c r="S55" s="31"/>
      <c r="T55" s="286"/>
      <c r="U55" s="31"/>
      <c r="V55" s="286"/>
      <c r="W55" s="31"/>
      <c r="X55" s="286"/>
      <c r="Y55" s="31"/>
      <c r="Z55" s="286"/>
      <c r="AA55" s="31"/>
      <c r="AB55" s="286"/>
      <c r="AC55" s="31"/>
      <c r="AD55" s="286"/>
      <c r="AE55" s="31"/>
      <c r="AF55" s="286"/>
      <c r="AH55" s="31"/>
      <c r="AI55" s="31"/>
      <c r="AJ55" s="29"/>
      <c r="AK55" s="32"/>
      <c r="AL55" s="32"/>
      <c r="AM55" s="32"/>
      <c r="AN55" s="32"/>
      <c r="AO55" s="32"/>
      <c r="AP55" s="32"/>
      <c r="AQ55" s="33"/>
      <c r="AR55" s="32"/>
      <c r="AS55" s="33"/>
      <c r="AT55" s="33"/>
      <c r="AU55" s="33"/>
      <c r="AV55" s="32"/>
      <c r="AW55" s="32"/>
      <c r="AX55" s="32"/>
      <c r="AY55" s="32"/>
    </row>
    <row r="56" spans="1:51">
      <c r="A56" s="286"/>
      <c r="B56" s="296"/>
      <c r="C56" s="31"/>
      <c r="D56" s="286"/>
      <c r="E56" s="31"/>
      <c r="F56" s="286"/>
      <c r="G56" s="31"/>
      <c r="H56" s="286"/>
      <c r="I56" s="31"/>
      <c r="J56" s="286"/>
      <c r="K56" s="31"/>
      <c r="L56" s="286"/>
      <c r="M56" s="31"/>
      <c r="N56" s="286"/>
      <c r="O56" s="31"/>
      <c r="P56" s="286"/>
      <c r="Q56" s="31"/>
      <c r="R56" s="286"/>
      <c r="S56" s="31"/>
      <c r="T56" s="286"/>
      <c r="U56" s="31"/>
      <c r="V56" s="286"/>
      <c r="W56" s="31"/>
      <c r="X56" s="286"/>
      <c r="Y56" s="31"/>
      <c r="Z56" s="286"/>
      <c r="AA56" s="31"/>
      <c r="AB56" s="286"/>
      <c r="AC56" s="31"/>
      <c r="AD56" s="286"/>
      <c r="AE56" s="31"/>
      <c r="AF56" s="286"/>
      <c r="AH56" s="31"/>
      <c r="AI56" s="31"/>
      <c r="AJ56" s="29"/>
      <c r="AK56" s="32"/>
      <c r="AL56" s="32"/>
      <c r="AM56" s="32"/>
      <c r="AN56" s="32"/>
      <c r="AO56" s="32"/>
      <c r="AP56" s="32"/>
      <c r="AQ56" s="33"/>
      <c r="AR56" s="32"/>
      <c r="AS56" s="32"/>
      <c r="AT56" s="32"/>
      <c r="AU56" s="33"/>
      <c r="AV56" s="32"/>
      <c r="AW56" s="32"/>
      <c r="AX56" s="32"/>
      <c r="AY56" s="32"/>
    </row>
    <row r="57" spans="1:51">
      <c r="A57" s="286"/>
      <c r="B57" s="286"/>
      <c r="C57" s="288"/>
      <c r="D57" s="286"/>
      <c r="E57" s="297"/>
      <c r="F57" s="286"/>
      <c r="G57" s="297"/>
      <c r="H57" s="286"/>
      <c r="I57" s="297"/>
      <c r="J57" s="286"/>
      <c r="K57" s="297"/>
      <c r="L57" s="286"/>
      <c r="M57" s="297"/>
      <c r="N57" s="286"/>
      <c r="O57" s="297"/>
      <c r="P57" s="286"/>
      <c r="Q57" s="297"/>
      <c r="R57" s="286"/>
      <c r="S57" s="297"/>
      <c r="T57" s="286"/>
      <c r="U57" s="297"/>
      <c r="V57" s="286"/>
      <c r="W57" s="297"/>
      <c r="X57" s="286"/>
      <c r="Y57" s="297"/>
      <c r="Z57" s="286"/>
      <c r="AA57" s="297"/>
      <c r="AB57" s="286"/>
      <c r="AC57" s="297"/>
      <c r="AD57" s="286"/>
      <c r="AE57" s="297"/>
      <c r="AF57" s="286"/>
      <c r="AH57" s="31"/>
      <c r="AI57" s="31"/>
      <c r="AJ57" s="29"/>
      <c r="AK57" s="32"/>
      <c r="AL57" s="32"/>
      <c r="AM57" s="32"/>
      <c r="AN57" s="32"/>
      <c r="AO57" s="32"/>
      <c r="AP57" s="32"/>
      <c r="AQ57" s="33"/>
      <c r="AR57" s="32"/>
      <c r="AS57" s="32"/>
      <c r="AT57" s="32"/>
      <c r="AU57" s="33"/>
      <c r="AV57" s="32"/>
      <c r="AW57" s="32"/>
      <c r="AX57" s="32"/>
      <c r="AY57" s="32"/>
    </row>
    <row r="58" spans="1:51">
      <c r="A58" s="286"/>
      <c r="B58" s="286"/>
      <c r="C58" s="31"/>
      <c r="D58" s="286"/>
      <c r="E58" s="297"/>
      <c r="F58" s="286"/>
      <c r="G58" s="297"/>
      <c r="H58" s="286"/>
      <c r="I58" s="297"/>
      <c r="J58" s="286"/>
      <c r="K58" s="297"/>
      <c r="L58" s="286"/>
      <c r="M58" s="297"/>
      <c r="N58" s="286"/>
      <c r="O58" s="297"/>
      <c r="P58" s="286"/>
      <c r="Q58" s="297"/>
      <c r="R58" s="286"/>
      <c r="S58" s="297"/>
      <c r="T58" s="286"/>
      <c r="U58" s="297"/>
      <c r="V58" s="286"/>
      <c r="W58" s="297"/>
      <c r="X58" s="286"/>
      <c r="Y58" s="297"/>
      <c r="Z58" s="286"/>
      <c r="AA58" s="297"/>
      <c r="AB58" s="286"/>
      <c r="AC58" s="297"/>
      <c r="AD58" s="286"/>
      <c r="AE58" s="297"/>
      <c r="AF58" s="286"/>
      <c r="AH58" s="31"/>
      <c r="AI58" s="31"/>
      <c r="AJ58" s="29"/>
      <c r="AK58" s="32"/>
      <c r="AL58" s="32"/>
      <c r="AM58" s="32"/>
      <c r="AN58" s="32"/>
      <c r="AO58" s="32"/>
      <c r="AP58" s="32"/>
      <c r="AQ58" s="33"/>
      <c r="AR58" s="32"/>
      <c r="AS58" s="32"/>
      <c r="AT58" s="32"/>
      <c r="AU58" s="33"/>
      <c r="AV58" s="32"/>
      <c r="AW58" s="32"/>
      <c r="AX58" s="32"/>
      <c r="AY58" s="32"/>
    </row>
    <row r="59" spans="1:51">
      <c r="A59" s="286"/>
      <c r="B59" s="286"/>
      <c r="C59" s="31"/>
      <c r="D59" s="286"/>
      <c r="E59" s="297"/>
      <c r="F59" s="286"/>
      <c r="G59" s="297"/>
      <c r="H59" s="286"/>
      <c r="I59" s="297"/>
      <c r="J59" s="286"/>
      <c r="K59" s="297"/>
      <c r="L59" s="286"/>
      <c r="M59" s="297"/>
      <c r="N59" s="286"/>
      <c r="O59" s="297"/>
      <c r="P59" s="286"/>
      <c r="Q59" s="297"/>
      <c r="R59" s="286"/>
      <c r="S59" s="297"/>
      <c r="T59" s="286"/>
      <c r="U59" s="297"/>
      <c r="V59" s="286"/>
      <c r="W59" s="297"/>
      <c r="X59" s="286"/>
      <c r="Y59" s="297"/>
      <c r="Z59" s="286"/>
      <c r="AA59" s="297"/>
      <c r="AB59" s="286"/>
      <c r="AC59" s="297"/>
      <c r="AD59" s="286"/>
      <c r="AE59" s="297"/>
      <c r="AF59" s="286"/>
      <c r="AH59" s="31"/>
      <c r="AI59" s="31"/>
      <c r="AJ59" s="29"/>
      <c r="AK59" s="32"/>
      <c r="AL59" s="32"/>
      <c r="AM59" s="32"/>
      <c r="AN59" s="32"/>
      <c r="AO59" s="32"/>
      <c r="AP59" s="32"/>
      <c r="AQ59" s="33"/>
      <c r="AR59" s="32"/>
      <c r="AS59" s="32"/>
      <c r="AT59" s="32"/>
      <c r="AU59" s="33"/>
      <c r="AV59" s="32"/>
      <c r="AW59" s="32"/>
      <c r="AX59" s="32"/>
      <c r="AY59" s="32"/>
    </row>
    <row r="60" spans="1:51">
      <c r="A60" s="286"/>
      <c r="B60" s="286"/>
      <c r="C60" s="31"/>
      <c r="D60" s="286"/>
      <c r="E60" s="297"/>
      <c r="F60" s="286"/>
      <c r="G60" s="297"/>
      <c r="H60" s="286"/>
      <c r="I60" s="297"/>
      <c r="J60" s="286"/>
      <c r="K60" s="297"/>
      <c r="L60" s="286"/>
      <c r="M60" s="297"/>
      <c r="N60" s="286"/>
      <c r="O60" s="297"/>
      <c r="P60" s="286"/>
      <c r="Q60" s="297"/>
      <c r="R60" s="286"/>
      <c r="S60" s="297"/>
      <c r="T60" s="286"/>
      <c r="U60" s="297"/>
      <c r="V60" s="286"/>
      <c r="W60" s="297"/>
      <c r="X60" s="286"/>
      <c r="Y60" s="297"/>
      <c r="Z60" s="286"/>
      <c r="AA60" s="297"/>
      <c r="AB60" s="286"/>
      <c r="AC60" s="297"/>
      <c r="AD60" s="286"/>
      <c r="AE60" s="297"/>
      <c r="AF60" s="286"/>
      <c r="AH60" s="31"/>
      <c r="AI60" s="31"/>
      <c r="AJ60" s="29"/>
      <c r="AK60" s="31"/>
      <c r="AL60" s="31"/>
      <c r="AM60" s="31"/>
      <c r="AN60" s="31"/>
      <c r="AO60" s="31"/>
      <c r="AP60" s="31"/>
      <c r="AQ60" s="33"/>
      <c r="AR60" s="32"/>
      <c r="AS60" s="32"/>
      <c r="AT60" s="32"/>
      <c r="AU60" s="33"/>
      <c r="AV60" s="32"/>
      <c r="AW60" s="32"/>
      <c r="AX60" s="32"/>
      <c r="AY60" s="32"/>
    </row>
    <row r="61" spans="1:51">
      <c r="A61" s="286"/>
      <c r="B61" s="286"/>
      <c r="C61" s="31"/>
      <c r="D61" s="286"/>
      <c r="E61" s="297"/>
      <c r="F61" s="286"/>
      <c r="G61" s="297"/>
      <c r="H61" s="286"/>
      <c r="I61" s="297"/>
      <c r="J61" s="286"/>
      <c r="K61" s="297"/>
      <c r="L61" s="286"/>
      <c r="M61" s="297"/>
      <c r="N61" s="286"/>
      <c r="O61" s="297"/>
      <c r="P61" s="286"/>
      <c r="Q61" s="297"/>
      <c r="R61" s="286"/>
      <c r="S61" s="297"/>
      <c r="T61" s="286"/>
      <c r="U61" s="297"/>
      <c r="V61" s="286"/>
      <c r="W61" s="297"/>
      <c r="X61" s="286"/>
      <c r="Y61" s="297"/>
      <c r="Z61" s="286"/>
      <c r="AA61" s="297"/>
      <c r="AB61" s="286"/>
      <c r="AC61" s="297"/>
      <c r="AD61" s="286"/>
      <c r="AE61" s="297"/>
      <c r="AF61" s="286"/>
      <c r="AH61" s="31"/>
      <c r="AI61" s="31"/>
      <c r="AJ61" s="29"/>
      <c r="AK61" s="31"/>
      <c r="AL61" s="31"/>
      <c r="AM61" s="31"/>
      <c r="AN61" s="31"/>
      <c r="AO61" s="31"/>
      <c r="AP61" s="31"/>
      <c r="AQ61" s="33"/>
      <c r="AR61" s="32"/>
      <c r="AS61" s="32"/>
      <c r="AT61" s="32"/>
      <c r="AU61" s="33"/>
      <c r="AV61" s="32"/>
      <c r="AW61" s="32"/>
      <c r="AX61" s="32"/>
      <c r="AY61" s="32"/>
    </row>
    <row r="62" spans="1:51">
      <c r="A62" s="286"/>
      <c r="B62" s="286"/>
      <c r="C62" s="31"/>
      <c r="D62" s="286"/>
      <c r="E62" s="297"/>
      <c r="F62" s="286"/>
      <c r="G62" s="297"/>
      <c r="H62" s="286"/>
      <c r="I62" s="297"/>
      <c r="J62" s="286"/>
      <c r="K62" s="297"/>
      <c r="L62" s="286"/>
      <c r="M62" s="297"/>
      <c r="N62" s="286"/>
      <c r="O62" s="297"/>
      <c r="P62" s="286"/>
      <c r="Q62" s="297"/>
      <c r="R62" s="286"/>
      <c r="S62" s="297"/>
      <c r="T62" s="286"/>
      <c r="U62" s="297"/>
      <c r="V62" s="286"/>
      <c r="W62" s="297"/>
      <c r="X62" s="286"/>
      <c r="Y62" s="297"/>
      <c r="Z62" s="286"/>
      <c r="AA62" s="297"/>
      <c r="AB62" s="286"/>
      <c r="AC62" s="297"/>
      <c r="AD62" s="286"/>
      <c r="AE62" s="297"/>
      <c r="AF62" s="286"/>
      <c r="AH62" s="31"/>
      <c r="AI62" s="31"/>
      <c r="AJ62" s="29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>
      <c r="A63" s="286"/>
      <c r="B63" s="286"/>
      <c r="C63" s="31"/>
      <c r="D63" s="286"/>
      <c r="E63" s="297"/>
      <c r="F63" s="286"/>
      <c r="G63" s="297"/>
      <c r="H63" s="286"/>
      <c r="I63" s="297"/>
      <c r="J63" s="286"/>
      <c r="K63" s="297"/>
      <c r="L63" s="286"/>
      <c r="M63" s="297"/>
      <c r="N63" s="286"/>
      <c r="O63" s="297"/>
      <c r="P63" s="286"/>
      <c r="Q63" s="297"/>
      <c r="R63" s="286"/>
      <c r="S63" s="297"/>
      <c r="T63" s="286"/>
      <c r="U63" s="297"/>
      <c r="V63" s="286"/>
      <c r="W63" s="297"/>
      <c r="X63" s="286"/>
      <c r="Y63" s="297"/>
      <c r="Z63" s="286"/>
      <c r="AA63" s="297"/>
      <c r="AB63" s="286"/>
      <c r="AC63" s="297"/>
      <c r="AD63" s="286"/>
      <c r="AE63" s="297"/>
      <c r="AF63" s="286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51">
      <c r="A64" s="286"/>
      <c r="B64" s="286"/>
      <c r="C64" s="288"/>
      <c r="D64" s="286"/>
      <c r="E64" s="297"/>
      <c r="F64" s="286"/>
      <c r="G64" s="297"/>
      <c r="H64" s="286"/>
      <c r="I64" s="297"/>
      <c r="J64" s="286"/>
      <c r="K64" s="297"/>
      <c r="L64" s="286"/>
      <c r="M64" s="297"/>
      <c r="N64" s="286"/>
      <c r="O64" s="297"/>
      <c r="P64" s="286"/>
      <c r="Q64" s="297"/>
      <c r="R64" s="286"/>
      <c r="S64" s="297"/>
      <c r="T64" s="286"/>
      <c r="U64" s="297"/>
      <c r="V64" s="286"/>
      <c r="W64" s="297"/>
      <c r="X64" s="286"/>
      <c r="Y64" s="297"/>
      <c r="Z64" s="286"/>
      <c r="AA64" s="297"/>
      <c r="AB64" s="286"/>
      <c r="AC64" s="297"/>
      <c r="AD64" s="286"/>
      <c r="AE64" s="297"/>
      <c r="AF64" s="286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3">
      <c r="A65" s="286"/>
      <c r="B65" s="286"/>
      <c r="C65" s="31"/>
      <c r="D65" s="286"/>
      <c r="E65" s="31"/>
      <c r="F65" s="286"/>
      <c r="G65" s="31"/>
      <c r="H65" s="286"/>
      <c r="I65" s="31"/>
      <c r="J65" s="286"/>
      <c r="K65" s="31"/>
      <c r="L65" s="286"/>
      <c r="M65" s="31"/>
      <c r="N65" s="286"/>
      <c r="O65" s="31"/>
      <c r="P65" s="286"/>
      <c r="Q65" s="31"/>
      <c r="R65" s="286"/>
      <c r="S65" s="31"/>
      <c r="T65" s="286"/>
      <c r="U65" s="31"/>
      <c r="V65" s="286"/>
      <c r="W65" s="31"/>
      <c r="X65" s="286"/>
      <c r="Y65" s="31"/>
      <c r="Z65" s="286"/>
      <c r="AA65" s="31"/>
      <c r="AB65" s="286"/>
      <c r="AC65" s="31"/>
      <c r="AD65" s="286"/>
      <c r="AE65" s="31"/>
      <c r="AF65" s="286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>
      <c r="A66" s="286"/>
      <c r="B66" s="286"/>
      <c r="C66" s="31"/>
      <c r="D66" s="286"/>
      <c r="E66" s="298"/>
      <c r="F66" s="286"/>
      <c r="G66" s="298"/>
      <c r="H66" s="286"/>
      <c r="I66" s="298"/>
      <c r="J66" s="286"/>
      <c r="K66" s="298"/>
      <c r="L66" s="286"/>
      <c r="M66" s="298"/>
      <c r="N66" s="286"/>
      <c r="O66" s="298"/>
      <c r="P66" s="286"/>
      <c r="Q66" s="298"/>
      <c r="R66" s="286"/>
      <c r="S66" s="298"/>
      <c r="T66" s="286"/>
      <c r="U66" s="298"/>
      <c r="V66" s="286"/>
      <c r="W66" s="298"/>
      <c r="X66" s="286"/>
      <c r="Y66" s="298"/>
      <c r="Z66" s="286"/>
      <c r="AA66" s="298"/>
      <c r="AB66" s="286"/>
      <c r="AC66" s="298"/>
      <c r="AD66" s="286"/>
      <c r="AE66" s="298"/>
      <c r="AF66" s="286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3">
      <c r="A67" s="286"/>
      <c r="B67" s="286"/>
      <c r="C67" s="31"/>
      <c r="D67" s="286"/>
      <c r="E67" s="31"/>
      <c r="F67" s="286"/>
      <c r="G67" s="31"/>
      <c r="H67" s="286"/>
      <c r="I67" s="31"/>
      <c r="J67" s="286"/>
      <c r="K67" s="31"/>
      <c r="L67" s="286"/>
      <c r="M67" s="31"/>
      <c r="N67" s="286"/>
      <c r="O67" s="31"/>
      <c r="P67" s="286"/>
      <c r="Q67" s="31"/>
      <c r="R67" s="286"/>
      <c r="S67" s="31"/>
      <c r="T67" s="286"/>
      <c r="U67" s="31"/>
      <c r="V67" s="286"/>
      <c r="W67" s="31"/>
      <c r="X67" s="286"/>
      <c r="Y67" s="31"/>
      <c r="Z67" s="286"/>
      <c r="AA67" s="31"/>
      <c r="AB67" s="286"/>
      <c r="AC67" s="31"/>
      <c r="AD67" s="286"/>
      <c r="AE67" s="31"/>
      <c r="AF67" s="286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:43">
      <c r="A68" s="286"/>
      <c r="B68" s="286"/>
      <c r="C68" s="31"/>
      <c r="D68" s="286"/>
      <c r="E68" s="290"/>
      <c r="F68" s="286"/>
      <c r="G68" s="290"/>
      <c r="H68" s="286"/>
      <c r="I68" s="290"/>
      <c r="J68" s="286"/>
      <c r="K68" s="290"/>
      <c r="L68" s="286"/>
      <c r="M68" s="290"/>
      <c r="N68" s="286"/>
      <c r="O68" s="290"/>
      <c r="P68" s="286"/>
      <c r="Q68" s="290"/>
      <c r="R68" s="286"/>
      <c r="S68" s="290"/>
      <c r="T68" s="286"/>
      <c r="U68" s="290"/>
      <c r="V68" s="286"/>
      <c r="W68" s="290"/>
      <c r="X68" s="286"/>
      <c r="Y68" s="290"/>
      <c r="Z68" s="286"/>
      <c r="AA68" s="290"/>
      <c r="AB68" s="286"/>
      <c r="AC68" s="290"/>
      <c r="AD68" s="286"/>
      <c r="AE68" s="290"/>
      <c r="AF68" s="286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43">
      <c r="A69" s="286"/>
      <c r="B69" s="286"/>
      <c r="C69" s="31"/>
      <c r="D69" s="286"/>
      <c r="E69" s="31"/>
      <c r="F69" s="286"/>
      <c r="G69" s="31"/>
      <c r="H69" s="286"/>
      <c r="I69" s="31"/>
      <c r="J69" s="286"/>
      <c r="K69" s="31"/>
      <c r="L69" s="286"/>
      <c r="M69" s="31"/>
      <c r="N69" s="286"/>
      <c r="O69" s="31"/>
      <c r="P69" s="286"/>
      <c r="Q69" s="31"/>
      <c r="R69" s="286"/>
      <c r="S69" s="31"/>
      <c r="T69" s="286"/>
      <c r="U69" s="31"/>
      <c r="V69" s="286"/>
      <c r="W69" s="31"/>
      <c r="X69" s="286"/>
      <c r="Y69" s="31"/>
      <c r="Z69" s="286"/>
      <c r="AA69" s="31"/>
      <c r="AB69" s="286"/>
      <c r="AC69" s="31"/>
      <c r="AD69" s="286"/>
      <c r="AE69" s="31"/>
      <c r="AF69" s="286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1:43">
      <c r="A70" s="286"/>
      <c r="B70" s="296"/>
      <c r="C70" s="31"/>
      <c r="D70" s="286"/>
      <c r="E70" s="31"/>
      <c r="F70" s="286"/>
      <c r="G70" s="31"/>
      <c r="H70" s="286"/>
      <c r="I70" s="31"/>
      <c r="J70" s="286"/>
      <c r="K70" s="31"/>
      <c r="L70" s="286"/>
      <c r="M70" s="31"/>
      <c r="N70" s="286"/>
      <c r="O70" s="31"/>
      <c r="P70" s="286"/>
      <c r="Q70" s="31"/>
      <c r="R70" s="286"/>
      <c r="S70" s="31"/>
      <c r="T70" s="286"/>
      <c r="U70" s="31"/>
      <c r="V70" s="286"/>
      <c r="W70" s="31"/>
      <c r="X70" s="286"/>
      <c r="Y70" s="31"/>
      <c r="Z70" s="286"/>
      <c r="AA70" s="31"/>
      <c r="AB70" s="286"/>
      <c r="AC70" s="31"/>
      <c r="AD70" s="286"/>
      <c r="AE70" s="31"/>
      <c r="AF70" s="286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1:43">
      <c r="A71" s="286"/>
      <c r="B71" s="286"/>
      <c r="C71" s="31"/>
      <c r="D71" s="286"/>
      <c r="E71" s="297"/>
      <c r="F71" s="286"/>
      <c r="G71" s="297"/>
      <c r="H71" s="286"/>
      <c r="I71" s="297"/>
      <c r="J71" s="286"/>
      <c r="K71" s="297"/>
      <c r="L71" s="286"/>
      <c r="M71" s="297"/>
      <c r="N71" s="286"/>
      <c r="O71" s="297"/>
      <c r="P71" s="286"/>
      <c r="Q71" s="297"/>
      <c r="R71" s="286"/>
      <c r="S71" s="297"/>
      <c r="T71" s="286"/>
      <c r="U71" s="297"/>
      <c r="V71" s="286"/>
      <c r="W71" s="297"/>
      <c r="X71" s="286"/>
      <c r="Y71" s="297"/>
      <c r="Z71" s="286"/>
      <c r="AA71" s="297"/>
      <c r="AB71" s="286"/>
      <c r="AC71" s="297"/>
      <c r="AD71" s="286"/>
      <c r="AE71" s="297"/>
      <c r="AF71" s="286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:43">
      <c r="A72" s="286"/>
      <c r="B72" s="286"/>
      <c r="C72" s="31"/>
      <c r="D72" s="286"/>
      <c r="E72" s="297"/>
      <c r="F72" s="286"/>
      <c r="G72" s="297"/>
      <c r="H72" s="286"/>
      <c r="I72" s="297"/>
      <c r="J72" s="286"/>
      <c r="K72" s="297"/>
      <c r="L72" s="286"/>
      <c r="M72" s="297"/>
      <c r="N72" s="286"/>
      <c r="O72" s="297"/>
      <c r="P72" s="286"/>
      <c r="Q72" s="297"/>
      <c r="R72" s="286"/>
      <c r="S72" s="297"/>
      <c r="T72" s="286"/>
      <c r="U72" s="297"/>
      <c r="V72" s="286"/>
      <c r="W72" s="297"/>
      <c r="X72" s="286"/>
      <c r="Y72" s="297"/>
      <c r="Z72" s="286"/>
      <c r="AA72" s="297"/>
      <c r="AB72" s="286"/>
      <c r="AC72" s="297"/>
      <c r="AD72" s="286"/>
      <c r="AE72" s="297"/>
      <c r="AF72" s="286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1:43">
      <c r="A73" s="286"/>
      <c r="B73" s="286"/>
      <c r="C73" s="31"/>
      <c r="D73" s="286"/>
      <c r="E73" s="297"/>
      <c r="F73" s="286"/>
      <c r="G73" s="297"/>
      <c r="H73" s="286"/>
      <c r="I73" s="297"/>
      <c r="J73" s="286"/>
      <c r="K73" s="297"/>
      <c r="L73" s="286"/>
      <c r="M73" s="297"/>
      <c r="N73" s="286"/>
      <c r="O73" s="297"/>
      <c r="P73" s="286"/>
      <c r="Q73" s="297"/>
      <c r="R73" s="286"/>
      <c r="S73" s="297"/>
      <c r="T73" s="286"/>
      <c r="U73" s="297"/>
      <c r="V73" s="286"/>
      <c r="W73" s="297"/>
      <c r="X73" s="286"/>
      <c r="Y73" s="297"/>
      <c r="Z73" s="286"/>
      <c r="AA73" s="297"/>
      <c r="AB73" s="286"/>
      <c r="AC73" s="297"/>
      <c r="AD73" s="286"/>
      <c r="AE73" s="297"/>
      <c r="AF73" s="286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1:43">
      <c r="A74" s="286"/>
      <c r="B74" s="286"/>
      <c r="C74" s="31"/>
      <c r="D74" s="286"/>
      <c r="E74" s="297"/>
      <c r="F74" s="286"/>
      <c r="G74" s="297"/>
      <c r="H74" s="286"/>
      <c r="I74" s="297"/>
      <c r="J74" s="286"/>
      <c r="K74" s="297"/>
      <c r="L74" s="286"/>
      <c r="M74" s="297"/>
      <c r="N74" s="286"/>
      <c r="O74" s="297"/>
      <c r="P74" s="286"/>
      <c r="Q74" s="297"/>
      <c r="R74" s="286"/>
      <c r="S74" s="297"/>
      <c r="T74" s="286"/>
      <c r="U74" s="297"/>
      <c r="V74" s="286"/>
      <c r="W74" s="297"/>
      <c r="X74" s="286"/>
      <c r="Y74" s="297"/>
      <c r="Z74" s="286"/>
      <c r="AA74" s="297"/>
      <c r="AB74" s="286"/>
      <c r="AC74" s="297"/>
      <c r="AD74" s="286"/>
      <c r="AE74" s="297"/>
      <c r="AF74" s="286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:43">
      <c r="A75" s="286"/>
      <c r="B75" s="286"/>
      <c r="C75" s="31"/>
      <c r="D75" s="286"/>
      <c r="E75" s="31"/>
      <c r="F75" s="286"/>
      <c r="G75" s="31"/>
      <c r="H75" s="286"/>
      <c r="I75" s="31"/>
      <c r="J75" s="286"/>
      <c r="K75" s="31"/>
      <c r="L75" s="286"/>
      <c r="M75" s="31"/>
      <c r="N75" s="286"/>
      <c r="O75" s="31"/>
      <c r="P75" s="286"/>
      <c r="Q75" s="31"/>
      <c r="R75" s="286"/>
      <c r="S75" s="31"/>
      <c r="T75" s="286"/>
      <c r="U75" s="31"/>
      <c r="V75" s="286"/>
      <c r="W75" s="31"/>
      <c r="X75" s="286"/>
      <c r="Y75" s="31"/>
      <c r="Z75" s="286"/>
      <c r="AA75" s="31"/>
      <c r="AB75" s="286"/>
      <c r="AC75" s="31"/>
      <c r="AD75" s="286"/>
      <c r="AE75" s="31"/>
      <c r="AF75" s="286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1:43">
      <c r="A76" s="286"/>
      <c r="B76" s="296"/>
      <c r="C76" s="31"/>
      <c r="D76" s="286"/>
      <c r="E76" s="290"/>
      <c r="F76" s="286"/>
      <c r="G76" s="290"/>
      <c r="H76" s="286"/>
      <c r="I76" s="290"/>
      <c r="J76" s="286"/>
      <c r="K76" s="290"/>
      <c r="L76" s="286"/>
      <c r="M76" s="290"/>
      <c r="N76" s="286"/>
      <c r="O76" s="290"/>
      <c r="P76" s="286"/>
      <c r="Q76" s="290"/>
      <c r="R76" s="286"/>
      <c r="S76" s="290"/>
      <c r="T76" s="286"/>
      <c r="U76" s="290"/>
      <c r="V76" s="286"/>
      <c r="W76" s="290"/>
      <c r="X76" s="286"/>
      <c r="Y76" s="290"/>
      <c r="Z76" s="286"/>
      <c r="AA76" s="290"/>
      <c r="AB76" s="286"/>
      <c r="AC76" s="290"/>
      <c r="AD76" s="286"/>
      <c r="AE76" s="290"/>
      <c r="AF76" s="286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1:43">
      <c r="A77" s="286"/>
      <c r="B77" s="286"/>
      <c r="C77" s="31"/>
      <c r="D77" s="286"/>
      <c r="E77" s="31"/>
      <c r="F77" s="286"/>
      <c r="G77" s="31"/>
      <c r="H77" s="286"/>
      <c r="I77" s="31"/>
      <c r="J77" s="286"/>
      <c r="K77" s="31"/>
      <c r="L77" s="286"/>
      <c r="M77" s="31"/>
      <c r="N77" s="286"/>
      <c r="O77" s="31"/>
      <c r="P77" s="286"/>
      <c r="Q77" s="31"/>
      <c r="R77" s="286"/>
      <c r="S77" s="31"/>
      <c r="T77" s="286"/>
      <c r="U77" s="31"/>
      <c r="V77" s="286"/>
      <c r="W77" s="31"/>
      <c r="X77" s="286"/>
      <c r="Y77" s="31"/>
      <c r="Z77" s="286"/>
      <c r="AA77" s="31"/>
      <c r="AB77" s="286"/>
      <c r="AC77" s="31"/>
      <c r="AD77" s="286"/>
      <c r="AE77" s="31"/>
      <c r="AF77" s="286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1:43">
      <c r="A78" s="286"/>
      <c r="B78" s="296"/>
      <c r="C78" s="31"/>
      <c r="D78" s="286"/>
      <c r="E78" s="299"/>
      <c r="F78" s="286"/>
      <c r="G78" s="299"/>
      <c r="H78" s="286"/>
      <c r="I78" s="299"/>
      <c r="J78" s="286"/>
      <c r="K78" s="299"/>
      <c r="L78" s="286"/>
      <c r="M78" s="299"/>
      <c r="N78" s="286"/>
      <c r="O78" s="299"/>
      <c r="P78" s="286"/>
      <c r="Q78" s="299"/>
      <c r="R78" s="286"/>
      <c r="S78" s="299"/>
      <c r="T78" s="286"/>
      <c r="U78" s="299"/>
      <c r="V78" s="286"/>
      <c r="W78" s="299"/>
      <c r="X78" s="286"/>
      <c r="Y78" s="299"/>
      <c r="Z78" s="286"/>
      <c r="AA78" s="299"/>
      <c r="AB78" s="286"/>
      <c r="AC78" s="299"/>
      <c r="AD78" s="286"/>
      <c r="AE78" s="299"/>
      <c r="AF78" s="286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:43">
      <c r="A79" s="286"/>
      <c r="B79" s="296"/>
      <c r="C79" s="31"/>
      <c r="D79" s="286"/>
      <c r="E79" s="299"/>
      <c r="F79" s="286"/>
      <c r="G79" s="299"/>
      <c r="H79" s="286"/>
      <c r="I79" s="299"/>
      <c r="J79" s="286"/>
      <c r="K79" s="299"/>
      <c r="L79" s="286"/>
      <c r="M79" s="299"/>
      <c r="N79" s="286"/>
      <c r="O79" s="299"/>
      <c r="P79" s="286"/>
      <c r="Q79" s="299"/>
      <c r="R79" s="286"/>
      <c r="S79" s="299"/>
      <c r="T79" s="286"/>
      <c r="U79" s="299"/>
      <c r="V79" s="286"/>
      <c r="W79" s="299"/>
      <c r="X79" s="286"/>
      <c r="Y79" s="299"/>
      <c r="Z79" s="286"/>
      <c r="AA79" s="299"/>
      <c r="AB79" s="286"/>
      <c r="AC79" s="299"/>
      <c r="AD79" s="286"/>
      <c r="AE79" s="299"/>
      <c r="AF79" s="286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:43">
      <c r="A80" s="286"/>
      <c r="B80" s="286"/>
      <c r="C80" s="31"/>
      <c r="D80" s="286"/>
      <c r="E80" s="31"/>
      <c r="F80" s="286"/>
      <c r="G80" s="31"/>
      <c r="H80" s="286"/>
      <c r="I80" s="31"/>
      <c r="J80" s="286"/>
      <c r="K80" s="31"/>
      <c r="L80" s="286"/>
      <c r="M80" s="31"/>
      <c r="N80" s="286"/>
      <c r="O80" s="31"/>
      <c r="P80" s="286"/>
      <c r="Q80" s="31"/>
      <c r="R80" s="286"/>
      <c r="S80" s="31"/>
      <c r="T80" s="286"/>
      <c r="U80" s="31"/>
      <c r="V80" s="286"/>
      <c r="W80" s="31"/>
      <c r="X80" s="286"/>
      <c r="Y80" s="31"/>
      <c r="Z80" s="286"/>
      <c r="AA80" s="31"/>
      <c r="AB80" s="286"/>
      <c r="AC80" s="31"/>
      <c r="AD80" s="286"/>
      <c r="AE80" s="31"/>
      <c r="AF80" s="286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:43">
      <c r="A81" s="286"/>
      <c r="B81" s="287"/>
      <c r="C81" s="31"/>
      <c r="D81" s="286"/>
      <c r="E81" s="31"/>
      <c r="F81" s="286"/>
      <c r="G81" s="31"/>
      <c r="H81" s="286"/>
      <c r="I81" s="31"/>
      <c r="J81" s="286"/>
      <c r="K81" s="31"/>
      <c r="L81" s="286"/>
      <c r="M81" s="31"/>
      <c r="N81" s="286"/>
      <c r="O81" s="31"/>
      <c r="P81" s="286"/>
      <c r="Q81" s="31"/>
      <c r="R81" s="286"/>
      <c r="S81" s="31"/>
      <c r="T81" s="286"/>
      <c r="U81" s="31"/>
      <c r="V81" s="286"/>
      <c r="W81" s="31"/>
      <c r="X81" s="286"/>
      <c r="Y81" s="31"/>
      <c r="Z81" s="286"/>
      <c r="AA81" s="31"/>
      <c r="AB81" s="286"/>
      <c r="AC81" s="31"/>
      <c r="AD81" s="286"/>
      <c r="AE81" s="31"/>
      <c r="AF81" s="286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:43">
      <c r="A82" s="286"/>
      <c r="B82" s="286"/>
      <c r="C82" s="288"/>
      <c r="D82" s="286"/>
      <c r="E82" s="289"/>
      <c r="F82" s="286"/>
      <c r="G82" s="289"/>
      <c r="H82" s="286"/>
      <c r="I82" s="289"/>
      <c r="J82" s="286"/>
      <c r="K82" s="289"/>
      <c r="L82" s="286"/>
      <c r="M82" s="289"/>
      <c r="N82" s="286"/>
      <c r="O82" s="289"/>
      <c r="P82" s="286"/>
      <c r="Q82" s="289"/>
      <c r="R82" s="286"/>
      <c r="S82" s="289"/>
      <c r="T82" s="286"/>
      <c r="U82" s="289"/>
      <c r="V82" s="286"/>
      <c r="W82" s="289"/>
      <c r="X82" s="286"/>
      <c r="Y82" s="289"/>
      <c r="Z82" s="286"/>
      <c r="AA82" s="289"/>
      <c r="AB82" s="286"/>
      <c r="AC82" s="289"/>
      <c r="AD82" s="286"/>
      <c r="AE82" s="289"/>
      <c r="AF82" s="286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:43">
      <c r="A83" s="286"/>
      <c r="B83" s="286"/>
      <c r="C83" s="288"/>
      <c r="D83" s="286"/>
      <c r="E83" s="289"/>
      <c r="F83" s="286"/>
      <c r="G83" s="289"/>
      <c r="H83" s="286"/>
      <c r="I83" s="289"/>
      <c r="J83" s="286"/>
      <c r="K83" s="289"/>
      <c r="L83" s="286"/>
      <c r="M83" s="289"/>
      <c r="N83" s="286"/>
      <c r="O83" s="289"/>
      <c r="P83" s="286"/>
      <c r="Q83" s="289"/>
      <c r="R83" s="286"/>
      <c r="S83" s="289"/>
      <c r="T83" s="286"/>
      <c r="U83" s="289"/>
      <c r="V83" s="286"/>
      <c r="W83" s="289"/>
      <c r="X83" s="286"/>
      <c r="Y83" s="289"/>
      <c r="Z83" s="286"/>
      <c r="AA83" s="289"/>
      <c r="AB83" s="286"/>
      <c r="AC83" s="289"/>
      <c r="AD83" s="286"/>
      <c r="AE83" s="289"/>
      <c r="AF83" s="286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:43">
      <c r="A84" s="286"/>
      <c r="B84" s="286"/>
      <c r="C84" s="288"/>
      <c r="D84" s="286"/>
      <c r="E84" s="289"/>
      <c r="F84" s="286"/>
      <c r="G84" s="289"/>
      <c r="H84" s="286"/>
      <c r="I84" s="289"/>
      <c r="J84" s="286"/>
      <c r="K84" s="289"/>
      <c r="L84" s="286"/>
      <c r="M84" s="289"/>
      <c r="N84" s="286"/>
      <c r="O84" s="289"/>
      <c r="P84" s="286"/>
      <c r="Q84" s="289"/>
      <c r="R84" s="286"/>
      <c r="S84" s="289"/>
      <c r="T84" s="286"/>
      <c r="U84" s="289"/>
      <c r="V84" s="286"/>
      <c r="W84" s="289"/>
      <c r="X84" s="286"/>
      <c r="Y84" s="289"/>
      <c r="Z84" s="286"/>
      <c r="AA84" s="289"/>
      <c r="AB84" s="286"/>
      <c r="AC84" s="289"/>
      <c r="AD84" s="286"/>
      <c r="AE84" s="289"/>
      <c r="AF84" s="286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:43">
      <c r="A85" s="286"/>
      <c r="B85" s="286"/>
      <c r="C85" s="288"/>
      <c r="D85" s="286"/>
      <c r="E85" s="289"/>
      <c r="F85" s="286"/>
      <c r="G85" s="289"/>
      <c r="H85" s="286"/>
      <c r="I85" s="289"/>
      <c r="J85" s="286"/>
      <c r="K85" s="289"/>
      <c r="L85" s="286"/>
      <c r="M85" s="289"/>
      <c r="N85" s="286"/>
      <c r="O85" s="289"/>
      <c r="P85" s="286"/>
      <c r="Q85" s="289"/>
      <c r="R85" s="286"/>
      <c r="S85" s="289"/>
      <c r="T85" s="286"/>
      <c r="U85" s="289"/>
      <c r="V85" s="286"/>
      <c r="W85" s="289"/>
      <c r="X85" s="286"/>
      <c r="Y85" s="289"/>
      <c r="Z85" s="286"/>
      <c r="AA85" s="289"/>
      <c r="AB85" s="286"/>
      <c r="AC85" s="289"/>
      <c r="AD85" s="286"/>
      <c r="AE85" s="289"/>
      <c r="AF85" s="286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>
      <c r="A86" s="286"/>
      <c r="B86" s="286"/>
      <c r="C86" s="300"/>
      <c r="D86" s="286"/>
      <c r="E86" s="31"/>
      <c r="F86" s="286"/>
      <c r="G86" s="31"/>
      <c r="H86" s="286"/>
      <c r="I86" s="31"/>
      <c r="J86" s="286"/>
      <c r="K86" s="31"/>
      <c r="L86" s="286"/>
      <c r="M86" s="31"/>
      <c r="N86" s="286"/>
      <c r="O86" s="31"/>
      <c r="P86" s="286"/>
      <c r="Q86" s="31"/>
      <c r="R86" s="286"/>
      <c r="S86" s="31"/>
      <c r="T86" s="286"/>
      <c r="U86" s="31"/>
      <c r="V86" s="286"/>
      <c r="W86" s="31"/>
      <c r="X86" s="286"/>
      <c r="Y86" s="31"/>
      <c r="Z86" s="286"/>
      <c r="AA86" s="31"/>
      <c r="AB86" s="286"/>
      <c r="AC86" s="31"/>
      <c r="AD86" s="286"/>
      <c r="AE86" s="31"/>
      <c r="AF86" s="286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:43">
      <c r="A87" s="286"/>
      <c r="B87" s="291"/>
      <c r="C87" s="292"/>
      <c r="D87" s="286"/>
      <c r="E87" s="31"/>
      <c r="F87" s="286"/>
      <c r="G87" s="31"/>
      <c r="H87" s="286"/>
      <c r="I87" s="31"/>
      <c r="J87" s="286"/>
      <c r="K87" s="31"/>
      <c r="L87" s="286"/>
      <c r="M87" s="31"/>
      <c r="N87" s="286"/>
      <c r="O87" s="31"/>
      <c r="P87" s="286"/>
      <c r="Q87" s="31"/>
      <c r="R87" s="286"/>
      <c r="S87" s="31"/>
      <c r="T87" s="286"/>
      <c r="U87" s="31"/>
      <c r="V87" s="286"/>
      <c r="W87" s="31"/>
      <c r="X87" s="286"/>
      <c r="Y87" s="31"/>
      <c r="Z87" s="286"/>
      <c r="AA87" s="31"/>
      <c r="AB87" s="286"/>
      <c r="AC87" s="31"/>
      <c r="AD87" s="286"/>
      <c r="AE87" s="31"/>
      <c r="AF87" s="286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>
      <c r="A88" s="286"/>
      <c r="B88" s="286"/>
      <c r="C88" s="292"/>
      <c r="D88" s="286"/>
      <c r="E88" s="31"/>
      <c r="F88" s="286"/>
      <c r="G88" s="31"/>
      <c r="H88" s="286"/>
      <c r="I88" s="31"/>
      <c r="J88" s="286"/>
      <c r="K88" s="31"/>
      <c r="L88" s="286"/>
      <c r="M88" s="31"/>
      <c r="N88" s="286"/>
      <c r="O88" s="31"/>
      <c r="P88" s="286"/>
      <c r="Q88" s="31"/>
      <c r="R88" s="286"/>
      <c r="S88" s="31"/>
      <c r="T88" s="286"/>
      <c r="U88" s="31"/>
      <c r="V88" s="286"/>
      <c r="W88" s="31"/>
      <c r="X88" s="286"/>
      <c r="Y88" s="31"/>
      <c r="Z88" s="286"/>
      <c r="AA88" s="31"/>
      <c r="AB88" s="286"/>
      <c r="AC88" s="31"/>
      <c r="AD88" s="286"/>
      <c r="AE88" s="31"/>
      <c r="AF88" s="286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:4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:4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:4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:4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:4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:4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:4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:4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:4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:4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:4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:4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:4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11" spans="1:43">
      <c r="A111" s="238"/>
      <c r="B111" s="238"/>
      <c r="C111" s="239"/>
      <c r="D111" s="239"/>
      <c r="E111" s="239"/>
      <c r="F111" s="239"/>
      <c r="G111" s="240"/>
      <c r="H111" s="239"/>
      <c r="I111" s="240"/>
      <c r="J111" s="239"/>
      <c r="K111" s="240"/>
      <c r="L111" s="239"/>
      <c r="M111" s="240"/>
      <c r="N111" s="239"/>
      <c r="O111" s="240"/>
      <c r="P111" s="239"/>
      <c r="Q111" s="240"/>
      <c r="R111" s="239"/>
      <c r="S111" s="240"/>
      <c r="T111" s="239"/>
      <c r="U111" s="240"/>
      <c r="V111" s="239"/>
      <c r="W111" s="240"/>
      <c r="X111" s="239"/>
      <c r="Y111" s="240"/>
      <c r="AA111" s="161"/>
    </row>
    <row r="119" spans="25:34">
      <c r="Y119"/>
      <c r="Z119"/>
      <c r="AA119"/>
      <c r="AB119"/>
      <c r="AC119"/>
      <c r="AD119"/>
      <c r="AE119"/>
      <c r="AF119"/>
      <c r="AH119"/>
    </row>
    <row r="120" spans="25:34">
      <c r="Y120"/>
      <c r="Z120"/>
      <c r="AA120"/>
      <c r="AB120"/>
      <c r="AC120"/>
      <c r="AD120"/>
      <c r="AE120"/>
      <c r="AF120"/>
      <c r="AH120"/>
    </row>
    <row r="121" spans="25:34">
      <c r="Y121"/>
      <c r="Z121"/>
      <c r="AA121"/>
      <c r="AB121"/>
      <c r="AC121"/>
      <c r="AD121"/>
      <c r="AE121"/>
      <c r="AF121"/>
      <c r="AH121"/>
    </row>
    <row r="122" spans="25:34">
      <c r="Y122"/>
      <c r="Z122"/>
      <c r="AA122"/>
      <c r="AB122"/>
      <c r="AC122"/>
      <c r="AD122"/>
      <c r="AE122"/>
      <c r="AF122"/>
      <c r="AH122"/>
    </row>
    <row r="123" spans="25:34">
      <c r="Y123"/>
      <c r="Z123"/>
      <c r="AA123"/>
      <c r="AB123"/>
      <c r="AC123"/>
      <c r="AD123"/>
      <c r="AE123"/>
      <c r="AF123"/>
      <c r="AH123"/>
    </row>
    <row r="124" spans="25:34">
      <c r="Y124"/>
      <c r="Z124"/>
      <c r="AA124"/>
      <c r="AB124"/>
      <c r="AC124"/>
      <c r="AD124"/>
      <c r="AE124"/>
      <c r="AF124"/>
      <c r="AH124"/>
    </row>
    <row r="125" spans="25:34">
      <c r="Y125"/>
      <c r="Z125"/>
      <c r="AA125"/>
      <c r="AB125"/>
      <c r="AC125"/>
      <c r="AD125"/>
      <c r="AE125"/>
      <c r="AF125"/>
      <c r="AH125"/>
    </row>
    <row r="126" spans="25:34">
      <c r="Y126"/>
      <c r="Z126"/>
      <c r="AA126"/>
      <c r="AB126"/>
      <c r="AC126"/>
      <c r="AD126"/>
      <c r="AE126"/>
      <c r="AF126"/>
      <c r="AH126"/>
    </row>
    <row r="127" spans="25:34">
      <c r="Y127"/>
      <c r="Z127"/>
      <c r="AA127"/>
      <c r="AB127"/>
      <c r="AC127"/>
      <c r="AD127"/>
      <c r="AE127"/>
      <c r="AF127"/>
      <c r="AH127"/>
    </row>
    <row r="128" spans="25:34">
      <c r="Y128"/>
      <c r="Z128"/>
      <c r="AA128"/>
      <c r="AB128"/>
      <c r="AC128"/>
      <c r="AD128"/>
      <c r="AE128"/>
      <c r="AF128"/>
      <c r="AH128"/>
    </row>
    <row r="129" spans="25:34">
      <c r="Y129"/>
      <c r="Z129"/>
      <c r="AA129"/>
      <c r="AB129"/>
      <c r="AC129"/>
      <c r="AD129"/>
      <c r="AE129"/>
      <c r="AF129"/>
      <c r="AH129"/>
    </row>
    <row r="130" spans="25:34">
      <c r="Y130"/>
      <c r="Z130"/>
      <c r="AA130"/>
      <c r="AB130"/>
      <c r="AC130"/>
      <c r="AD130"/>
      <c r="AE130"/>
      <c r="AF130"/>
      <c r="AH130"/>
    </row>
    <row r="131" spans="25:34">
      <c r="Y131"/>
      <c r="Z131"/>
      <c r="AA131"/>
      <c r="AB131"/>
      <c r="AC131"/>
      <c r="AD131"/>
      <c r="AE131"/>
      <c r="AF131"/>
      <c r="AH131"/>
    </row>
    <row r="132" spans="25:34">
      <c r="Y132"/>
      <c r="Z132"/>
      <c r="AA132"/>
      <c r="AB132"/>
      <c r="AC132"/>
      <c r="AD132"/>
      <c r="AE132"/>
      <c r="AF132"/>
      <c r="AH132"/>
    </row>
    <row r="133" spans="25:34">
      <c r="Y133"/>
      <c r="Z133"/>
      <c r="AA133"/>
      <c r="AB133"/>
      <c r="AC133"/>
      <c r="AD133"/>
      <c r="AE133"/>
      <c r="AF133"/>
      <c r="AH133"/>
    </row>
    <row r="134" spans="25:34">
      <c r="Y134"/>
      <c r="Z134"/>
      <c r="AA134"/>
      <c r="AB134"/>
      <c r="AC134"/>
      <c r="AD134"/>
      <c r="AE134"/>
      <c r="AF134"/>
      <c r="AH134"/>
    </row>
    <row r="1048576" spans="34:34">
      <c r="AH1048576" s="159">
        <f>SUM(E1048576:AC1048576)</f>
        <v>0</v>
      </c>
    </row>
  </sheetData>
  <mergeCells count="6">
    <mergeCell ref="A1:AF1"/>
    <mergeCell ref="A3:AF3"/>
    <mergeCell ref="AR5:AY5"/>
    <mergeCell ref="E5:Q5"/>
    <mergeCell ref="S5:AE5"/>
    <mergeCell ref="A2:AE2"/>
  </mergeCells>
  <pageMargins left="0.7" right="0.7" top="0.75" bottom="0.75" header="0.3" footer="0.3"/>
  <pageSetup scale="29" fitToWidth="0" fitToHeight="0" orientation="landscape" r:id="rId1"/>
  <headerFooter scaleWithDoc="0">
    <oddFooter>&amp;R&amp;"Times New Roman,Bold"&amp;12Exhibit CMG-5
Page 2 of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48576"/>
  <sheetViews>
    <sheetView zoomScale="55" zoomScaleNormal="55" workbookViewId="0">
      <selection sqref="A1:AF1"/>
    </sheetView>
  </sheetViews>
  <sheetFormatPr defaultRowHeight="20.25"/>
  <cols>
    <col min="1" max="1" width="9.5703125" style="151" customWidth="1"/>
    <col min="2" max="2" width="9.140625" style="151"/>
    <col min="3" max="3" width="68.7109375" style="151" customWidth="1"/>
    <col min="4" max="4" width="8.42578125" style="151" customWidth="1"/>
    <col min="5" max="5" width="19.140625" style="151" customWidth="1"/>
    <col min="6" max="6" width="2.7109375" style="151" customWidth="1"/>
    <col min="7" max="7" width="19.140625" style="151" customWidth="1"/>
    <col min="8" max="8" width="2.7109375" style="151" customWidth="1"/>
    <col min="9" max="9" width="20.7109375" style="151" customWidth="1"/>
    <col min="10" max="10" width="2.7109375" style="151" customWidth="1"/>
    <col min="11" max="11" width="19" style="151" customWidth="1"/>
    <col min="12" max="12" width="2.7109375" style="151" customWidth="1"/>
    <col min="13" max="13" width="19.5703125" style="151" customWidth="1"/>
    <col min="14" max="14" width="2.7109375" style="151" customWidth="1"/>
    <col min="15" max="15" width="19.140625" style="151" customWidth="1"/>
    <col min="16" max="16" width="2.7109375" style="151" customWidth="1"/>
    <col min="17" max="17" width="19" style="151" customWidth="1"/>
    <col min="18" max="18" width="2.7109375" style="151" customWidth="1"/>
    <col min="19" max="19" width="19.140625" style="151" customWidth="1"/>
    <col min="20" max="20" width="2.7109375" style="151" customWidth="1"/>
    <col min="21" max="21" width="22.5703125" style="151" bestFit="1" customWidth="1"/>
    <col min="22" max="22" width="2.7109375" style="151" customWidth="1"/>
    <col min="23" max="23" width="22.5703125" style="151" bestFit="1" customWidth="1"/>
    <col min="24" max="24" width="2.7109375" style="151" customWidth="1"/>
    <col min="25" max="25" width="22.5703125" style="151" bestFit="1" customWidth="1"/>
    <col min="26" max="26" width="2.7109375" style="151" customWidth="1"/>
    <col min="27" max="27" width="19.140625" style="151" bestFit="1" customWidth="1"/>
    <col min="28" max="28" width="2.7109375" style="151" customWidth="1"/>
    <col min="29" max="29" width="19.140625" style="151" bestFit="1" customWidth="1"/>
    <col min="30" max="30" width="2.7109375" style="151" customWidth="1"/>
    <col min="31" max="31" width="19.140625" style="151" bestFit="1" customWidth="1"/>
    <col min="32" max="32" width="2.7109375" style="151" customWidth="1"/>
    <col min="33" max="33" width="20.7109375" bestFit="1" customWidth="1"/>
    <col min="34" max="34" width="18.7109375" style="151" customWidth="1"/>
    <col min="35" max="35" width="18" style="151" customWidth="1"/>
    <col min="36" max="36" width="17" style="151" customWidth="1"/>
    <col min="37" max="37" width="14.7109375" style="151" bestFit="1" customWidth="1"/>
    <col min="38" max="38" width="14.5703125" style="151" bestFit="1" customWidth="1"/>
    <col min="39" max="39" width="13.140625" style="151" bestFit="1" customWidth="1"/>
    <col min="40" max="40" width="14" style="151" customWidth="1"/>
    <col min="41" max="41" width="15.5703125" style="151" customWidth="1"/>
    <col min="42" max="42" width="14.42578125" style="151" bestFit="1" customWidth="1"/>
    <col min="43" max="43" width="14.85546875" style="151" customWidth="1"/>
    <col min="44" max="44" width="15.7109375" style="151" customWidth="1"/>
    <col min="45" max="45" width="13.42578125" style="151" customWidth="1"/>
    <col min="46" max="46" width="12.140625" style="151" bestFit="1" customWidth="1"/>
    <col min="47" max="47" width="16.5703125" style="151" customWidth="1"/>
    <col min="48" max="48" width="14.42578125" style="151" customWidth="1"/>
    <col min="49" max="49" width="15.140625" style="151" customWidth="1"/>
    <col min="50" max="50" width="9.42578125" style="151" bestFit="1" customWidth="1"/>
    <col min="51" max="51" width="12.7109375" style="151" customWidth="1"/>
    <col min="52" max="16384" width="9.140625" style="151"/>
  </cols>
  <sheetData>
    <row r="1" spans="1:51">
      <c r="A1" s="315" t="s">
        <v>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</row>
    <row r="2" spans="1:51">
      <c r="A2" s="326" t="s">
        <v>306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01"/>
    </row>
    <row r="3" spans="1:51">
      <c r="A3" s="315" t="s">
        <v>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</row>
    <row r="4" spans="1:51" s="42" customFormat="1">
      <c r="A4" s="152"/>
      <c r="E4" s="39"/>
      <c r="AG4"/>
      <c r="AJ4" s="21"/>
      <c r="AK4" s="21"/>
      <c r="AL4" s="21"/>
      <c r="AM4" s="21"/>
      <c r="AN4" s="21"/>
      <c r="AO4" s="21"/>
      <c r="AP4" s="21"/>
      <c r="AQ4" s="21"/>
      <c r="AR4" s="22"/>
      <c r="AS4" s="21"/>
      <c r="AT4" s="21"/>
      <c r="AU4" s="21"/>
      <c r="AV4" s="21"/>
      <c r="AW4" s="21"/>
      <c r="AX4" s="21"/>
      <c r="AY4" s="21"/>
    </row>
    <row r="5" spans="1:51" s="42" customFormat="1">
      <c r="E5" s="323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  <c r="S5" s="320" t="s">
        <v>291</v>
      </c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2"/>
      <c r="AG5"/>
      <c r="AJ5" s="23"/>
      <c r="AK5" s="22"/>
      <c r="AL5" s="22"/>
      <c r="AM5" s="22"/>
      <c r="AN5" s="22"/>
      <c r="AO5" s="22"/>
      <c r="AP5" s="22"/>
      <c r="AQ5" s="22"/>
      <c r="AR5" s="316"/>
      <c r="AS5" s="316"/>
      <c r="AT5" s="316"/>
      <c r="AU5" s="316"/>
      <c r="AV5" s="316"/>
      <c r="AW5" s="316"/>
      <c r="AX5" s="316"/>
      <c r="AY5" s="316"/>
    </row>
    <row r="6" spans="1:51" s="42" customFormat="1">
      <c r="A6" s="175" t="s">
        <v>4</v>
      </c>
      <c r="B6" s="43"/>
      <c r="D6" s="43"/>
      <c r="E6" s="245">
        <v>2016</v>
      </c>
      <c r="F6" s="246"/>
      <c r="G6" s="247">
        <v>2017</v>
      </c>
      <c r="H6" s="247"/>
      <c r="I6" s="247">
        <f>$G$6</f>
        <v>2017</v>
      </c>
      <c r="J6" s="247"/>
      <c r="K6" s="247">
        <f>$G$6</f>
        <v>2017</v>
      </c>
      <c r="L6" s="247"/>
      <c r="M6" s="247">
        <f>$G$6</f>
        <v>2017</v>
      </c>
      <c r="N6" s="247"/>
      <c r="O6" s="247">
        <f>$G$6</f>
        <v>2017</v>
      </c>
      <c r="P6" s="246"/>
      <c r="Q6" s="248">
        <f>$G$6</f>
        <v>2017</v>
      </c>
      <c r="R6" s="43"/>
      <c r="S6" s="241">
        <f>$G$6</f>
        <v>2017</v>
      </c>
      <c r="T6" s="242"/>
      <c r="U6" s="243">
        <f>$G$6</f>
        <v>2017</v>
      </c>
      <c r="V6" s="242"/>
      <c r="W6" s="243">
        <f>$G$6</f>
        <v>2017</v>
      </c>
      <c r="X6" s="242"/>
      <c r="Y6" s="243">
        <f>$G$6</f>
        <v>2017</v>
      </c>
      <c r="Z6" s="242"/>
      <c r="AA6" s="243">
        <f>$G$6</f>
        <v>2017</v>
      </c>
      <c r="AB6" s="242"/>
      <c r="AC6" s="243">
        <f>$G$6</f>
        <v>2017</v>
      </c>
      <c r="AD6" s="242"/>
      <c r="AE6" s="244">
        <f>$G$6</f>
        <v>2017</v>
      </c>
      <c r="AF6" s="43"/>
      <c r="AG6"/>
      <c r="AJ6" s="176"/>
      <c r="AK6" s="24"/>
      <c r="AL6" s="176"/>
      <c r="AM6" s="176"/>
      <c r="AN6" s="176"/>
      <c r="AO6" s="176"/>
      <c r="AP6" s="176"/>
      <c r="AQ6" s="176"/>
      <c r="AR6" s="176"/>
      <c r="AS6" s="176"/>
      <c r="AT6" s="176"/>
      <c r="AU6" s="24"/>
      <c r="AV6" s="176"/>
      <c r="AW6" s="176"/>
      <c r="AX6" s="176"/>
      <c r="AY6" s="176"/>
    </row>
    <row r="7" spans="1:51" s="42" customFormat="1">
      <c r="A7" s="153" t="s">
        <v>5</v>
      </c>
      <c r="B7" s="43"/>
      <c r="C7" s="153" t="s">
        <v>6</v>
      </c>
      <c r="D7" s="43"/>
      <c r="E7" s="249" t="s">
        <v>115</v>
      </c>
      <c r="F7" s="250"/>
      <c r="G7" s="251" t="s">
        <v>103</v>
      </c>
      <c r="H7" s="252"/>
      <c r="I7" s="251" t="s">
        <v>106</v>
      </c>
      <c r="J7" s="252"/>
      <c r="K7" s="251" t="s">
        <v>107</v>
      </c>
      <c r="L7" s="252"/>
      <c r="M7" s="251" t="s">
        <v>108</v>
      </c>
      <c r="N7" s="252"/>
      <c r="O7" s="251" t="s">
        <v>96</v>
      </c>
      <c r="P7" s="250"/>
      <c r="Q7" s="253" t="s">
        <v>109</v>
      </c>
      <c r="R7" s="43"/>
      <c r="S7" s="220" t="s">
        <v>110</v>
      </c>
      <c r="T7" s="82"/>
      <c r="U7" s="154" t="s">
        <v>111</v>
      </c>
      <c r="V7" s="82"/>
      <c r="W7" s="154" t="s">
        <v>112</v>
      </c>
      <c r="X7" s="82"/>
      <c r="Y7" s="154" t="s">
        <v>113</v>
      </c>
      <c r="Z7" s="82"/>
      <c r="AA7" s="154" t="s">
        <v>114</v>
      </c>
      <c r="AB7" s="82"/>
      <c r="AC7" s="154" t="s">
        <v>115</v>
      </c>
      <c r="AD7" s="82"/>
      <c r="AE7" s="221" t="s">
        <v>289</v>
      </c>
      <c r="AF7" s="43"/>
      <c r="AG7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24"/>
      <c r="AV7" s="176"/>
      <c r="AW7" s="176"/>
      <c r="AX7" s="176"/>
      <c r="AY7" s="176"/>
    </row>
    <row r="8" spans="1:51" s="42" customFormat="1">
      <c r="A8" s="175"/>
      <c r="B8" s="43"/>
      <c r="C8" s="155">
        <v>-1</v>
      </c>
      <c r="D8" s="43"/>
      <c r="E8" s="254">
        <v>-2</v>
      </c>
      <c r="F8" s="250"/>
      <c r="G8" s="255">
        <v>-3</v>
      </c>
      <c r="H8" s="250"/>
      <c r="I8" s="255">
        <v>-4</v>
      </c>
      <c r="J8" s="250"/>
      <c r="K8" s="255">
        <v>-5</v>
      </c>
      <c r="L8" s="250"/>
      <c r="M8" s="255">
        <v>-6</v>
      </c>
      <c r="N8" s="250"/>
      <c r="O8" s="255">
        <v>-7</v>
      </c>
      <c r="P8" s="250"/>
      <c r="Q8" s="256">
        <v>-8</v>
      </c>
      <c r="R8" s="43"/>
      <c r="S8" s="222">
        <v>-9</v>
      </c>
      <c r="T8" s="82"/>
      <c r="U8" s="223">
        <v>-10</v>
      </c>
      <c r="V8" s="82"/>
      <c r="W8" s="223">
        <v>-11</v>
      </c>
      <c r="X8" s="82"/>
      <c r="Y8" s="223">
        <v>-12</v>
      </c>
      <c r="Z8" s="82"/>
      <c r="AA8" s="223">
        <v>-13</v>
      </c>
      <c r="AB8" s="82"/>
      <c r="AC8" s="223">
        <v>-14</v>
      </c>
      <c r="AD8" s="82"/>
      <c r="AE8" s="224">
        <v>-15</v>
      </c>
      <c r="AF8" s="43"/>
      <c r="AG8"/>
      <c r="AJ8" s="176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s="42" customFormat="1">
      <c r="A9" s="43"/>
      <c r="B9" s="43"/>
      <c r="D9" s="43"/>
      <c r="E9" s="257"/>
      <c r="F9" s="250"/>
      <c r="G9" s="258"/>
      <c r="H9" s="250"/>
      <c r="I9" s="258"/>
      <c r="J9" s="250"/>
      <c r="K9" s="258"/>
      <c r="L9" s="250"/>
      <c r="M9" s="258"/>
      <c r="N9" s="250"/>
      <c r="O9" s="258"/>
      <c r="P9" s="250"/>
      <c r="Q9" s="259"/>
      <c r="R9" s="43"/>
      <c r="S9" s="225"/>
      <c r="T9" s="82"/>
      <c r="U9" s="21"/>
      <c r="V9" s="82"/>
      <c r="W9" s="21"/>
      <c r="X9" s="82"/>
      <c r="Y9" s="21"/>
      <c r="Z9" s="82"/>
      <c r="AA9" s="21"/>
      <c r="AB9" s="82"/>
      <c r="AC9" s="21"/>
      <c r="AD9" s="82"/>
      <c r="AE9" s="226"/>
      <c r="AF9" s="43"/>
      <c r="AG9"/>
      <c r="AJ9" s="176"/>
      <c r="AK9" s="25"/>
      <c r="AL9" s="25"/>
      <c r="AM9" s="25"/>
      <c r="AN9" s="25"/>
      <c r="AO9" s="25"/>
      <c r="AP9" s="25"/>
      <c r="AQ9" s="26"/>
      <c r="AR9" s="25"/>
      <c r="AS9" s="26"/>
      <c r="AT9" s="26"/>
      <c r="AU9" s="26"/>
      <c r="AV9" s="25"/>
      <c r="AW9" s="25"/>
      <c r="AX9" s="25"/>
      <c r="AY9" s="25"/>
    </row>
    <row r="10" spans="1:51" s="42" customFormat="1">
      <c r="A10" s="43"/>
      <c r="B10" s="156" t="s">
        <v>53</v>
      </c>
      <c r="D10" s="43"/>
      <c r="E10" s="257"/>
      <c r="F10" s="250"/>
      <c r="G10" s="258"/>
      <c r="H10" s="250"/>
      <c r="I10" s="258"/>
      <c r="J10" s="250"/>
      <c r="K10" s="258"/>
      <c r="L10" s="250"/>
      <c r="M10" s="258"/>
      <c r="N10" s="250"/>
      <c r="O10" s="258"/>
      <c r="P10" s="250"/>
      <c r="Q10" s="259"/>
      <c r="R10" s="43"/>
      <c r="S10" s="225"/>
      <c r="T10" s="82"/>
      <c r="U10" s="21"/>
      <c r="V10" s="82"/>
      <c r="W10" s="21"/>
      <c r="X10" s="82"/>
      <c r="Y10" s="21"/>
      <c r="Z10" s="82"/>
      <c r="AA10" s="21"/>
      <c r="AB10" s="82"/>
      <c r="AC10" s="21"/>
      <c r="AD10" s="82"/>
      <c r="AE10" s="226"/>
      <c r="AF10" s="43"/>
      <c r="AG10"/>
      <c r="AJ10" s="176"/>
      <c r="AK10" s="25"/>
      <c r="AL10" s="25"/>
      <c r="AM10" s="25"/>
      <c r="AN10" s="25"/>
      <c r="AO10" s="25"/>
      <c r="AP10" s="25"/>
      <c r="AQ10" s="26"/>
      <c r="AR10" s="25"/>
      <c r="AS10" s="25"/>
      <c r="AT10" s="25"/>
      <c r="AU10" s="26"/>
      <c r="AV10" s="25"/>
      <c r="AW10" s="25"/>
      <c r="AX10" s="25"/>
      <c r="AY10" s="25"/>
    </row>
    <row r="11" spans="1:51" s="42" customFormat="1">
      <c r="A11" s="43">
        <v>1</v>
      </c>
      <c r="B11" s="43"/>
      <c r="C11" s="157" t="s">
        <v>287</v>
      </c>
      <c r="D11" s="43"/>
      <c r="E11" s="260">
        <v>0</v>
      </c>
      <c r="F11" s="250"/>
      <c r="G11" s="261"/>
      <c r="H11" s="250"/>
      <c r="I11" s="261"/>
      <c r="J11" s="250"/>
      <c r="K11" s="261"/>
      <c r="L11" s="250"/>
      <c r="M11" s="261"/>
      <c r="N11" s="250"/>
      <c r="O11" s="261"/>
      <c r="P11" s="250"/>
      <c r="Q11" s="262"/>
      <c r="R11" s="43"/>
      <c r="S11" s="227">
        <f>'Cap&amp;OpEx 2017'!C11</f>
        <v>1048966.73</v>
      </c>
      <c r="T11" s="82"/>
      <c r="U11" s="62">
        <f>'Cap&amp;OpEx 2017'!D11+S11</f>
        <v>1266479.47</v>
      </c>
      <c r="V11" s="82"/>
      <c r="W11" s="62">
        <f>'Cap&amp;OpEx 2017'!E11+U11</f>
        <v>1493390.43</v>
      </c>
      <c r="X11" s="82"/>
      <c r="Y11" s="62">
        <f>'Cap&amp;OpEx 2017'!F11+W11</f>
        <v>1684404.96</v>
      </c>
      <c r="Z11" s="82"/>
      <c r="AA11" s="62">
        <f>'Cap&amp;OpEx 2017'!G11+Y11</f>
        <v>1831515.92</v>
      </c>
      <c r="AB11" s="82"/>
      <c r="AC11" s="62">
        <f>'Cap&amp;OpEx 2017'!H11+AA11</f>
        <v>2000286.88</v>
      </c>
      <c r="AD11" s="82"/>
      <c r="AE11" s="228">
        <f>SUM(S11:AC11)/7</f>
        <v>1332149.1985714287</v>
      </c>
      <c r="AF11" s="158"/>
      <c r="AG11"/>
      <c r="AJ11" s="176"/>
      <c r="AK11" s="25"/>
      <c r="AL11" s="25"/>
      <c r="AM11" s="25"/>
      <c r="AN11" s="25"/>
      <c r="AO11" s="25"/>
      <c r="AP11" s="25"/>
      <c r="AQ11" s="26"/>
      <c r="AR11" s="25"/>
      <c r="AS11" s="25"/>
      <c r="AT11" s="25"/>
      <c r="AU11" s="26"/>
      <c r="AV11" s="25"/>
      <c r="AW11" s="25"/>
      <c r="AX11" s="25"/>
      <c r="AY11" s="25"/>
    </row>
    <row r="12" spans="1:51" s="42" customFormat="1">
      <c r="A12" s="43">
        <v>2</v>
      </c>
      <c r="B12" s="43"/>
      <c r="C12" s="42" t="s">
        <v>19</v>
      </c>
      <c r="D12" s="43"/>
      <c r="E12" s="260">
        <v>0</v>
      </c>
      <c r="F12" s="250"/>
      <c r="G12" s="261"/>
      <c r="H12" s="250"/>
      <c r="I12" s="261"/>
      <c r="J12" s="250"/>
      <c r="K12" s="261"/>
      <c r="L12" s="250"/>
      <c r="M12" s="261"/>
      <c r="N12" s="250"/>
      <c r="O12" s="261"/>
      <c r="P12" s="250"/>
      <c r="Q12" s="262"/>
      <c r="R12" s="43"/>
      <c r="S12" s="227">
        <v>0</v>
      </c>
      <c r="T12" s="82"/>
      <c r="U12" s="62">
        <v>0</v>
      </c>
      <c r="V12" s="82"/>
      <c r="W12" s="62">
        <v>0</v>
      </c>
      <c r="X12" s="82"/>
      <c r="Y12" s="62">
        <v>0</v>
      </c>
      <c r="Z12" s="82"/>
      <c r="AA12" s="62">
        <v>0</v>
      </c>
      <c r="AB12" s="82"/>
      <c r="AC12" s="62">
        <v>0</v>
      </c>
      <c r="AD12" s="82"/>
      <c r="AE12" s="228">
        <f t="shared" ref="AE12:AE13" si="0">SUM(S12:AC12)/7</f>
        <v>0</v>
      </c>
      <c r="AF12" s="43"/>
      <c r="AG12"/>
      <c r="AJ12" s="176"/>
      <c r="AK12" s="25"/>
      <c r="AL12" s="25"/>
      <c r="AM12" s="25"/>
      <c r="AN12" s="25"/>
      <c r="AO12" s="25"/>
      <c r="AP12" s="25"/>
      <c r="AQ12" s="26"/>
      <c r="AR12" s="25"/>
      <c r="AS12" s="25"/>
      <c r="AT12" s="25"/>
      <c r="AU12" s="26"/>
      <c r="AV12" s="25"/>
      <c r="AW12" s="25"/>
      <c r="AX12" s="25"/>
      <c r="AY12" s="25"/>
    </row>
    <row r="13" spans="1:51" s="42" customFormat="1">
      <c r="A13" s="43">
        <v>3</v>
      </c>
      <c r="B13" s="43"/>
      <c r="C13" s="42" t="s">
        <v>55</v>
      </c>
      <c r="D13" s="43"/>
      <c r="E13" s="263">
        <v>0</v>
      </c>
      <c r="F13" s="250"/>
      <c r="G13" s="264"/>
      <c r="H13" s="265"/>
      <c r="I13" s="264"/>
      <c r="J13" s="266"/>
      <c r="K13" s="264"/>
      <c r="L13" s="266"/>
      <c r="M13" s="264"/>
      <c r="N13" s="266"/>
      <c r="O13" s="264"/>
      <c r="P13" s="266"/>
      <c r="Q13" s="267"/>
      <c r="R13" s="168"/>
      <c r="S13" s="229">
        <v>0</v>
      </c>
      <c r="T13" s="168"/>
      <c r="U13" s="48">
        <v>0</v>
      </c>
      <c r="V13" s="168"/>
      <c r="W13" s="48">
        <v>0</v>
      </c>
      <c r="X13" s="168"/>
      <c r="Y13" s="48">
        <v>0</v>
      </c>
      <c r="Z13" s="82"/>
      <c r="AA13" s="48">
        <v>0</v>
      </c>
      <c r="AB13" s="82"/>
      <c r="AC13" s="48">
        <v>0</v>
      </c>
      <c r="AD13" s="82"/>
      <c r="AE13" s="230">
        <f t="shared" si="0"/>
        <v>0</v>
      </c>
      <c r="AF13" s="43"/>
      <c r="AG13"/>
      <c r="AJ13" s="176"/>
      <c r="AK13" s="25"/>
      <c r="AL13" s="25"/>
      <c r="AM13" s="25"/>
      <c r="AN13" s="25"/>
      <c r="AO13" s="25"/>
      <c r="AP13" s="25"/>
      <c r="AQ13" s="26"/>
      <c r="AR13" s="25"/>
      <c r="AS13" s="25"/>
      <c r="AT13" s="25"/>
      <c r="AU13" s="26"/>
      <c r="AV13" s="25"/>
      <c r="AW13" s="25"/>
      <c r="AX13" s="25"/>
      <c r="AY13" s="25"/>
    </row>
    <row r="14" spans="1:51" s="42" customFormat="1">
      <c r="A14" s="43">
        <v>4</v>
      </c>
      <c r="B14" s="43"/>
      <c r="C14" s="42" t="s">
        <v>56</v>
      </c>
      <c r="D14" s="43"/>
      <c r="E14" s="260">
        <f>SUM(E11:E13)</f>
        <v>0</v>
      </c>
      <c r="F14" s="250"/>
      <c r="G14" s="261">
        <f>SUM(G11:G13)</f>
        <v>0</v>
      </c>
      <c r="H14" s="250"/>
      <c r="I14" s="261">
        <f>SUM(I11:I13)</f>
        <v>0</v>
      </c>
      <c r="J14" s="250"/>
      <c r="K14" s="261">
        <f>SUM(K11:K13)</f>
        <v>0</v>
      </c>
      <c r="L14" s="250"/>
      <c r="M14" s="261">
        <f>SUM(M11:M13)</f>
        <v>0</v>
      </c>
      <c r="N14" s="250"/>
      <c r="O14" s="261">
        <f>SUM(O11:O13)</f>
        <v>0</v>
      </c>
      <c r="P14" s="250"/>
      <c r="Q14" s="262">
        <f>SUM(Q11:Q13)</f>
        <v>0</v>
      </c>
      <c r="R14" s="82"/>
      <c r="S14" s="227">
        <f>SUM(S11:S13)</f>
        <v>1048966.73</v>
      </c>
      <c r="T14" s="82"/>
      <c r="U14" s="62">
        <f>SUM(U11:U13)</f>
        <v>1266479.47</v>
      </c>
      <c r="V14" s="82"/>
      <c r="W14" s="62">
        <f>SUM(W11:W13)</f>
        <v>1493390.43</v>
      </c>
      <c r="X14" s="82"/>
      <c r="Y14" s="62">
        <f>SUM(Y11:Y13)</f>
        <v>1684404.96</v>
      </c>
      <c r="Z14" s="82"/>
      <c r="AA14" s="62">
        <f>SUM(AA11:AA13)</f>
        <v>1831515.92</v>
      </c>
      <c r="AB14" s="82"/>
      <c r="AC14" s="62">
        <f>SUM(AC11:AC13)</f>
        <v>2000286.88</v>
      </c>
      <c r="AD14" s="82"/>
      <c r="AE14" s="228">
        <f>SUM(AE11:AE13)</f>
        <v>1332149.1985714287</v>
      </c>
      <c r="AF14" s="82"/>
      <c r="AG14"/>
      <c r="AJ14" s="176"/>
      <c r="AK14" s="21"/>
      <c r="AL14" s="21"/>
      <c r="AM14" s="21"/>
      <c r="AN14" s="21"/>
      <c r="AO14" s="21"/>
      <c r="AP14" s="21"/>
      <c r="AQ14" s="26"/>
      <c r="AR14" s="25"/>
      <c r="AS14" s="25"/>
      <c r="AT14" s="25"/>
      <c r="AU14" s="26"/>
      <c r="AV14" s="25"/>
      <c r="AW14" s="25"/>
      <c r="AX14" s="25"/>
      <c r="AY14" s="25"/>
    </row>
    <row r="15" spans="1:51" s="42" customFormat="1">
      <c r="A15" s="43"/>
      <c r="B15" s="43"/>
      <c r="D15" s="43"/>
      <c r="E15" s="260"/>
      <c r="F15" s="250"/>
      <c r="G15" s="261"/>
      <c r="H15" s="250"/>
      <c r="I15" s="261"/>
      <c r="J15" s="250"/>
      <c r="K15" s="261"/>
      <c r="L15" s="250"/>
      <c r="M15" s="261"/>
      <c r="N15" s="250"/>
      <c r="O15" s="261"/>
      <c r="P15" s="250"/>
      <c r="Q15" s="262"/>
      <c r="R15" s="43"/>
      <c r="S15" s="227"/>
      <c r="T15" s="82"/>
      <c r="U15" s="62"/>
      <c r="V15" s="82"/>
      <c r="W15" s="62"/>
      <c r="X15" s="82"/>
      <c r="Y15" s="62"/>
      <c r="Z15" s="82"/>
      <c r="AA15" s="62"/>
      <c r="AB15" s="82"/>
      <c r="AC15" s="62"/>
      <c r="AD15" s="82"/>
      <c r="AE15" s="228"/>
      <c r="AF15" s="43"/>
      <c r="AG15"/>
      <c r="AJ15" s="176"/>
      <c r="AK15" s="21"/>
      <c r="AL15" s="21"/>
      <c r="AM15" s="21"/>
      <c r="AN15" s="21"/>
      <c r="AO15" s="21"/>
      <c r="AP15" s="21"/>
      <c r="AQ15" s="26"/>
      <c r="AR15" s="25"/>
      <c r="AS15" s="25"/>
      <c r="AT15" s="25"/>
      <c r="AU15" s="26"/>
      <c r="AV15" s="25"/>
      <c r="AW15" s="25"/>
      <c r="AX15" s="25"/>
      <c r="AY15" s="25"/>
    </row>
    <row r="16" spans="1:51" s="42" customFormat="1">
      <c r="A16" s="43">
        <v>5</v>
      </c>
      <c r="B16" s="43"/>
      <c r="C16" s="42" t="s">
        <v>57</v>
      </c>
      <c r="D16" s="43"/>
      <c r="E16" s="263">
        <v>0</v>
      </c>
      <c r="F16" s="250"/>
      <c r="G16" s="264"/>
      <c r="H16" s="265"/>
      <c r="I16" s="264"/>
      <c r="J16" s="266"/>
      <c r="K16" s="264"/>
      <c r="L16" s="266"/>
      <c r="M16" s="264"/>
      <c r="N16" s="266"/>
      <c r="O16" s="264"/>
      <c r="P16" s="266"/>
      <c r="Q16" s="267"/>
      <c r="R16" s="168"/>
      <c r="S16" s="229">
        <v>0</v>
      </c>
      <c r="T16" s="168"/>
      <c r="U16" s="48">
        <v>0</v>
      </c>
      <c r="V16" s="168"/>
      <c r="W16" s="48">
        <v>0</v>
      </c>
      <c r="X16" s="168"/>
      <c r="Y16" s="48">
        <v>0</v>
      </c>
      <c r="Z16" s="82"/>
      <c r="AA16" s="48">
        <v>0</v>
      </c>
      <c r="AB16" s="82"/>
      <c r="AC16" s="48">
        <v>0</v>
      </c>
      <c r="AD16" s="82"/>
      <c r="AE16" s="230">
        <f>SUM(S16:AC16)/7</f>
        <v>0</v>
      </c>
      <c r="AF16" s="43"/>
      <c r="AG16"/>
      <c r="AJ16" s="17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34" s="42" customFormat="1" ht="7.5" customHeight="1">
      <c r="A17" s="43"/>
      <c r="B17" s="43"/>
      <c r="D17" s="43"/>
      <c r="E17" s="260"/>
      <c r="F17" s="250"/>
      <c r="G17" s="261"/>
      <c r="H17" s="250"/>
      <c r="I17" s="261"/>
      <c r="J17" s="250"/>
      <c r="K17" s="261"/>
      <c r="L17" s="250"/>
      <c r="M17" s="261"/>
      <c r="N17" s="250"/>
      <c r="O17" s="261"/>
      <c r="P17" s="250"/>
      <c r="Q17" s="262"/>
      <c r="R17" s="43"/>
      <c r="S17" s="227"/>
      <c r="T17" s="82"/>
      <c r="U17" s="62"/>
      <c r="V17" s="82"/>
      <c r="W17" s="62"/>
      <c r="X17" s="82"/>
      <c r="Y17" s="62"/>
      <c r="Z17" s="82"/>
      <c r="AA17" s="62"/>
      <c r="AB17" s="82"/>
      <c r="AC17" s="62"/>
      <c r="AD17" s="82"/>
      <c r="AE17" s="228"/>
      <c r="AF17" s="43"/>
      <c r="AG17"/>
    </row>
    <row r="18" spans="1:34" s="42" customFormat="1">
      <c r="A18" s="43">
        <v>6</v>
      </c>
      <c r="B18" s="43"/>
      <c r="C18" s="157" t="s">
        <v>58</v>
      </c>
      <c r="D18" s="43"/>
      <c r="E18" s="260">
        <f>SUM(E14:E16)</f>
        <v>0</v>
      </c>
      <c r="F18" s="250"/>
      <c r="G18" s="261">
        <f>SUM(G14:G16)</f>
        <v>0</v>
      </c>
      <c r="H18" s="250"/>
      <c r="I18" s="261">
        <f>SUM(I14:I16)</f>
        <v>0</v>
      </c>
      <c r="J18" s="250"/>
      <c r="K18" s="261">
        <f>SUM(K14:K16)</f>
        <v>0</v>
      </c>
      <c r="L18" s="250"/>
      <c r="M18" s="261">
        <f>SUM(M14:M16)</f>
        <v>0</v>
      </c>
      <c r="N18" s="250"/>
      <c r="O18" s="261">
        <f>SUM(O14:O16)</f>
        <v>0</v>
      </c>
      <c r="P18" s="250"/>
      <c r="Q18" s="262">
        <f>SUM(Q14:Q16)</f>
        <v>0</v>
      </c>
      <c r="R18" s="43"/>
      <c r="S18" s="227">
        <f>SUM(S14:S16)</f>
        <v>1048966.73</v>
      </c>
      <c r="T18" s="82"/>
      <c r="U18" s="62">
        <f>SUM(U14:U16)</f>
        <v>1266479.47</v>
      </c>
      <c r="V18" s="82"/>
      <c r="W18" s="62">
        <f>SUM(W14:W16)</f>
        <v>1493390.43</v>
      </c>
      <c r="X18" s="82"/>
      <c r="Y18" s="62">
        <f>SUM(Y14:Y16)</f>
        <v>1684404.96</v>
      </c>
      <c r="Z18" s="82"/>
      <c r="AA18" s="62">
        <f>SUM(AA14:AA16)</f>
        <v>1831515.92</v>
      </c>
      <c r="AB18" s="82"/>
      <c r="AC18" s="62">
        <f>SUM(AC14:AC16)</f>
        <v>2000286.88</v>
      </c>
      <c r="AD18" s="82"/>
      <c r="AE18" s="228">
        <f>SUM(AE14:AE16)</f>
        <v>1332149.1985714287</v>
      </c>
      <c r="AF18" s="43"/>
      <c r="AG18"/>
      <c r="AH18" s="159"/>
    </row>
    <row r="19" spans="1:34" s="42" customFormat="1">
      <c r="A19" s="43"/>
      <c r="B19" s="43"/>
      <c r="D19" s="43"/>
      <c r="E19" s="257"/>
      <c r="F19" s="250"/>
      <c r="G19" s="258"/>
      <c r="H19" s="250"/>
      <c r="I19" s="258"/>
      <c r="J19" s="250"/>
      <c r="K19" s="258"/>
      <c r="L19" s="250"/>
      <c r="M19" s="258"/>
      <c r="N19" s="250"/>
      <c r="O19" s="258"/>
      <c r="P19" s="250"/>
      <c r="Q19" s="259"/>
      <c r="R19" s="43"/>
      <c r="S19" s="225"/>
      <c r="T19" s="82"/>
      <c r="U19" s="21"/>
      <c r="V19" s="82"/>
      <c r="W19" s="21"/>
      <c r="X19" s="82"/>
      <c r="Y19" s="21"/>
      <c r="Z19" s="82"/>
      <c r="AA19" s="21"/>
      <c r="AB19" s="82"/>
      <c r="AC19" s="21"/>
      <c r="AD19" s="82"/>
      <c r="AE19" s="226"/>
      <c r="AF19" s="43"/>
      <c r="AG19"/>
    </row>
    <row r="20" spans="1:34" s="42" customFormat="1">
      <c r="A20" s="43">
        <v>7</v>
      </c>
      <c r="B20" s="43"/>
      <c r="C20" s="42" t="s">
        <v>59</v>
      </c>
      <c r="D20" s="43"/>
      <c r="E20" s="268"/>
      <c r="F20" s="250"/>
      <c r="G20" s="269">
        <v>8.7039841473943429E-3</v>
      </c>
      <c r="H20" s="250"/>
      <c r="I20" s="269">
        <v>8.7039841473943429E-3</v>
      </c>
      <c r="J20" s="250"/>
      <c r="K20" s="269">
        <v>8.7039841473943429E-3</v>
      </c>
      <c r="L20" s="250"/>
      <c r="M20" s="269">
        <v>8.7039841473943429E-3</v>
      </c>
      <c r="N20" s="250"/>
      <c r="O20" s="269">
        <v>8.7039841473943429E-3</v>
      </c>
      <c r="P20" s="250"/>
      <c r="Q20" s="270">
        <v>8.7039841473943429E-3</v>
      </c>
      <c r="R20" s="43"/>
      <c r="S20" s="231">
        <f>$AE$20/6</f>
        <v>8.7039841473943429E-3</v>
      </c>
      <c r="T20" s="82"/>
      <c r="U20" s="49">
        <f>$AE$20/6</f>
        <v>8.7039841473943429E-3</v>
      </c>
      <c r="V20" s="82"/>
      <c r="W20" s="49">
        <f>$AE$20/6</f>
        <v>8.7039841473943429E-3</v>
      </c>
      <c r="X20" s="82"/>
      <c r="Y20" s="49">
        <f>$AE$20/6</f>
        <v>8.7039841473943429E-3</v>
      </c>
      <c r="Z20" s="82"/>
      <c r="AA20" s="49">
        <f>$AE$20/6</f>
        <v>8.7039841473943429E-3</v>
      </c>
      <c r="AB20" s="82"/>
      <c r="AC20" s="49">
        <f>$AE$20/6</f>
        <v>8.7039841473943429E-3</v>
      </c>
      <c r="AD20" s="82"/>
      <c r="AE20" s="232">
        <f>ROR!M14*0.5</f>
        <v>5.2223904884366054E-2</v>
      </c>
      <c r="AF20" s="43"/>
      <c r="AG20"/>
    </row>
    <row r="21" spans="1:34" s="42" customFormat="1">
      <c r="A21" s="43"/>
      <c r="B21" s="43"/>
      <c r="D21" s="43"/>
      <c r="E21" s="271"/>
      <c r="F21" s="250"/>
      <c r="G21" s="258"/>
      <c r="H21" s="250"/>
      <c r="I21" s="258"/>
      <c r="J21" s="250"/>
      <c r="K21" s="258"/>
      <c r="L21" s="250"/>
      <c r="M21" s="258"/>
      <c r="N21" s="250"/>
      <c r="O21" s="258"/>
      <c r="P21" s="250"/>
      <c r="Q21" s="259"/>
      <c r="R21" s="43"/>
      <c r="S21" s="225"/>
      <c r="T21" s="82"/>
      <c r="U21" s="21"/>
      <c r="V21" s="82"/>
      <c r="W21" s="21"/>
      <c r="X21" s="82"/>
      <c r="Y21" s="21"/>
      <c r="Z21" s="82"/>
      <c r="AA21" s="21"/>
      <c r="AB21" s="82"/>
      <c r="AC21" s="21"/>
      <c r="AD21" s="82"/>
      <c r="AE21" s="226"/>
      <c r="AF21" s="43"/>
      <c r="AG21"/>
    </row>
    <row r="22" spans="1:34" s="42" customFormat="1">
      <c r="A22" s="43">
        <v>8</v>
      </c>
      <c r="B22" s="43"/>
      <c r="C22" s="42" t="s">
        <v>60</v>
      </c>
      <c r="D22" s="43"/>
      <c r="E22" s="272">
        <f>E18*E20</f>
        <v>0</v>
      </c>
      <c r="F22" s="250"/>
      <c r="G22" s="273">
        <f>G18*G20</f>
        <v>0</v>
      </c>
      <c r="H22" s="250"/>
      <c r="I22" s="273">
        <f>I18*I20</f>
        <v>0</v>
      </c>
      <c r="J22" s="250"/>
      <c r="K22" s="273">
        <f>K18*K20</f>
        <v>0</v>
      </c>
      <c r="L22" s="250"/>
      <c r="M22" s="273">
        <f>M18*M20</f>
        <v>0</v>
      </c>
      <c r="N22" s="250"/>
      <c r="O22" s="273">
        <f>O18*O20</f>
        <v>0</v>
      </c>
      <c r="P22" s="250"/>
      <c r="Q22" s="274">
        <f>Q18*Q20</f>
        <v>0</v>
      </c>
      <c r="R22" s="43"/>
      <c r="S22" s="233">
        <f>S18*S20</f>
        <v>9130.1897890640812</v>
      </c>
      <c r="T22" s="82"/>
      <c r="U22" s="50">
        <f>U18*U20</f>
        <v>11023.41722988039</v>
      </c>
      <c r="V22" s="82"/>
      <c r="W22" s="50">
        <f>W18*W20</f>
        <v>12998.44662859042</v>
      </c>
      <c r="X22" s="82"/>
      <c r="Y22" s="50">
        <f>Y18*Y20</f>
        <v>14661.034069632402</v>
      </c>
      <c r="Z22" s="82"/>
      <c r="AA22" s="50">
        <f>AA18*AA20</f>
        <v>15941.485533380364</v>
      </c>
      <c r="AB22" s="82"/>
      <c r="AC22" s="50">
        <f>AC18*AC20</f>
        <v>17410.465293760888</v>
      </c>
      <c r="AD22" s="82"/>
      <c r="AE22" s="237">
        <f>AE18*AE20</f>
        <v>69570.033037978763</v>
      </c>
      <c r="AF22" s="43"/>
      <c r="AG22"/>
    </row>
    <row r="23" spans="1:34" s="42" customFormat="1">
      <c r="A23" s="43"/>
      <c r="B23" s="43"/>
      <c r="D23" s="43"/>
      <c r="E23" s="271"/>
      <c r="F23" s="250"/>
      <c r="G23" s="258"/>
      <c r="H23" s="250"/>
      <c r="I23" s="258"/>
      <c r="J23" s="250"/>
      <c r="K23" s="258"/>
      <c r="L23" s="250"/>
      <c r="M23" s="258"/>
      <c r="N23" s="250"/>
      <c r="O23" s="258"/>
      <c r="P23" s="250"/>
      <c r="Q23" s="259"/>
      <c r="R23" s="43"/>
      <c r="S23" s="225"/>
      <c r="T23" s="82"/>
      <c r="U23" s="21"/>
      <c r="V23" s="82"/>
      <c r="W23" s="21"/>
      <c r="X23" s="82"/>
      <c r="Y23" s="21"/>
      <c r="Z23" s="82"/>
      <c r="AA23" s="21"/>
      <c r="AB23" s="82"/>
      <c r="AC23" s="21"/>
      <c r="AD23" s="82"/>
      <c r="AE23" s="226"/>
      <c r="AF23" s="43"/>
      <c r="AG23"/>
    </row>
    <row r="24" spans="1:34" s="42" customFormat="1">
      <c r="A24" s="43"/>
      <c r="B24" s="156" t="s">
        <v>61</v>
      </c>
      <c r="D24" s="43"/>
      <c r="E24" s="257"/>
      <c r="F24" s="250"/>
      <c r="G24" s="258"/>
      <c r="H24" s="250"/>
      <c r="I24" s="258"/>
      <c r="J24" s="250"/>
      <c r="K24" s="258"/>
      <c r="L24" s="250"/>
      <c r="M24" s="258"/>
      <c r="N24" s="250"/>
      <c r="O24" s="258"/>
      <c r="P24" s="250"/>
      <c r="Q24" s="259"/>
      <c r="R24" s="43"/>
      <c r="S24" s="225"/>
      <c r="T24" s="82"/>
      <c r="U24" s="21"/>
      <c r="V24" s="82"/>
      <c r="W24" s="21"/>
      <c r="X24" s="82"/>
      <c r="Y24" s="21"/>
      <c r="Z24" s="82"/>
      <c r="AA24" s="21"/>
      <c r="AB24" s="82"/>
      <c r="AC24" s="21"/>
      <c r="AD24" s="82"/>
      <c r="AE24" s="226"/>
      <c r="AF24" s="43"/>
      <c r="AG24"/>
    </row>
    <row r="25" spans="1:34" s="42" customFormat="1">
      <c r="A25" s="43">
        <v>9</v>
      </c>
      <c r="B25" s="43"/>
      <c r="C25" s="42" t="s">
        <v>0</v>
      </c>
      <c r="D25" s="43"/>
      <c r="E25" s="260">
        <v>0</v>
      </c>
      <c r="F25" s="250"/>
      <c r="G25" s="261"/>
      <c r="H25" s="250"/>
      <c r="I25" s="261"/>
      <c r="J25" s="250"/>
      <c r="K25" s="261"/>
      <c r="L25" s="250"/>
      <c r="M25" s="261"/>
      <c r="N25" s="250"/>
      <c r="O25" s="261"/>
      <c r="P25" s="250"/>
      <c r="Q25" s="262"/>
      <c r="R25" s="43"/>
      <c r="S25" s="227">
        <v>0</v>
      </c>
      <c r="T25" s="82"/>
      <c r="U25" s="62">
        <v>0</v>
      </c>
      <c r="V25" s="82"/>
      <c r="W25" s="62">
        <v>0</v>
      </c>
      <c r="X25" s="82"/>
      <c r="Y25" s="62">
        <v>0</v>
      </c>
      <c r="Z25" s="82"/>
      <c r="AA25" s="62">
        <v>0</v>
      </c>
      <c r="AB25" s="82"/>
      <c r="AC25" s="62">
        <v>0</v>
      </c>
      <c r="AD25" s="82"/>
      <c r="AE25" s="228">
        <f>SUM(G25:AC25)</f>
        <v>0</v>
      </c>
      <c r="AF25" s="43"/>
      <c r="AG25"/>
      <c r="AH25" s="159"/>
    </row>
    <row r="26" spans="1:34" s="42" customFormat="1">
      <c r="A26" s="43">
        <v>10</v>
      </c>
      <c r="B26" s="43"/>
      <c r="C26" s="21" t="s">
        <v>62</v>
      </c>
      <c r="D26" s="82"/>
      <c r="E26" s="260">
        <v>0</v>
      </c>
      <c r="F26" s="250"/>
      <c r="G26" s="261"/>
      <c r="H26" s="250"/>
      <c r="I26" s="261"/>
      <c r="J26" s="250"/>
      <c r="K26" s="261"/>
      <c r="L26" s="250"/>
      <c r="M26" s="261"/>
      <c r="N26" s="250"/>
      <c r="O26" s="261"/>
      <c r="P26" s="250"/>
      <c r="Q26" s="262"/>
      <c r="R26" s="43"/>
      <c r="S26" s="227">
        <v>0</v>
      </c>
      <c r="T26" s="82"/>
      <c r="U26" s="62">
        <v>0</v>
      </c>
      <c r="V26" s="82"/>
      <c r="W26" s="62">
        <v>0</v>
      </c>
      <c r="X26" s="82"/>
      <c r="Y26" s="62">
        <v>0</v>
      </c>
      <c r="Z26" s="82"/>
      <c r="AA26" s="62">
        <v>0</v>
      </c>
      <c r="AB26" s="82"/>
      <c r="AC26" s="62">
        <v>0</v>
      </c>
      <c r="AD26" s="82"/>
      <c r="AE26" s="228">
        <f>SUM(G26:AC26)</f>
        <v>0</v>
      </c>
      <c r="AF26" s="43"/>
      <c r="AG26"/>
      <c r="AH26" s="159"/>
    </row>
    <row r="27" spans="1:34" s="42" customFormat="1">
      <c r="A27" s="43">
        <v>11</v>
      </c>
      <c r="B27" s="43"/>
      <c r="C27" s="42" t="s">
        <v>196</v>
      </c>
      <c r="D27" s="43"/>
      <c r="E27" s="260">
        <v>0</v>
      </c>
      <c r="F27" s="250"/>
      <c r="G27" s="261"/>
      <c r="H27" s="250"/>
      <c r="I27" s="261"/>
      <c r="J27" s="250"/>
      <c r="K27" s="261"/>
      <c r="L27" s="250"/>
      <c r="M27" s="261"/>
      <c r="N27" s="250"/>
      <c r="O27" s="261"/>
      <c r="P27" s="250"/>
      <c r="Q27" s="262"/>
      <c r="R27" s="43"/>
      <c r="S27" s="227">
        <v>0</v>
      </c>
      <c r="T27" s="82"/>
      <c r="U27" s="62">
        <v>0</v>
      </c>
      <c r="V27" s="82"/>
      <c r="W27" s="62">
        <v>0</v>
      </c>
      <c r="X27" s="82"/>
      <c r="Y27" s="62">
        <v>0</v>
      </c>
      <c r="Z27" s="82"/>
      <c r="AA27" s="62">
        <v>0</v>
      </c>
      <c r="AB27" s="82"/>
      <c r="AC27" s="62">
        <v>0</v>
      </c>
      <c r="AD27" s="82"/>
      <c r="AE27" s="228">
        <f>SUM(G27:AC27)</f>
        <v>0</v>
      </c>
      <c r="AF27" s="43"/>
      <c r="AG27"/>
      <c r="AH27" s="159"/>
    </row>
    <row r="28" spans="1:34" s="42" customFormat="1">
      <c r="A28" s="43"/>
      <c r="B28" s="43"/>
      <c r="D28" s="43"/>
      <c r="E28" s="260"/>
      <c r="F28" s="250"/>
      <c r="G28" s="261"/>
      <c r="H28" s="250"/>
      <c r="I28" s="261"/>
      <c r="J28" s="250"/>
      <c r="K28" s="261"/>
      <c r="L28" s="250"/>
      <c r="M28" s="261"/>
      <c r="N28" s="250"/>
      <c r="O28" s="261"/>
      <c r="P28" s="250"/>
      <c r="Q28" s="262"/>
      <c r="R28" s="43"/>
      <c r="S28" s="227"/>
      <c r="T28" s="82"/>
      <c r="U28" s="62"/>
      <c r="V28" s="82"/>
      <c r="W28" s="62"/>
      <c r="X28" s="82"/>
      <c r="Y28" s="62"/>
      <c r="Z28" s="82"/>
      <c r="AA28" s="62"/>
      <c r="AB28" s="82"/>
      <c r="AC28" s="62"/>
      <c r="AD28" s="82"/>
      <c r="AE28" s="228"/>
      <c r="AF28" s="43"/>
      <c r="AG28"/>
    </row>
    <row r="29" spans="1:34" s="42" customFormat="1">
      <c r="A29" s="43">
        <v>12</v>
      </c>
      <c r="B29" s="43"/>
      <c r="C29" s="42" t="s">
        <v>63</v>
      </c>
      <c r="D29" s="43"/>
      <c r="E29" s="260">
        <f>SUM(E25:E28)</f>
        <v>0</v>
      </c>
      <c r="F29" s="250"/>
      <c r="G29" s="261">
        <f>SUM(G25:G28)</f>
        <v>0</v>
      </c>
      <c r="H29" s="250"/>
      <c r="I29" s="261">
        <f>SUM(I25:I28)</f>
        <v>0</v>
      </c>
      <c r="J29" s="250"/>
      <c r="K29" s="261">
        <f>SUM(K25:K28)</f>
        <v>0</v>
      </c>
      <c r="L29" s="250"/>
      <c r="M29" s="261">
        <f>SUM(M25:M28)</f>
        <v>0</v>
      </c>
      <c r="N29" s="250"/>
      <c r="O29" s="261">
        <f>SUM(O25:O28)</f>
        <v>0</v>
      </c>
      <c r="P29" s="250"/>
      <c r="Q29" s="262">
        <f>SUM(Q25:Q28)</f>
        <v>0</v>
      </c>
      <c r="R29" s="43"/>
      <c r="S29" s="227">
        <f>SUM(S25:S28)</f>
        <v>0</v>
      </c>
      <c r="T29" s="82"/>
      <c r="U29" s="62">
        <f>SUM(U25:U28)</f>
        <v>0</v>
      </c>
      <c r="V29" s="82"/>
      <c r="W29" s="62">
        <f>SUM(W25:W28)</f>
        <v>0</v>
      </c>
      <c r="X29" s="82"/>
      <c r="Y29" s="62">
        <f>SUM(Y25:Y28)</f>
        <v>0</v>
      </c>
      <c r="Z29" s="82"/>
      <c r="AA29" s="62">
        <f>SUM(AA25:AA28)</f>
        <v>0</v>
      </c>
      <c r="AB29" s="82"/>
      <c r="AC29" s="62">
        <f>SUM(AC25:AC28)</f>
        <v>0</v>
      </c>
      <c r="AD29" s="82"/>
      <c r="AE29" s="228">
        <f>SUM(AE25:AE28)</f>
        <v>0</v>
      </c>
      <c r="AF29" s="43"/>
      <c r="AG29"/>
    </row>
    <row r="30" spans="1:34" s="42" customFormat="1">
      <c r="A30" s="43"/>
      <c r="B30" s="43"/>
      <c r="D30" s="43"/>
      <c r="E30" s="257"/>
      <c r="F30" s="250"/>
      <c r="G30" s="258"/>
      <c r="H30" s="250"/>
      <c r="I30" s="258"/>
      <c r="J30" s="250"/>
      <c r="K30" s="258"/>
      <c r="L30" s="250"/>
      <c r="M30" s="258"/>
      <c r="N30" s="250"/>
      <c r="O30" s="258"/>
      <c r="P30" s="250"/>
      <c r="Q30" s="259"/>
      <c r="R30" s="43"/>
      <c r="S30" s="225"/>
      <c r="T30" s="82"/>
      <c r="U30" s="21"/>
      <c r="V30" s="82"/>
      <c r="W30" s="21"/>
      <c r="X30" s="82"/>
      <c r="Y30" s="21"/>
      <c r="Z30" s="82"/>
      <c r="AA30" s="21"/>
      <c r="AB30" s="82"/>
      <c r="AC30" s="21"/>
      <c r="AD30" s="82"/>
      <c r="AE30" s="226"/>
      <c r="AF30" s="43"/>
      <c r="AG30"/>
    </row>
    <row r="31" spans="1:34" s="42" customFormat="1">
      <c r="A31" s="43">
        <v>13</v>
      </c>
      <c r="B31" s="156" t="s">
        <v>180</v>
      </c>
      <c r="D31" s="43"/>
      <c r="E31" s="275">
        <f>E22+E29</f>
        <v>0</v>
      </c>
      <c r="F31" s="265"/>
      <c r="G31" s="276">
        <f>G22+G29</f>
        <v>0</v>
      </c>
      <c r="H31" s="265"/>
      <c r="I31" s="276">
        <f>I22+I29</f>
        <v>0</v>
      </c>
      <c r="J31" s="265"/>
      <c r="K31" s="276">
        <f>K22+K29</f>
        <v>0</v>
      </c>
      <c r="L31" s="265"/>
      <c r="M31" s="276">
        <f>M22+M29</f>
        <v>0</v>
      </c>
      <c r="N31" s="265"/>
      <c r="O31" s="276">
        <f>O22+O29</f>
        <v>0</v>
      </c>
      <c r="P31" s="265"/>
      <c r="Q31" s="277">
        <f>Q22+Q29</f>
        <v>0</v>
      </c>
      <c r="R31" s="43"/>
      <c r="S31" s="234">
        <f>S22+S29</f>
        <v>9130.1897890640812</v>
      </c>
      <c r="T31" s="83"/>
      <c r="U31" s="235">
        <f>U22+U29</f>
        <v>11023.41722988039</v>
      </c>
      <c r="V31" s="83"/>
      <c r="W31" s="235">
        <f>W22+W29</f>
        <v>12998.44662859042</v>
      </c>
      <c r="X31" s="83"/>
      <c r="Y31" s="235">
        <f>Y22+Y29</f>
        <v>14661.034069632402</v>
      </c>
      <c r="Z31" s="83"/>
      <c r="AA31" s="235">
        <f>AA22+AA29</f>
        <v>15941.485533380364</v>
      </c>
      <c r="AB31" s="83"/>
      <c r="AC31" s="235">
        <f>AC22+AC29</f>
        <v>17410.465293760888</v>
      </c>
      <c r="AD31" s="83"/>
      <c r="AE31" s="236">
        <f>AE22+AE29</f>
        <v>69570.033037978763</v>
      </c>
      <c r="AF31" s="43"/>
      <c r="AG31"/>
    </row>
    <row r="32" spans="1:34" s="42" customFormat="1">
      <c r="A32" s="43"/>
      <c r="B32" s="43"/>
      <c r="D32" s="43"/>
      <c r="E32" s="159"/>
      <c r="F32" s="43"/>
      <c r="H32" s="43"/>
      <c r="J32" s="43"/>
      <c r="L32" s="43"/>
      <c r="N32" s="43"/>
      <c r="P32" s="43"/>
      <c r="R32" s="43"/>
      <c r="T32" s="43"/>
      <c r="V32" s="43"/>
      <c r="X32" s="43"/>
      <c r="Z32" s="43"/>
      <c r="AB32" s="43"/>
      <c r="AC32" s="159"/>
      <c r="AD32" s="43"/>
      <c r="AF32" s="43"/>
      <c r="AG32"/>
    </row>
    <row r="33" spans="1:33" customFormat="1" ht="12.75"/>
    <row r="34" spans="1:33" s="42" customFormat="1">
      <c r="D34" s="43"/>
      <c r="E34" s="47"/>
      <c r="F34" s="43"/>
      <c r="G34" s="160"/>
      <c r="H34" s="43"/>
      <c r="I34" s="160"/>
      <c r="J34" s="43"/>
      <c r="K34" s="160"/>
      <c r="L34" s="43"/>
      <c r="M34" s="160"/>
      <c r="N34" s="43"/>
      <c r="O34" s="160"/>
      <c r="P34" s="43"/>
      <c r="Q34" s="160"/>
      <c r="R34" s="43"/>
      <c r="S34" s="160"/>
      <c r="T34" s="43"/>
      <c r="U34" s="160"/>
      <c r="V34" s="43"/>
      <c r="W34" s="160"/>
      <c r="X34" s="43"/>
      <c r="Y34" s="160"/>
      <c r="Z34" s="43"/>
      <c r="AA34" s="160"/>
      <c r="AB34" s="43"/>
      <c r="AC34" s="47"/>
      <c r="AD34" s="43"/>
      <c r="AE34" s="47"/>
      <c r="AF34" s="43"/>
      <c r="AG34"/>
    </row>
    <row r="35" spans="1:33" s="42" customFormat="1">
      <c r="A35" s="158"/>
      <c r="B35" s="41"/>
      <c r="D35" s="43"/>
      <c r="F35" s="43"/>
      <c r="H35" s="43"/>
      <c r="J35" s="43"/>
      <c r="L35" s="43"/>
      <c r="N35" s="43"/>
      <c r="P35" s="43"/>
      <c r="R35" s="43"/>
      <c r="T35" s="43"/>
      <c r="V35" s="43"/>
      <c r="X35" s="43"/>
      <c r="Z35" s="43"/>
      <c r="AB35" s="43"/>
      <c r="AD35" s="43"/>
      <c r="AE35" s="159"/>
      <c r="AF35" s="43"/>
      <c r="AG35"/>
    </row>
    <row r="36" spans="1:33" customFormat="1" ht="12.75"/>
    <row r="37" spans="1:33" customFormat="1" ht="12.75"/>
    <row r="38" spans="1:33" customFormat="1" ht="12.75"/>
    <row r="39" spans="1:33" customFormat="1" ht="12.75"/>
    <row r="40" spans="1:33" customFormat="1" ht="12.75"/>
    <row r="41" spans="1:33" customFormat="1" ht="12.75"/>
    <row r="42" spans="1:33" customFormat="1" ht="12.75"/>
    <row r="43" spans="1:33" customFormat="1" ht="12.75"/>
    <row r="44" spans="1:33" customFormat="1" ht="12.75"/>
    <row r="45" spans="1:33" customFormat="1" ht="12.75"/>
    <row r="46" spans="1:33" customFormat="1" ht="12.75"/>
    <row r="47" spans="1:33" customFormat="1" ht="12.75"/>
    <row r="48" spans="1:33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048576" spans="34:34">
      <c r="AH1048576" s="159">
        <f>SUM(E1048576:AC1048576)</f>
        <v>0</v>
      </c>
    </row>
  </sheetData>
  <mergeCells count="6">
    <mergeCell ref="A1:AF1"/>
    <mergeCell ref="A3:AF3"/>
    <mergeCell ref="AR5:AY5"/>
    <mergeCell ref="S5:AE5"/>
    <mergeCell ref="E5:Q5"/>
    <mergeCell ref="A2:AE2"/>
  </mergeCells>
  <pageMargins left="0.7" right="0.7" top="0.75" bottom="0.75" header="0.3" footer="0.3"/>
  <pageSetup scale="30" orientation="landscape" r:id="rId1"/>
  <headerFooter scaleWithDoc="0">
    <oddFooter>&amp;R&amp;"Arial,Bold"Exhibit CMG-5
Page 3 of 12</oddFooter>
  </headerFooter>
  <rowBreaks count="1" manualBreakCount="1">
    <brk id="31" max="16383" man="1"/>
  </rowBreaks>
  <colBreaks count="1" manualBreakCount="1">
    <brk id="3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zoomScaleNormal="100" workbookViewId="0">
      <selection sqref="A1:M1"/>
    </sheetView>
  </sheetViews>
  <sheetFormatPr defaultRowHeight="12.75"/>
  <cols>
    <col min="1" max="1" width="5.140625" style="52" customWidth="1"/>
    <col min="2" max="2" width="2.85546875" style="52" customWidth="1"/>
    <col min="3" max="3" width="23" style="39" customWidth="1"/>
    <col min="4" max="4" width="1.28515625" style="52" customWidth="1"/>
    <col min="5" max="5" width="12.7109375" style="39" customWidth="1"/>
    <col min="6" max="6" width="1.28515625" style="52" customWidth="1"/>
    <col min="7" max="7" width="9.85546875" style="39" customWidth="1"/>
    <col min="8" max="8" width="1.28515625" style="52" customWidth="1"/>
    <col min="9" max="9" width="12.140625" style="39" customWidth="1"/>
    <col min="10" max="10" width="1.28515625" style="52" customWidth="1"/>
    <col min="11" max="11" width="14.140625" style="39" customWidth="1"/>
    <col min="12" max="12" width="1.28515625" style="52" customWidth="1"/>
    <col min="13" max="13" width="14.140625" style="39" customWidth="1"/>
    <col min="14" max="14" width="1.28515625" style="52" customWidth="1"/>
    <col min="15" max="15" width="13.85546875" style="39" customWidth="1"/>
    <col min="16" max="16" width="1.28515625" style="52" customWidth="1"/>
    <col min="17" max="17" width="13.28515625" style="39" customWidth="1"/>
    <col min="18" max="18" width="1.28515625" style="52" customWidth="1"/>
    <col min="19" max="19" width="15.85546875" style="39" customWidth="1"/>
    <col min="20" max="20" width="13.42578125" style="39" customWidth="1"/>
    <col min="21" max="23" width="9.140625" style="39" customWidth="1"/>
    <col min="24" max="16384" width="9.140625" style="39"/>
  </cols>
  <sheetData>
    <row r="1" spans="1:31" ht="18.75">
      <c r="A1" s="313" t="s">
        <v>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55"/>
      <c r="O1" s="55"/>
      <c r="P1" s="55"/>
      <c r="Q1" s="55"/>
      <c r="R1" s="55"/>
      <c r="S1" s="55"/>
    </row>
    <row r="2" spans="1:31" ht="20.25">
      <c r="A2" s="313" t="s">
        <v>306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53"/>
      <c r="O2" s="53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ht="18.75">
      <c r="A3" s="313" t="s">
        <v>76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55"/>
      <c r="O3" s="55"/>
      <c r="P3" s="55"/>
      <c r="Q3" s="55"/>
      <c r="R3" s="55"/>
      <c r="S3" s="55"/>
    </row>
    <row r="4" spans="1:31" ht="15.75">
      <c r="A4" s="84"/>
      <c r="B4" s="84"/>
      <c r="C4" s="35"/>
      <c r="D4" s="84"/>
      <c r="E4" s="35"/>
      <c r="F4" s="84"/>
      <c r="G4" s="35"/>
      <c r="H4" s="84"/>
      <c r="I4" s="35"/>
      <c r="J4" s="84"/>
      <c r="K4" s="35"/>
      <c r="L4" s="84"/>
      <c r="M4" s="35"/>
    </row>
    <row r="5" spans="1:31" ht="15.75">
      <c r="A5" s="84"/>
      <c r="B5" s="84"/>
      <c r="C5" s="35"/>
      <c r="D5" s="84"/>
      <c r="E5" s="35"/>
      <c r="F5" s="84"/>
      <c r="G5" s="35"/>
      <c r="H5" s="84"/>
      <c r="I5" s="35"/>
      <c r="J5" s="84"/>
      <c r="K5" s="35"/>
      <c r="L5" s="84"/>
      <c r="M5" s="58" t="s">
        <v>59</v>
      </c>
    </row>
    <row r="6" spans="1:31" ht="15.75">
      <c r="A6" s="58" t="s">
        <v>4</v>
      </c>
      <c r="B6" s="84"/>
      <c r="C6" s="35"/>
      <c r="D6" s="84"/>
      <c r="E6" s="35"/>
      <c r="F6" s="84"/>
      <c r="G6" s="35"/>
      <c r="H6" s="84"/>
      <c r="I6" s="58" t="s">
        <v>48</v>
      </c>
      <c r="J6" s="84"/>
      <c r="K6" s="58" t="s">
        <v>49</v>
      </c>
      <c r="L6" s="84"/>
      <c r="M6" s="142" t="s">
        <v>85</v>
      </c>
    </row>
    <row r="7" spans="1:31" ht="15.75">
      <c r="A7" s="143" t="s">
        <v>5</v>
      </c>
      <c r="B7" s="84"/>
      <c r="C7" s="143" t="s">
        <v>46</v>
      </c>
      <c r="D7" s="84"/>
      <c r="E7" s="143" t="s">
        <v>47</v>
      </c>
      <c r="F7" s="84"/>
      <c r="G7" s="143" t="s">
        <v>36</v>
      </c>
      <c r="H7" s="84"/>
      <c r="I7" s="143" t="s">
        <v>36</v>
      </c>
      <c r="J7" s="84"/>
      <c r="K7" s="143" t="s">
        <v>42</v>
      </c>
      <c r="L7" s="84"/>
      <c r="M7" s="143" t="s">
        <v>86</v>
      </c>
    </row>
    <row r="8" spans="1:31" ht="15.75">
      <c r="A8" s="58"/>
      <c r="B8" s="84"/>
      <c r="C8" s="144">
        <v>-1</v>
      </c>
      <c r="D8" s="84"/>
      <c r="E8" s="144">
        <v>-2</v>
      </c>
      <c r="F8" s="84"/>
      <c r="G8" s="144">
        <v>-3</v>
      </c>
      <c r="H8" s="84"/>
      <c r="I8" s="144">
        <v>-4</v>
      </c>
      <c r="J8" s="84"/>
      <c r="K8" s="144">
        <v>-5</v>
      </c>
      <c r="L8" s="84"/>
      <c r="M8" s="144">
        <v>-6</v>
      </c>
    </row>
    <row r="9" spans="1:31" ht="15.75">
      <c r="A9" s="84"/>
      <c r="B9" s="84"/>
      <c r="C9" s="35"/>
      <c r="D9" s="84"/>
      <c r="E9" s="35"/>
      <c r="F9" s="84"/>
      <c r="G9" s="35"/>
      <c r="H9" s="84"/>
      <c r="I9" s="35"/>
      <c r="J9" s="84"/>
      <c r="K9" s="35"/>
      <c r="L9" s="84"/>
      <c r="M9" s="35"/>
      <c r="T9" s="145"/>
    </row>
    <row r="10" spans="1:31" ht="15.75">
      <c r="A10" s="84">
        <v>1</v>
      </c>
      <c r="B10" s="84"/>
      <c r="C10" s="35" t="s">
        <v>50</v>
      </c>
      <c r="D10" s="84"/>
      <c r="E10" s="146">
        <v>4.4749512178149597E-2</v>
      </c>
      <c r="F10" s="84"/>
      <c r="G10" s="147">
        <v>8.9999999999999993E-3</v>
      </c>
      <c r="H10" s="84"/>
      <c r="I10" s="147">
        <f>E10*G10</f>
        <v>4.0274560960334635E-4</v>
      </c>
      <c r="J10" s="84"/>
      <c r="K10" s="146"/>
      <c r="L10" s="84"/>
      <c r="M10" s="146">
        <f>I10</f>
        <v>4.0274560960334635E-4</v>
      </c>
      <c r="T10" s="3"/>
      <c r="U10" s="4"/>
      <c r="V10" s="5"/>
    </row>
    <row r="11" spans="1:31" ht="15.75">
      <c r="A11" s="84">
        <v>2</v>
      </c>
      <c r="B11" s="84"/>
      <c r="C11" s="148" t="s">
        <v>52</v>
      </c>
      <c r="D11" s="84"/>
      <c r="E11" s="146">
        <v>0.4277315530898681</v>
      </c>
      <c r="F11" s="84"/>
      <c r="G11" s="147">
        <v>4.1399999999999999E-2</v>
      </c>
      <c r="H11" s="84"/>
      <c r="I11" s="147">
        <f>E11*G11</f>
        <v>1.770808629792054E-2</v>
      </c>
      <c r="J11" s="84"/>
      <c r="K11" s="146"/>
      <c r="L11" s="84"/>
      <c r="M11" s="146">
        <f>I11</f>
        <v>1.770808629792054E-2</v>
      </c>
      <c r="T11" s="3"/>
      <c r="U11" s="4"/>
      <c r="V11" s="5"/>
    </row>
    <row r="12" spans="1:31" ht="15.75">
      <c r="A12" s="84">
        <v>3</v>
      </c>
      <c r="B12" s="84"/>
      <c r="C12" s="35" t="s">
        <v>51</v>
      </c>
      <c r="D12" s="84"/>
      <c r="E12" s="149">
        <v>0.52751893473198219</v>
      </c>
      <c r="F12" s="84"/>
      <c r="G12" s="147">
        <v>0.1</v>
      </c>
      <c r="H12" s="84"/>
      <c r="I12" s="150">
        <f>E12*G12</f>
        <v>5.2751893473198225E-2</v>
      </c>
      <c r="J12" s="84"/>
      <c r="K12" s="149">
        <f>I12*(0.389/(1-0.389))</f>
        <v>3.358508438801E-2</v>
      </c>
      <c r="L12" s="84"/>
      <c r="M12" s="149">
        <f>I12/(1-0.389)</f>
        <v>8.6336977861208225E-2</v>
      </c>
      <c r="T12" s="3"/>
      <c r="U12" s="4"/>
      <c r="V12" s="5"/>
    </row>
    <row r="13" spans="1:31" ht="15.75">
      <c r="A13" s="84"/>
      <c r="B13" s="84"/>
      <c r="C13" s="35"/>
      <c r="D13" s="84"/>
      <c r="E13" s="35"/>
      <c r="F13" s="84"/>
      <c r="G13" s="35"/>
      <c r="H13" s="84"/>
      <c r="I13" s="35"/>
      <c r="J13" s="84"/>
      <c r="K13" s="35"/>
      <c r="L13" s="84"/>
      <c r="M13" s="35"/>
      <c r="T13" s="3"/>
      <c r="U13" s="4"/>
      <c r="V13" s="5"/>
    </row>
    <row r="14" spans="1:31" ht="15.75">
      <c r="A14" s="84">
        <v>4</v>
      </c>
      <c r="B14" s="84"/>
      <c r="C14" s="35" t="s">
        <v>3</v>
      </c>
      <c r="D14" s="84"/>
      <c r="E14" s="146">
        <f>SUM(E10:E13)</f>
        <v>0.99999999999999989</v>
      </c>
      <c r="F14" s="84"/>
      <c r="G14" s="35"/>
      <c r="H14" s="84"/>
      <c r="I14" s="146">
        <f>SUM(I10:I13)</f>
        <v>7.0862725380722108E-2</v>
      </c>
      <c r="J14" s="84"/>
      <c r="K14" s="146">
        <f>SUM(K10:K13)</f>
        <v>3.358508438801E-2</v>
      </c>
      <c r="L14" s="84"/>
      <c r="M14" s="146">
        <f>SUM(M10:M13)</f>
        <v>0.10444780976873211</v>
      </c>
      <c r="T14" s="6"/>
      <c r="U14" s="4"/>
      <c r="V14" s="4"/>
    </row>
    <row r="15" spans="1:31" ht="15.75">
      <c r="A15" s="84"/>
      <c r="B15" s="84"/>
      <c r="C15" s="35"/>
      <c r="D15" s="84"/>
      <c r="E15" s="146"/>
      <c r="F15" s="84"/>
      <c r="G15" s="35"/>
      <c r="H15" s="84"/>
      <c r="I15" s="146"/>
      <c r="J15" s="84"/>
      <c r="K15" s="146"/>
      <c r="L15" s="84"/>
      <c r="M15" s="146"/>
      <c r="T15" s="6"/>
      <c r="U15" s="4"/>
      <c r="V15" s="4"/>
    </row>
    <row r="16" spans="1:31" ht="15.75">
      <c r="A16" s="84"/>
      <c r="B16" s="84"/>
      <c r="C16" s="35"/>
      <c r="D16" s="84"/>
      <c r="E16" s="35"/>
      <c r="F16" s="84"/>
      <c r="G16" s="35"/>
      <c r="H16" s="84"/>
      <c r="I16" s="35"/>
      <c r="J16" s="84"/>
      <c r="K16" s="35"/>
      <c r="L16" s="84"/>
      <c r="M16" s="35"/>
    </row>
    <row r="17" spans="1:13" ht="15.75">
      <c r="A17" s="84" t="s">
        <v>179</v>
      </c>
      <c r="B17" s="84"/>
      <c r="C17" s="35" t="s">
        <v>211</v>
      </c>
      <c r="D17" s="84"/>
      <c r="E17" s="35"/>
      <c r="F17" s="84"/>
      <c r="G17" s="35"/>
      <c r="H17" s="84"/>
      <c r="I17" s="35"/>
      <c r="J17" s="84"/>
      <c r="K17" s="35"/>
      <c r="L17" s="84"/>
      <c r="M17" s="35"/>
    </row>
    <row r="18" spans="1:13" ht="15.75">
      <c r="D18" s="84"/>
      <c r="E18" s="35"/>
      <c r="F18" s="84"/>
      <c r="G18" s="35"/>
      <c r="H18" s="84"/>
      <c r="I18" s="35"/>
      <c r="J18" s="84"/>
      <c r="K18" s="35"/>
      <c r="L18" s="84"/>
      <c r="M18" s="35"/>
    </row>
    <row r="19" spans="1:13" ht="15.75">
      <c r="A19" s="84"/>
      <c r="B19" s="84"/>
      <c r="C19" s="35"/>
      <c r="D19" s="84"/>
      <c r="E19" s="35"/>
      <c r="F19" s="84"/>
      <c r="G19" s="35"/>
      <c r="H19" s="84"/>
      <c r="I19" s="35"/>
      <c r="J19" s="84"/>
      <c r="K19" s="35"/>
      <c r="L19" s="84"/>
      <c r="M19" s="35"/>
    </row>
    <row r="20" spans="1:13" ht="15.75">
      <c r="A20" s="84"/>
      <c r="B20" s="84"/>
      <c r="C20" s="35"/>
      <c r="D20" s="84"/>
      <c r="E20" s="35"/>
      <c r="F20" s="84"/>
      <c r="G20" s="35"/>
      <c r="H20" s="84"/>
      <c r="I20" s="35"/>
      <c r="J20" s="84"/>
      <c r="K20" s="35"/>
      <c r="L20" s="84"/>
      <c r="M20" s="35"/>
    </row>
    <row r="21" spans="1:13">
      <c r="G21" s="40"/>
    </row>
  </sheetData>
  <mergeCells count="3">
    <mergeCell ref="A1:M1"/>
    <mergeCell ref="A2:M2"/>
    <mergeCell ref="A3:M3"/>
  </mergeCells>
  <hyperlinks>
    <hyperlink ref="K7" r:id="rId1" display="^@ 38.9%"/>
    <hyperlink ref="M7" r:id="rId2" display="^@ 38.9%"/>
  </hyperlinks>
  <printOptions horizontalCentered="1"/>
  <pageMargins left="0.5" right="0.62187499999999996" top="1" bottom="0.75" header="0.3" footer="0.3"/>
  <pageSetup orientation="landscape" r:id="rId3"/>
  <headerFooter>
    <oddFooter>&amp;R&amp;"Times New Roman,Bold"&amp;12Exhibit CMG-5
Page 4 of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/>
  </sheetViews>
  <sheetFormatPr defaultRowHeight="15.75"/>
  <cols>
    <col min="1" max="1" width="9.140625" style="39"/>
    <col min="2" max="2" width="35" style="35" bestFit="1" customWidth="1"/>
    <col min="3" max="3" width="15.7109375" style="35" customWidth="1"/>
    <col min="4" max="4" width="18" style="35" bestFit="1" customWidth="1"/>
    <col min="5" max="5" width="18.42578125" style="35" bestFit="1" customWidth="1"/>
    <col min="6" max="6" width="17.140625" style="35" customWidth="1"/>
    <col min="7" max="8" width="16.85546875" style="35" bestFit="1" customWidth="1"/>
    <col min="9" max="9" width="17" style="35" bestFit="1" customWidth="1"/>
    <col min="10" max="10" width="12.28515625" style="39" bestFit="1" customWidth="1"/>
    <col min="11" max="11" width="16.140625" style="39" bestFit="1" customWidth="1"/>
    <col min="12" max="24" width="14.7109375" style="39" customWidth="1"/>
    <col min="25" max="25" width="9.140625" style="39"/>
    <col min="26" max="26" width="10.5703125" style="39" bestFit="1" customWidth="1"/>
    <col min="27" max="16384" width="9.140625" style="39"/>
  </cols>
  <sheetData>
    <row r="1" spans="1:24" ht="18.75">
      <c r="B1" s="313" t="s">
        <v>75</v>
      </c>
      <c r="C1" s="313"/>
      <c r="D1" s="313"/>
      <c r="E1" s="313"/>
      <c r="F1" s="313"/>
      <c r="G1" s="313"/>
      <c r="H1" s="313"/>
      <c r="I1" s="31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  <c r="X1" s="54"/>
    </row>
    <row r="2" spans="1:24" ht="18.75">
      <c r="A2" s="313" t="s">
        <v>306</v>
      </c>
      <c r="B2" s="313"/>
      <c r="C2" s="313"/>
      <c r="D2" s="313"/>
      <c r="E2" s="313"/>
      <c r="F2" s="313"/>
      <c r="G2" s="313"/>
      <c r="H2" s="313"/>
      <c r="I2" s="31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</row>
    <row r="3" spans="1:24" ht="18.75">
      <c r="B3" s="313" t="s">
        <v>175</v>
      </c>
      <c r="C3" s="313"/>
      <c r="D3" s="313"/>
      <c r="E3" s="313"/>
      <c r="F3" s="313"/>
      <c r="G3" s="313"/>
      <c r="H3" s="313"/>
      <c r="I3" s="31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</row>
    <row r="4" spans="1:24">
      <c r="K4" s="54"/>
      <c r="L4" s="54"/>
      <c r="M4" s="54"/>
      <c r="N4" s="54"/>
      <c r="O4" s="54"/>
      <c r="P4" s="54"/>
      <c r="R4" s="54"/>
      <c r="S4" s="54"/>
      <c r="T4" s="54"/>
      <c r="U4" s="54"/>
      <c r="V4" s="54"/>
      <c r="W4" s="54"/>
      <c r="X4" s="54"/>
    </row>
    <row r="5" spans="1:24">
      <c r="K5" s="54"/>
      <c r="L5" s="54"/>
      <c r="M5" s="54"/>
      <c r="N5" s="54"/>
      <c r="O5" s="54"/>
      <c r="P5" s="54"/>
      <c r="R5" s="54"/>
      <c r="S5" s="54"/>
      <c r="T5" s="54"/>
      <c r="U5" s="54"/>
      <c r="V5" s="54"/>
      <c r="W5" s="54"/>
      <c r="X5" s="54"/>
    </row>
    <row r="6" spans="1:24" s="40" customFormat="1">
      <c r="A6" s="58" t="s">
        <v>4</v>
      </c>
      <c r="B6" s="57"/>
      <c r="C6" s="57"/>
      <c r="D6" s="57"/>
      <c r="E6" s="57"/>
      <c r="F6" s="57"/>
      <c r="G6" s="57"/>
      <c r="H6" s="57"/>
      <c r="I6" s="58" t="s">
        <v>77</v>
      </c>
      <c r="K6" s="39"/>
      <c r="L6" s="39"/>
      <c r="M6" s="39"/>
      <c r="N6" s="39"/>
      <c r="O6" s="39"/>
      <c r="P6" s="39"/>
      <c r="Q6" s="39"/>
    </row>
    <row r="7" spans="1:24" ht="16.5" thickBot="1">
      <c r="A7" s="59" t="s">
        <v>5</v>
      </c>
      <c r="B7" s="59" t="s">
        <v>6</v>
      </c>
      <c r="C7" s="59" t="s">
        <v>97</v>
      </c>
      <c r="D7" s="59" t="s">
        <v>98</v>
      </c>
      <c r="E7" s="59" t="s">
        <v>99</v>
      </c>
      <c r="F7" s="59" t="s">
        <v>100</v>
      </c>
      <c r="G7" s="59" t="s">
        <v>101</v>
      </c>
      <c r="H7" s="59" t="s">
        <v>102</v>
      </c>
      <c r="I7" s="59" t="s">
        <v>288</v>
      </c>
    </row>
    <row r="8" spans="1:24">
      <c r="A8" s="81" t="s">
        <v>230</v>
      </c>
      <c r="B8" s="81" t="s">
        <v>231</v>
      </c>
      <c r="C8" s="81" t="s">
        <v>238</v>
      </c>
      <c r="D8" s="81" t="s">
        <v>239</v>
      </c>
      <c r="E8" s="81" t="s">
        <v>240</v>
      </c>
      <c r="F8" s="81" t="s">
        <v>241</v>
      </c>
      <c r="G8" s="81" t="s">
        <v>242</v>
      </c>
      <c r="H8" s="81" t="s">
        <v>243</v>
      </c>
      <c r="I8" s="81" t="s">
        <v>244</v>
      </c>
    </row>
    <row r="9" spans="1:24">
      <c r="B9" s="60"/>
      <c r="C9" s="60"/>
      <c r="D9" s="60"/>
      <c r="E9" s="60"/>
      <c r="F9" s="60"/>
      <c r="G9" s="60"/>
      <c r="H9" s="60"/>
      <c r="I9" s="60"/>
    </row>
    <row r="10" spans="1:24">
      <c r="A10" s="52">
        <v>1</v>
      </c>
      <c r="B10" s="35" t="s">
        <v>298</v>
      </c>
      <c r="C10" s="278">
        <f>'Capital Budget 2017'!K8+'Capital Budget 2017'!K10+'Capital Budget 2017'!K11+'Capital Budget 2017'!K14</f>
        <v>1522731.4700000002</v>
      </c>
      <c r="D10" s="278">
        <f>'Capital Budget 2017'!L8+'Capital Budget 2017'!L10+'Capital Budget 2017'!L11+'Capital Budget 2017'!L14</f>
        <v>1551030.29</v>
      </c>
      <c r="E10" s="278">
        <f>'Capital Budget 2017'!M8+'Capital Budget 2017'!M10+'Capital Budget 2017'!M11+'Capital Budget 2017'!M14</f>
        <v>1372552</v>
      </c>
      <c r="F10" s="278">
        <f>'Capital Budget 2017'!N8+'Capital Budget 2017'!N10+'Capital Budget 2017'!N11+'Capital Budget 2017'!N14</f>
        <v>1143969.48</v>
      </c>
      <c r="G10" s="278">
        <f>'Capital Budget 2017'!O8+'Capital Budget 2017'!O10+'Capital Budget 2017'!O11+'Capital Budget 2017'!O14</f>
        <v>982437.45000000007</v>
      </c>
      <c r="H10" s="278">
        <f>'Capital Budget 2017'!P8+'Capital Budget 2017'!P10+'Capital Budget 2017'!P11+'Capital Budget 2017'!P14</f>
        <v>907979.32000000007</v>
      </c>
      <c r="I10" s="278">
        <f>SUM(C10:H10)</f>
        <v>7480700.0100000007</v>
      </c>
      <c r="J10" s="61"/>
    </row>
    <row r="11" spans="1:24">
      <c r="A11" s="52">
        <f>A10+1</f>
        <v>2</v>
      </c>
      <c r="B11" s="35" t="s">
        <v>299</v>
      </c>
      <c r="C11" s="278">
        <f>SUM('Capital Budget 2017'!E18:J18,'Capital Budget 2017'!K18)</f>
        <v>1048966.73</v>
      </c>
      <c r="D11" s="278">
        <f>'Capital Budget 2017'!L18</f>
        <v>217512.74</v>
      </c>
      <c r="E11" s="278">
        <f>'Capital Budget 2017'!M18</f>
        <v>226910.96</v>
      </c>
      <c r="F11" s="278">
        <f>'Capital Budget 2017'!N18</f>
        <v>191014.53</v>
      </c>
      <c r="G11" s="278">
        <f>'Capital Budget 2017'!O18</f>
        <v>147110.96</v>
      </c>
      <c r="H11" s="278">
        <f>'Capital Budget 2017'!P18</f>
        <v>168770.96</v>
      </c>
      <c r="I11" s="278">
        <f>SUM(C11:H11)</f>
        <v>2000286.88</v>
      </c>
      <c r="J11" s="61"/>
    </row>
    <row r="12" spans="1:24">
      <c r="A12" s="52">
        <f>A11+1</f>
        <v>3</v>
      </c>
      <c r="B12" s="35" t="s">
        <v>88</v>
      </c>
      <c r="C12" s="278">
        <f>SUM('Capital Budget 2017'!K$12:K$13)</f>
        <v>161143.96000000002</v>
      </c>
      <c r="D12" s="278">
        <f>SUM('Capital Budget 2017'!L$12:L$13)</f>
        <v>196373.9</v>
      </c>
      <c r="E12" s="278">
        <f>SUM('Capital Budget 2017'!M$12:M$13)</f>
        <v>175932.78</v>
      </c>
      <c r="F12" s="278">
        <f>SUM('Capital Budget 2017'!N$12:N$13)</f>
        <v>181166.53</v>
      </c>
      <c r="G12" s="278">
        <f>SUM('Capital Budget 2017'!O$12:O$13)</f>
        <v>173112.47</v>
      </c>
      <c r="H12" s="278">
        <f>SUM('Capital Budget 2017'!P$12:P$13)</f>
        <v>146258.91</v>
      </c>
      <c r="I12" s="278">
        <f>SUM(C12:H12)</f>
        <v>1033988.55</v>
      </c>
      <c r="J12" s="61"/>
    </row>
    <row r="13" spans="1:24">
      <c r="A13" s="52">
        <f>A12+1</f>
        <v>4</v>
      </c>
      <c r="B13" s="35" t="s">
        <v>89</v>
      </c>
      <c r="C13" s="278">
        <f>'Capital Budget 2017'!K$9</f>
        <v>2185828.1800000002</v>
      </c>
      <c r="D13" s="278">
        <f>'Capital Budget 2017'!L$9</f>
        <v>2398315.15</v>
      </c>
      <c r="E13" s="278">
        <f>'Capital Budget 2017'!M$9</f>
        <v>2204702.96</v>
      </c>
      <c r="F13" s="278">
        <f>'Capital Budget 2017'!N$9</f>
        <v>2400243.48</v>
      </c>
      <c r="G13" s="278">
        <f>'Capital Budget 2017'!O$9</f>
        <v>2221422.0099999998</v>
      </c>
      <c r="H13" s="278">
        <f>'Capital Budget 2017'!P$9</f>
        <v>1859739.66</v>
      </c>
      <c r="I13" s="278">
        <f>SUM(C13:H13)</f>
        <v>13270251.439999999</v>
      </c>
      <c r="J13" s="61"/>
    </row>
    <row r="14" spans="1:24">
      <c r="A14" s="52">
        <f>A13+1</f>
        <v>5</v>
      </c>
      <c r="B14" s="35" t="s">
        <v>176</v>
      </c>
      <c r="C14" s="279">
        <f>SUM('Capital Budget 2017'!K$3:K$7)</f>
        <v>493451.51999999996</v>
      </c>
      <c r="D14" s="279">
        <f>SUM('Capital Budget 2017'!L$3:L$7)</f>
        <v>592619.37</v>
      </c>
      <c r="E14" s="279">
        <f>SUM('Capital Budget 2017'!M$3:M$7)</f>
        <v>524855.63</v>
      </c>
      <c r="F14" s="279">
        <f>SUM('Capital Budget 2017'!N$3:N$7)</f>
        <v>543667.11</v>
      </c>
      <c r="G14" s="279">
        <f>SUM('Capital Budget 2017'!O$3:O$7)</f>
        <v>521380.14999999997</v>
      </c>
      <c r="H14" s="279">
        <f>SUM('Capital Budget 2017'!P$3:P$7)</f>
        <v>476052.85999999993</v>
      </c>
      <c r="I14" s="279">
        <f>SUM(C14:H14)</f>
        <v>3152026.6399999997</v>
      </c>
      <c r="J14" s="166"/>
    </row>
    <row r="15" spans="1:24">
      <c r="A15" s="52">
        <f>A14+1</f>
        <v>6</v>
      </c>
      <c r="B15" s="35" t="s">
        <v>90</v>
      </c>
      <c r="C15" s="44">
        <f t="shared" ref="C15:I15" si="0">SUM(C10:C14)</f>
        <v>5412121.8599999994</v>
      </c>
      <c r="D15" s="44">
        <f t="shared" si="0"/>
        <v>4955851.45</v>
      </c>
      <c r="E15" s="44">
        <f t="shared" si="0"/>
        <v>4504954.33</v>
      </c>
      <c r="F15" s="44">
        <f t="shared" si="0"/>
        <v>4460061.13</v>
      </c>
      <c r="G15" s="44">
        <f t="shared" si="0"/>
        <v>4045463.0399999996</v>
      </c>
      <c r="H15" s="44">
        <f t="shared" si="0"/>
        <v>3558801.7099999995</v>
      </c>
      <c r="I15" s="44">
        <f t="shared" si="0"/>
        <v>26937253.520000003</v>
      </c>
      <c r="J15" s="61"/>
    </row>
    <row r="16" spans="1:24">
      <c r="C16" s="44"/>
      <c r="D16" s="44"/>
      <c r="E16" s="44"/>
      <c r="F16" s="44"/>
      <c r="G16" s="44"/>
      <c r="H16" s="44"/>
      <c r="I16" s="44"/>
      <c r="J16" s="61"/>
    </row>
    <row r="17" spans="1:10">
      <c r="A17" s="52">
        <f>A15+1</f>
        <v>7</v>
      </c>
      <c r="B17" s="35" t="s">
        <v>300</v>
      </c>
      <c r="C17" s="44"/>
      <c r="D17" s="44"/>
      <c r="E17" s="44"/>
      <c r="F17" s="44"/>
      <c r="G17" s="44"/>
      <c r="H17" s="44"/>
      <c r="I17" s="44">
        <f>SUM(C17:H17)</f>
        <v>0</v>
      </c>
      <c r="J17" s="61"/>
    </row>
    <row r="18" spans="1:10">
      <c r="A18" s="52">
        <f>A17+1</f>
        <v>8</v>
      </c>
      <c r="B18" s="35" t="s">
        <v>80</v>
      </c>
      <c r="C18" s="46"/>
      <c r="D18" s="46"/>
      <c r="E18" s="46"/>
      <c r="F18" s="46"/>
      <c r="G18" s="46"/>
      <c r="H18" s="46"/>
      <c r="I18" s="46">
        <f>SUM(C18:H18)</f>
        <v>0</v>
      </c>
      <c r="J18" s="61"/>
    </row>
    <row r="19" spans="1:10">
      <c r="A19" s="52">
        <f>A18+1</f>
        <v>9</v>
      </c>
      <c r="B19" s="35" t="s">
        <v>81</v>
      </c>
      <c r="C19" s="45"/>
      <c r="D19" s="45"/>
      <c r="E19" s="45"/>
      <c r="F19" s="45"/>
      <c r="G19" s="45"/>
      <c r="H19" s="45"/>
      <c r="I19" s="45">
        <f>SUM(C19:H19)</f>
        <v>0</v>
      </c>
      <c r="J19" s="61"/>
    </row>
    <row r="20" spans="1:10">
      <c r="A20" s="52">
        <f>A19+1</f>
        <v>10</v>
      </c>
      <c r="B20" s="35" t="s">
        <v>198</v>
      </c>
      <c r="C20" s="46">
        <f t="shared" ref="C20:I20" si="1">SUM(C17:C19)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61"/>
    </row>
    <row r="21" spans="1:10">
      <c r="A21" s="52"/>
      <c r="C21" s="46"/>
      <c r="D21" s="46"/>
      <c r="E21" s="46"/>
      <c r="F21" s="46"/>
      <c r="G21" s="46"/>
      <c r="H21" s="46"/>
      <c r="I21" s="46"/>
      <c r="J21" s="61"/>
    </row>
    <row r="22" spans="1:10">
      <c r="A22" s="52">
        <f>A20+1</f>
        <v>11</v>
      </c>
      <c r="B22" s="35" t="s">
        <v>197</v>
      </c>
      <c r="C22" s="44">
        <v>0</v>
      </c>
      <c r="D22" s="44">
        <v>0</v>
      </c>
      <c r="E22" s="44">
        <v>0</v>
      </c>
      <c r="F22" s="44">
        <v>0</v>
      </c>
      <c r="G22" s="44">
        <f>-G32</f>
        <v>0</v>
      </c>
      <c r="H22" s="44">
        <v>0</v>
      </c>
      <c r="I22" s="44">
        <f>SUM(C22:H22)</f>
        <v>0</v>
      </c>
      <c r="J22" s="61"/>
    </row>
    <row r="23" spans="1:10">
      <c r="A23" s="52"/>
      <c r="C23" s="44"/>
      <c r="D23" s="44"/>
      <c r="E23" s="44"/>
      <c r="F23" s="44"/>
      <c r="G23" s="44"/>
      <c r="H23" s="44"/>
      <c r="I23" s="44"/>
      <c r="J23" s="61"/>
    </row>
    <row r="24" spans="1:10" ht="16.5" customHeight="1">
      <c r="A24" s="52">
        <f>A22+1</f>
        <v>12</v>
      </c>
      <c r="B24" s="35" t="s">
        <v>301</v>
      </c>
      <c r="C24" s="44">
        <f>SUM('Capital Budget 2017'!K$21:K$23)+'Capital Budget 2017'!K$26</f>
        <v>70680</v>
      </c>
      <c r="D24" s="44">
        <f>SUM('Capital Budget 2017'!L$21:L$23)+'Capital Budget 2017'!L$26</f>
        <v>76380</v>
      </c>
      <c r="E24" s="44">
        <f>SUM('Capital Budget 2017'!M$21:M$23)+'Capital Budget 2017'!M$26</f>
        <v>79800</v>
      </c>
      <c r="F24" s="44">
        <f>SUM('Capital Budget 2017'!N$21:N$23)+'Capital Budget 2017'!N$26</f>
        <v>70680</v>
      </c>
      <c r="G24" s="44">
        <f>SUM('Capital Budget 2017'!O$21:O$23)+'Capital Budget 2017'!O$26</f>
        <v>76380</v>
      </c>
      <c r="H24" s="44">
        <f>SUM('Capital Budget 2017'!P$21:P$23)+'Capital Budget 2017'!P$26</f>
        <v>79800</v>
      </c>
      <c r="I24" s="44">
        <f>SUM(C24:H24)</f>
        <v>453720</v>
      </c>
      <c r="J24" s="61"/>
    </row>
    <row r="25" spans="1:10">
      <c r="A25" s="52">
        <f>A24+1</f>
        <v>13</v>
      </c>
      <c r="B25" s="35" t="s">
        <v>91</v>
      </c>
      <c r="C25" s="44">
        <f>SUM('Capital Budget 2017'!K$24:K$25)</f>
        <v>28195.65</v>
      </c>
      <c r="D25" s="44">
        <f>SUM('Capital Budget 2017'!L$24:L$25)</f>
        <v>33454.080000000002</v>
      </c>
      <c r="E25" s="44">
        <f>SUM('Capital Budget 2017'!M$24:M$25)</f>
        <v>29623.45</v>
      </c>
      <c r="F25" s="44">
        <f>SUM('Capital Budget 2017'!N$24:N$25)</f>
        <v>34518.44</v>
      </c>
      <c r="G25" s="44">
        <f>SUM('Capital Budget 2017'!O$24:O$25)</f>
        <v>28899.46</v>
      </c>
      <c r="H25" s="44">
        <f>SUM('Capital Budget 2017'!P$24:P$25)</f>
        <v>27551.32</v>
      </c>
      <c r="I25" s="44">
        <f>SUM(C25:H25)</f>
        <v>182242.40000000002</v>
      </c>
      <c r="J25" s="61"/>
    </row>
    <row r="26" spans="1:10">
      <c r="A26" s="52">
        <f>A25+1</f>
        <v>14</v>
      </c>
      <c r="B26" s="35" t="s">
        <v>92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f>SUM(C26:H26)</f>
        <v>0</v>
      </c>
      <c r="J26" s="166"/>
    </row>
    <row r="27" spans="1:10">
      <c r="A27" s="52">
        <f>A26+1</f>
        <v>15</v>
      </c>
      <c r="B27" s="35" t="s">
        <v>93</v>
      </c>
      <c r="C27" s="44">
        <f t="shared" ref="C27:I27" si="2">SUM(C24:C26)</f>
        <v>98875.65</v>
      </c>
      <c r="D27" s="44">
        <f t="shared" si="2"/>
        <v>109834.08</v>
      </c>
      <c r="E27" s="44">
        <f t="shared" si="2"/>
        <v>109423.45</v>
      </c>
      <c r="F27" s="44">
        <f t="shared" si="2"/>
        <v>105198.44</v>
      </c>
      <c r="G27" s="44">
        <f t="shared" si="2"/>
        <v>105279.45999999999</v>
      </c>
      <c r="H27" s="44">
        <f t="shared" si="2"/>
        <v>107351.32</v>
      </c>
      <c r="I27" s="44">
        <f t="shared" si="2"/>
        <v>635962.4</v>
      </c>
      <c r="J27" s="61"/>
    </row>
    <row r="28" spans="1:10">
      <c r="A28" s="52"/>
      <c r="C28" s="44"/>
      <c r="D28" s="44"/>
      <c r="E28" s="44"/>
      <c r="F28" s="44"/>
      <c r="G28" s="44"/>
      <c r="H28" s="44"/>
      <c r="I28" s="44"/>
      <c r="J28" s="61"/>
    </row>
    <row r="29" spans="1:10">
      <c r="A29" s="52">
        <f>A27+1</f>
        <v>16</v>
      </c>
      <c r="B29" s="35" t="s">
        <v>62</v>
      </c>
      <c r="C29" s="44">
        <f>'COS Budget 2017'!N33-'COS Budget 2017'!N32</f>
        <v>102067.34</v>
      </c>
      <c r="D29" s="44">
        <f>'COS Budget 2017'!O33-'COS Budget 2017'!O32</f>
        <v>136533.25999999992</v>
      </c>
      <c r="E29" s="44">
        <f>'COS Budget 2017'!P33-'COS Budget 2017'!P32</f>
        <v>129354.00000000003</v>
      </c>
      <c r="F29" s="44">
        <f>'COS Budget 2017'!Q33-'COS Budget 2017'!Q32</f>
        <v>148435.16999999995</v>
      </c>
      <c r="G29" s="44">
        <f>'COS Budget 2017'!R33-'COS Budget 2017'!R32</f>
        <v>116794.94999999998</v>
      </c>
      <c r="H29" s="44">
        <f>'COS Budget 2017'!S33-'COS Budget 2017'!S32</f>
        <v>115895.67000000001</v>
      </c>
      <c r="I29" s="44">
        <f>SUM(C29:H29)</f>
        <v>749080.3899999999</v>
      </c>
      <c r="J29" s="61"/>
    </row>
    <row r="30" spans="1:10">
      <c r="A30" s="52">
        <f>A29+1</f>
        <v>17</v>
      </c>
      <c r="B30" s="35" t="s">
        <v>194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f>SUM(C30:H30)</f>
        <v>0</v>
      </c>
      <c r="J30" s="61"/>
    </row>
    <row r="32" spans="1:10">
      <c r="F32" s="79"/>
      <c r="G32" s="44"/>
    </row>
    <row r="34" spans="2:8">
      <c r="G34" s="39"/>
      <c r="H34" s="39"/>
    </row>
    <row r="35" spans="2:8">
      <c r="B35" s="39"/>
      <c r="C35" s="39"/>
      <c r="D35" s="39"/>
      <c r="E35" s="39"/>
      <c r="F35" s="39"/>
      <c r="G35" s="39"/>
      <c r="H35" s="39"/>
    </row>
    <row r="36" spans="2:8">
      <c r="B36" s="39"/>
      <c r="C36" s="39"/>
      <c r="D36" s="39"/>
      <c r="E36" s="39"/>
      <c r="F36" s="39"/>
      <c r="G36" s="39"/>
      <c r="H36" s="39"/>
    </row>
    <row r="37" spans="2:8">
      <c r="B37" s="39"/>
      <c r="C37" s="39"/>
      <c r="D37" s="39"/>
      <c r="E37" s="39"/>
      <c r="F37" s="39"/>
      <c r="G37" s="39"/>
      <c r="H37" s="39"/>
    </row>
    <row r="38" spans="2:8">
      <c r="B38" s="39"/>
      <c r="C38" s="39"/>
      <c r="D38" s="39"/>
      <c r="E38" s="39"/>
      <c r="F38" s="39"/>
      <c r="G38" s="39"/>
      <c r="H38" s="39"/>
    </row>
    <row r="39" spans="2:8">
      <c r="B39" s="39"/>
      <c r="C39" s="39"/>
      <c r="D39" s="39"/>
      <c r="E39" s="39"/>
      <c r="F39" s="39"/>
      <c r="G39" s="39"/>
      <c r="H39" s="39"/>
    </row>
    <row r="40" spans="2:8">
      <c r="B40" s="39"/>
      <c r="C40" s="39"/>
      <c r="D40" s="39"/>
      <c r="E40" s="39"/>
      <c r="F40" s="39"/>
      <c r="G40" s="39"/>
      <c r="H40" s="39"/>
    </row>
    <row r="41" spans="2:8">
      <c r="B41" s="39"/>
      <c r="C41" s="39"/>
      <c r="D41" s="39"/>
      <c r="E41" s="39"/>
      <c r="F41" s="39"/>
      <c r="G41" s="39"/>
      <c r="H41" s="39"/>
    </row>
    <row r="42" spans="2:8">
      <c r="B42" s="39"/>
      <c r="C42" s="39"/>
      <c r="D42" s="39"/>
      <c r="E42" s="39"/>
      <c r="F42" s="39"/>
      <c r="G42" s="39"/>
      <c r="H42" s="39"/>
    </row>
    <row r="43" spans="2:8">
      <c r="B43" s="39"/>
      <c r="C43" s="39"/>
      <c r="D43" s="39"/>
      <c r="E43" s="39"/>
      <c r="F43" s="39"/>
      <c r="G43" s="39"/>
      <c r="H43" s="39"/>
    </row>
    <row r="44" spans="2:8">
      <c r="B44" s="39"/>
      <c r="C44" s="39"/>
      <c r="D44" s="39"/>
      <c r="E44" s="39"/>
      <c r="F44" s="39"/>
      <c r="G44" s="39"/>
      <c r="H44" s="39"/>
    </row>
    <row r="45" spans="2:8">
      <c r="B45" s="39"/>
      <c r="C45" s="39"/>
      <c r="D45" s="39"/>
      <c r="E45" s="39"/>
      <c r="F45" s="39"/>
      <c r="G45" s="39"/>
      <c r="H45" s="39"/>
    </row>
    <row r="46" spans="2:8">
      <c r="B46" s="39"/>
      <c r="C46" s="39"/>
      <c r="D46" s="39"/>
      <c r="E46" s="39"/>
      <c r="F46" s="39"/>
      <c r="G46" s="39"/>
      <c r="H46" s="39"/>
    </row>
    <row r="47" spans="2:8">
      <c r="B47" s="39"/>
      <c r="C47" s="39"/>
      <c r="D47" s="39"/>
      <c r="E47" s="39"/>
      <c r="F47" s="39"/>
      <c r="G47" s="39"/>
      <c r="H47" s="39"/>
    </row>
    <row r="48" spans="2:8">
      <c r="B48" s="39"/>
      <c r="C48" s="39"/>
      <c r="D48" s="39"/>
      <c r="E48" s="39"/>
      <c r="F48" s="39"/>
      <c r="G48" s="39"/>
      <c r="H48" s="39"/>
    </row>
  </sheetData>
  <mergeCells count="3">
    <mergeCell ref="B1:I1"/>
    <mergeCell ref="B3:I3"/>
    <mergeCell ref="A2:I2"/>
  </mergeCells>
  <pageMargins left="0.7" right="0.7" top="0.75" bottom="0.75" header="0.3" footer="0.3"/>
  <pageSetup scale="76" orientation="landscape" r:id="rId1"/>
  <headerFooter>
    <oddFooter>&amp;R&amp;"Times New Roman,Bold"&amp;12Exhibit CMG-5
Page 5 of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110</v>
      </c>
      <c r="G6" s="20"/>
      <c r="H6" s="20"/>
      <c r="I6" s="20"/>
      <c r="J6" s="20" t="s">
        <v>110</v>
      </c>
      <c r="K6" s="20"/>
      <c r="L6" s="20" t="s">
        <v>110</v>
      </c>
      <c r="M6" s="20"/>
      <c r="N6" s="20"/>
      <c r="O6" s="20"/>
      <c r="P6" s="20"/>
      <c r="Q6" s="20"/>
      <c r="R6" s="20" t="s">
        <v>110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/>
      <c r="H13" s="1">
        <f>1.99%/12</f>
        <v>1.6583333333333335E-3</v>
      </c>
      <c r="J13" s="9">
        <f>F13*H13</f>
        <v>0</v>
      </c>
      <c r="L13" s="9">
        <f>'Cap&amp;OpEx 2017'!C10</f>
        <v>1522731.4700000002</v>
      </c>
      <c r="N13" s="9">
        <f>H13*L13*0.5</f>
        <v>1262.5981772083337</v>
      </c>
      <c r="P13" s="16">
        <f>J13+N13</f>
        <v>1262.5981772083337</v>
      </c>
      <c r="R13" s="16">
        <f>L13+F13</f>
        <v>1522731.4700000002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/>
      <c r="H14" s="1">
        <f>3.28%/12</f>
        <v>2.7333333333333328E-3</v>
      </c>
      <c r="J14" s="9">
        <f>F14*H14</f>
        <v>0</v>
      </c>
      <c r="L14" s="9">
        <f>'Cap&amp;OpEx 2017'!C12</f>
        <v>161143.96000000002</v>
      </c>
      <c r="N14" s="9">
        <f>H14*L14*0.5</f>
        <v>220.23007866666666</v>
      </c>
      <c r="P14" s="16">
        <f>J14+N14</f>
        <v>220.23007866666666</v>
      </c>
      <c r="R14" s="16">
        <f>L14+F14</f>
        <v>161143.96000000002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/>
      <c r="H15" s="1">
        <f t="shared" ref="H15:H16" si="0">3.28%/12</f>
        <v>2.7333333333333328E-3</v>
      </c>
      <c r="J15" s="9">
        <f>F15*H15</f>
        <v>0</v>
      </c>
      <c r="L15" s="9">
        <f>'Cap&amp;OpEx 2017'!C13</f>
        <v>2185828.1800000002</v>
      </c>
      <c r="N15" s="9">
        <f>H15*L15*0.5</f>
        <v>2987.2985126666663</v>
      </c>
      <c r="P15" s="16">
        <f>J15+N15</f>
        <v>2987.2985126666663</v>
      </c>
      <c r="R15" s="16">
        <f>L15+F15</f>
        <v>2185828.1800000002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/>
      <c r="H16" s="1">
        <f t="shared" si="0"/>
        <v>2.7333333333333328E-3</v>
      </c>
      <c r="J16" s="9">
        <f>F16*H16</f>
        <v>0</v>
      </c>
      <c r="L16" s="9">
        <f>'Cap&amp;OpEx 2017'!C14</f>
        <v>493451.51999999996</v>
      </c>
      <c r="N16" s="9">
        <f>H16*L16*0.5</f>
        <v>674.38374399999987</v>
      </c>
      <c r="P16" s="16">
        <f>J16+N16</f>
        <v>674.38374399999987</v>
      </c>
      <c r="R16" s="16">
        <f>L16+F16</f>
        <v>493451.51999999996</v>
      </c>
    </row>
    <row r="17" spans="1:18">
      <c r="A17" s="11">
        <f>A16+1</f>
        <v>5</v>
      </c>
      <c r="B17" s="8"/>
      <c r="C17" s="8" t="s">
        <v>22</v>
      </c>
      <c r="F17" s="17">
        <f>SUM(F13:F16)</f>
        <v>0</v>
      </c>
      <c r="J17" s="17">
        <f>SUM(J13:J16)</f>
        <v>0</v>
      </c>
      <c r="L17" s="17">
        <f>SUM(L13:L16)</f>
        <v>4363155.13</v>
      </c>
      <c r="N17" s="17">
        <f>SUM(N13:N16)</f>
        <v>5144.5105125416667</v>
      </c>
      <c r="P17" s="17">
        <f>SUM(P13:P16)</f>
        <v>5144.5105125416667</v>
      </c>
      <c r="R17" s="17">
        <f>SUM(R13:R16)</f>
        <v>4363155.13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/>
      <c r="H20" s="1">
        <f>1.99%/12</f>
        <v>1.6583333333333335E-3</v>
      </c>
      <c r="J20" s="9">
        <f>F20*H20</f>
        <v>0</v>
      </c>
      <c r="L20" s="9">
        <f>'Cap&amp;OpEx 2017'!C17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/>
      <c r="H21" s="1">
        <f>3.28%/12</f>
        <v>2.7333333333333328E-3</v>
      </c>
      <c r="J21" s="9">
        <f>F21*H21</f>
        <v>0</v>
      </c>
      <c r="L21" s="9">
        <f>'Cap&amp;OpEx 2017'!C18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/>
      <c r="H22" s="1">
        <f t="shared" ref="H22" si="1">3.28%/12</f>
        <v>2.7333333333333328E-3</v>
      </c>
      <c r="J22" s="9">
        <f>F22*H22</f>
        <v>0</v>
      </c>
      <c r="L22" s="9">
        <f>'Cap&amp;OpEx 2017'!C19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0</v>
      </c>
      <c r="J25" s="19">
        <f>J17+J23</f>
        <v>0</v>
      </c>
      <c r="L25" s="19">
        <f>L17+L23</f>
        <v>4363155.13</v>
      </c>
      <c r="N25" s="19">
        <f>N17+N23</f>
        <v>5144.5105125416667</v>
      </c>
      <c r="P25" s="19">
        <f>P17+P23</f>
        <v>5144.5105125416667</v>
      </c>
      <c r="R25" s="19">
        <f>R17+R23</f>
        <v>4363155.13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/>
      <c r="L28" s="9">
        <f>'Cap&amp;OpEx 2017'!C24</f>
        <v>70680</v>
      </c>
      <c r="R28" s="16">
        <f>L28+F28</f>
        <v>70680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/>
      <c r="L29" s="9">
        <f>'Cap&amp;OpEx 2017'!C25</f>
        <v>28195.65</v>
      </c>
      <c r="R29" s="16">
        <f>L29+F29</f>
        <v>28195.65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/>
      <c r="L30" s="9">
        <f>'Cap&amp;OpEx 2017'!C26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0</v>
      </c>
      <c r="J31" s="17">
        <f>SUM(J28:J30)</f>
        <v>0</v>
      </c>
      <c r="L31" s="17">
        <f>SUM(L28:L30)</f>
        <v>98875.65</v>
      </c>
      <c r="N31" s="17">
        <f>SUM(N28:N30)</f>
        <v>0</v>
      </c>
      <c r="P31" s="17">
        <f>SUM(P28:P30)</f>
        <v>0</v>
      </c>
      <c r="R31" s="17">
        <f>SUM(R28:R30)</f>
        <v>98875.65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6 of 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248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111</v>
      </c>
      <c r="G6" s="20"/>
      <c r="H6" s="20"/>
      <c r="I6" s="20"/>
      <c r="J6" s="20" t="s">
        <v>111</v>
      </c>
      <c r="K6" s="20"/>
      <c r="L6" s="20" t="s">
        <v>111</v>
      </c>
      <c r="M6" s="20"/>
      <c r="N6" s="20"/>
      <c r="O6" s="20"/>
      <c r="P6" s="20"/>
      <c r="Q6" s="20"/>
      <c r="R6" s="20" t="s">
        <v>111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>
        <f>'201707 Bk Depr'!R13</f>
        <v>1522731.4700000002</v>
      </c>
      <c r="H13" s="1">
        <f>1.99%/12</f>
        <v>1.6583333333333335E-3</v>
      </c>
      <c r="J13" s="9">
        <f>F13*H13</f>
        <v>2525.1963544166674</v>
      </c>
      <c r="L13" s="9">
        <f>'Cap&amp;OpEx 2017'!D10</f>
        <v>1551030.29</v>
      </c>
      <c r="N13" s="9">
        <f>H13*L13*0.5</f>
        <v>1286.0626154583335</v>
      </c>
      <c r="P13" s="16">
        <f>J13+N13</f>
        <v>3811.2589698750007</v>
      </c>
      <c r="R13" s="16">
        <f>L13+F13</f>
        <v>3073761.7600000002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>
        <f>'201707 Bk Depr'!R14</f>
        <v>161143.96000000002</v>
      </c>
      <c r="H14" s="1">
        <f>3.28%/12</f>
        <v>2.7333333333333328E-3</v>
      </c>
      <c r="J14" s="9">
        <f>F14*H14</f>
        <v>440.46015733333331</v>
      </c>
      <c r="L14" s="9">
        <f>'Cap&amp;OpEx 2017'!D12</f>
        <v>196373.9</v>
      </c>
      <c r="N14" s="9">
        <f>H14*L14*0.5</f>
        <v>268.37766333333326</v>
      </c>
      <c r="P14" s="16">
        <f>J14+N14</f>
        <v>708.83782066666663</v>
      </c>
      <c r="R14" s="16">
        <f>L14+F14</f>
        <v>357517.86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>
        <f>'201707 Bk Depr'!R15</f>
        <v>2185828.1800000002</v>
      </c>
      <c r="H15" s="1">
        <f t="shared" ref="H15:H16" si="0">3.28%/12</f>
        <v>2.7333333333333328E-3</v>
      </c>
      <c r="J15" s="9">
        <f>F15*H15</f>
        <v>5974.5970253333326</v>
      </c>
      <c r="L15" s="9">
        <f>'Cap&amp;OpEx 2017'!D13</f>
        <v>2398315.15</v>
      </c>
      <c r="N15" s="9">
        <f>H15*L15*0.5</f>
        <v>3277.6973716666657</v>
      </c>
      <c r="P15" s="16">
        <f>J15+N15</f>
        <v>9252.2943969999978</v>
      </c>
      <c r="R15" s="16">
        <f>L15+F15</f>
        <v>4584143.33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>
        <f>'201707 Bk Depr'!R16</f>
        <v>493451.51999999996</v>
      </c>
      <c r="H16" s="1">
        <f t="shared" si="0"/>
        <v>2.7333333333333328E-3</v>
      </c>
      <c r="J16" s="9">
        <f>F16*H16</f>
        <v>1348.7674879999997</v>
      </c>
      <c r="L16" s="9">
        <f>'Cap&amp;OpEx 2017'!D14</f>
        <v>592619.37</v>
      </c>
      <c r="N16" s="9">
        <f>H16*L16*0.5</f>
        <v>809.91313899999989</v>
      </c>
      <c r="P16" s="16">
        <f>J16+N16</f>
        <v>2158.6806269999997</v>
      </c>
      <c r="R16" s="16">
        <f>L16+F16</f>
        <v>1086070.8899999999</v>
      </c>
    </row>
    <row r="17" spans="1:18">
      <c r="A17" s="11">
        <f>A16+1</f>
        <v>5</v>
      </c>
      <c r="B17" s="8"/>
      <c r="C17" s="8" t="s">
        <v>22</v>
      </c>
      <c r="F17" s="17">
        <f>SUM(F13:F16)</f>
        <v>4363155.13</v>
      </c>
      <c r="J17" s="17">
        <f>SUM(J13:J16)</f>
        <v>10289.021025083333</v>
      </c>
      <c r="L17" s="17">
        <f>SUM(L13:L16)</f>
        <v>4738338.71</v>
      </c>
      <c r="N17" s="17">
        <f>SUM(N13:N16)</f>
        <v>5642.0507894583325</v>
      </c>
      <c r="P17" s="17">
        <f>SUM(P13:P16)</f>
        <v>15931.071814541665</v>
      </c>
      <c r="R17" s="17">
        <f>SUM(R13:R16)</f>
        <v>9101493.8399999999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>
        <f>'201707 Bk Depr'!R20</f>
        <v>0</v>
      </c>
      <c r="H20" s="1">
        <f>1.99%/12</f>
        <v>1.6583333333333335E-3</v>
      </c>
      <c r="J20" s="9">
        <f>F20*H20</f>
        <v>0</v>
      </c>
      <c r="L20" s="9">
        <f>'Cap&amp;OpEx 2017'!D17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>
        <f>'201707 Bk Depr'!R21</f>
        <v>0</v>
      </c>
      <c r="H21" s="1">
        <f>3.28%/12</f>
        <v>2.7333333333333328E-3</v>
      </c>
      <c r="J21" s="9">
        <f>F21*H21</f>
        <v>0</v>
      </c>
      <c r="L21" s="9">
        <f>'Cap&amp;OpEx 2017'!D18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>
        <f>'201707 Bk Depr'!R22</f>
        <v>0</v>
      </c>
      <c r="H22" s="1">
        <f t="shared" ref="H22" si="1">3.28%/12</f>
        <v>2.7333333333333328E-3</v>
      </c>
      <c r="J22" s="9">
        <f>F22*H22</f>
        <v>0</v>
      </c>
      <c r="L22" s="9">
        <f>'Cap&amp;OpEx 2017'!D19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4363155.13</v>
      </c>
      <c r="J25" s="19">
        <f>J17+J23</f>
        <v>10289.021025083333</v>
      </c>
      <c r="L25" s="19">
        <f>L17+L23</f>
        <v>4738338.71</v>
      </c>
      <c r="N25" s="19">
        <f>N17+N23</f>
        <v>5642.0507894583325</v>
      </c>
      <c r="P25" s="19">
        <f>P17+P23</f>
        <v>15931.071814541665</v>
      </c>
      <c r="R25" s="19">
        <f>R17+R23</f>
        <v>9101493.8399999999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>
        <f>'201707 Bk Depr'!R28</f>
        <v>70680</v>
      </c>
      <c r="L28" s="9">
        <f>'Cap&amp;OpEx 2017'!D24</f>
        <v>76380</v>
      </c>
      <c r="R28" s="16">
        <f>L28+F28</f>
        <v>147060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>
        <f>'201707 Bk Depr'!R29</f>
        <v>28195.65</v>
      </c>
      <c r="L29" s="9">
        <f>'Cap&amp;OpEx 2017'!D25</f>
        <v>33454.080000000002</v>
      </c>
      <c r="R29" s="16">
        <f>L29+F29</f>
        <v>61649.73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>
        <f>'201707 Bk Depr'!R30</f>
        <v>0</v>
      </c>
      <c r="L30" s="9">
        <f>'Cap&amp;OpEx 2017'!D26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98875.65</v>
      </c>
      <c r="J31" s="17">
        <f>SUM(J28:J30)</f>
        <v>0</v>
      </c>
      <c r="L31" s="17">
        <f>SUM(L28:L30)</f>
        <v>109834.08</v>
      </c>
      <c r="N31" s="17">
        <f>SUM(N28:N30)</f>
        <v>0</v>
      </c>
      <c r="P31" s="17">
        <f>SUM(P28:P30)</f>
        <v>0</v>
      </c>
      <c r="R31" s="17">
        <f>SUM(R28:R30)</f>
        <v>208709.73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7 of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249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112</v>
      </c>
      <c r="G6" s="20"/>
      <c r="H6" s="20"/>
      <c r="I6" s="20"/>
      <c r="J6" s="20" t="s">
        <v>112</v>
      </c>
      <c r="K6" s="20"/>
      <c r="L6" s="20" t="s">
        <v>112</v>
      </c>
      <c r="M6" s="20"/>
      <c r="N6" s="20"/>
      <c r="O6" s="20"/>
      <c r="P6" s="20"/>
      <c r="Q6" s="20"/>
      <c r="R6" s="20" t="s">
        <v>112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>
        <f>'201708 Bk Depr'!R13</f>
        <v>3073761.7600000002</v>
      </c>
      <c r="H13" s="1">
        <f>1.99%/12</f>
        <v>1.6583333333333335E-3</v>
      </c>
      <c r="J13" s="9">
        <f>F13*H13</f>
        <v>5097.321585333334</v>
      </c>
      <c r="L13" s="9">
        <f>'Cap&amp;OpEx 2017'!E10</f>
        <v>1372552</v>
      </c>
      <c r="N13" s="9">
        <f>H13*L13*0.5</f>
        <v>1138.0743666666667</v>
      </c>
      <c r="P13" s="16">
        <f>J13+N13</f>
        <v>6235.3959520000008</v>
      </c>
      <c r="R13" s="16">
        <f>L13+F13</f>
        <v>4446313.76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>
        <f>'201708 Bk Depr'!R14</f>
        <v>357517.86</v>
      </c>
      <c r="H14" s="1">
        <f>3.28%/12</f>
        <v>2.7333333333333328E-3</v>
      </c>
      <c r="J14" s="9">
        <f>F14*H14</f>
        <v>977.21548399999983</v>
      </c>
      <c r="L14" s="9">
        <f>'Cap&amp;OpEx 2017'!E12</f>
        <v>175932.78</v>
      </c>
      <c r="N14" s="9">
        <f>H14*L14*0.5</f>
        <v>240.44146599999996</v>
      </c>
      <c r="P14" s="16">
        <f>J14+N14</f>
        <v>1217.6569499999998</v>
      </c>
      <c r="R14" s="16">
        <f>L14+F14</f>
        <v>533450.64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>
        <f>'201708 Bk Depr'!R15</f>
        <v>4584143.33</v>
      </c>
      <c r="H15" s="1">
        <f t="shared" ref="H15:H16" si="0">3.28%/12</f>
        <v>2.7333333333333328E-3</v>
      </c>
      <c r="J15" s="9">
        <f>F15*H15</f>
        <v>12529.991768666665</v>
      </c>
      <c r="L15" s="9">
        <f>'Cap&amp;OpEx 2017'!E13</f>
        <v>2204702.96</v>
      </c>
      <c r="N15" s="9">
        <f>H15*L15*0.5</f>
        <v>3013.0940453333328</v>
      </c>
      <c r="P15" s="16">
        <f>J15+N15</f>
        <v>15543.085813999998</v>
      </c>
      <c r="R15" s="16">
        <f>L15+F15</f>
        <v>6788846.29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>
        <f>'201708 Bk Depr'!R16</f>
        <v>1086070.8899999999</v>
      </c>
      <c r="H16" s="1">
        <f t="shared" si="0"/>
        <v>2.7333333333333328E-3</v>
      </c>
      <c r="J16" s="9">
        <f>F16*H16</f>
        <v>2968.5937659999991</v>
      </c>
      <c r="L16" s="9">
        <f>'Cap&amp;OpEx 2017'!E14</f>
        <v>524855.63</v>
      </c>
      <c r="N16" s="9">
        <f>H16*L16*0.5</f>
        <v>717.30269433333319</v>
      </c>
      <c r="P16" s="16">
        <f>J16+N16</f>
        <v>3685.8964603333325</v>
      </c>
      <c r="R16" s="16">
        <f>L16+F16</f>
        <v>1610926.52</v>
      </c>
    </row>
    <row r="17" spans="1:18">
      <c r="A17" s="11">
        <f>A16+1</f>
        <v>5</v>
      </c>
      <c r="B17" s="8"/>
      <c r="C17" s="8" t="s">
        <v>22</v>
      </c>
      <c r="F17" s="17">
        <f>SUM(F13:F16)</f>
        <v>9101493.8399999999</v>
      </c>
      <c r="J17" s="17">
        <f>SUM(J13:J16)</f>
        <v>21573.122603999996</v>
      </c>
      <c r="L17" s="17">
        <f>SUM(L13:L16)</f>
        <v>4278043.37</v>
      </c>
      <c r="N17" s="17">
        <f>SUM(N13:N16)</f>
        <v>5108.9125723333327</v>
      </c>
      <c r="P17" s="17">
        <f>SUM(P13:P16)</f>
        <v>26682.035176333331</v>
      </c>
      <c r="R17" s="17">
        <f>SUM(R13:R16)</f>
        <v>13379537.209999999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>
        <f>'201708 Bk Depr'!R20</f>
        <v>0</v>
      </c>
      <c r="H20" s="1">
        <f>1.99%/12</f>
        <v>1.6583333333333335E-3</v>
      </c>
      <c r="J20" s="9">
        <f>F20*H20</f>
        <v>0</v>
      </c>
      <c r="L20" s="9">
        <f>'Cap&amp;OpEx 2017'!E17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>
        <f>'201708 Bk Depr'!R21</f>
        <v>0</v>
      </c>
      <c r="H21" s="1">
        <f>3.28%/12</f>
        <v>2.7333333333333328E-3</v>
      </c>
      <c r="J21" s="9">
        <f>F21*H21</f>
        <v>0</v>
      </c>
      <c r="L21" s="9">
        <f>'Cap&amp;OpEx 2017'!E18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>
        <f>'201708 Bk Depr'!R22</f>
        <v>0</v>
      </c>
      <c r="H22" s="1">
        <f t="shared" ref="H22" si="1">3.28%/12</f>
        <v>2.7333333333333328E-3</v>
      </c>
      <c r="J22" s="9">
        <f>F22*H22</f>
        <v>0</v>
      </c>
      <c r="L22" s="9">
        <f>'Cap&amp;OpEx 2017'!E19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9101493.8399999999</v>
      </c>
      <c r="J25" s="19">
        <f>J17+J23</f>
        <v>21573.122603999996</v>
      </c>
      <c r="L25" s="19">
        <f>L17+L23</f>
        <v>4278043.37</v>
      </c>
      <c r="N25" s="19">
        <f>N17+N23</f>
        <v>5108.9125723333327</v>
      </c>
      <c r="P25" s="19">
        <f>P17+P23</f>
        <v>26682.035176333331</v>
      </c>
      <c r="R25" s="19">
        <f>R17+R23</f>
        <v>13379537.209999999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>
        <f>'201708 Bk Depr'!R28</f>
        <v>147060</v>
      </c>
      <c r="L28" s="9">
        <f>'Cap&amp;OpEx 2017'!E24</f>
        <v>79800</v>
      </c>
      <c r="R28" s="16">
        <f>L28+F28</f>
        <v>226860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>
        <f>'201708 Bk Depr'!R29</f>
        <v>61649.73</v>
      </c>
      <c r="L29" s="9">
        <f>'Cap&amp;OpEx 2017'!E25</f>
        <v>29623.45</v>
      </c>
      <c r="R29" s="16">
        <f>L29+F29</f>
        <v>91273.180000000008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>
        <f>'201708 Bk Depr'!R30</f>
        <v>0</v>
      </c>
      <c r="L30" s="9">
        <f>'Cap&amp;OpEx 2017'!E26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208709.73</v>
      </c>
      <c r="J31" s="17">
        <f>SUM(J28:J30)</f>
        <v>0</v>
      </c>
      <c r="L31" s="17">
        <f>SUM(L28:L30)</f>
        <v>109423.45</v>
      </c>
      <c r="N31" s="17">
        <f>SUM(N28:N30)</f>
        <v>0</v>
      </c>
      <c r="P31" s="17">
        <f>SUM(P28:P30)</f>
        <v>0</v>
      </c>
      <c r="R31" s="17">
        <f>SUM(R28:R30)</f>
        <v>318133.18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8 of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R1"/>
    </sheetView>
  </sheetViews>
  <sheetFormatPr defaultRowHeight="15.75"/>
  <cols>
    <col min="1" max="1" width="5.140625" style="11" customWidth="1"/>
    <col min="2" max="2" width="2.85546875" style="11" customWidth="1"/>
    <col min="3" max="3" width="23" style="8" customWidth="1"/>
    <col min="4" max="4" width="9.140625" style="11"/>
    <col min="5" max="5" width="1.28515625" style="11" customWidth="1"/>
    <col min="6" max="6" width="15.7109375" style="8" customWidth="1"/>
    <col min="7" max="7" width="1.28515625" style="11" customWidth="1"/>
    <col min="8" max="8" width="9.85546875" style="8" customWidth="1"/>
    <col min="9" max="9" width="1.28515625" style="11" customWidth="1"/>
    <col min="10" max="10" width="12.5703125" style="8" bestFit="1" customWidth="1"/>
    <col min="11" max="11" width="1.28515625" style="11" customWidth="1"/>
    <col min="12" max="12" width="14.85546875" style="8" bestFit="1" customWidth="1"/>
    <col min="13" max="13" width="1.28515625" style="11" customWidth="1"/>
    <col min="14" max="14" width="16.7109375" style="8" customWidth="1"/>
    <col min="15" max="15" width="1.28515625" style="11" customWidth="1"/>
    <col min="16" max="16" width="16" style="8" bestFit="1" customWidth="1"/>
    <col min="17" max="17" width="1.28515625" style="11" customWidth="1"/>
    <col min="18" max="18" width="15.85546875" style="8" customWidth="1"/>
    <col min="19" max="16384" width="9.140625" style="8"/>
  </cols>
  <sheetData>
    <row r="1" spans="1:18" ht="18.75">
      <c r="A1" s="327" t="s">
        <v>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>
      <c r="A2" s="328" t="s">
        <v>306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8.75">
      <c r="A3" s="327" t="s">
        <v>250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A5" s="16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>
      <c r="C6" s="20"/>
      <c r="D6" s="20"/>
      <c r="E6" s="20"/>
      <c r="F6" s="20" t="s">
        <v>113</v>
      </c>
      <c r="G6" s="20"/>
      <c r="H6" s="20"/>
      <c r="I6" s="20"/>
      <c r="J6" s="20" t="s">
        <v>113</v>
      </c>
      <c r="K6" s="20"/>
      <c r="L6" s="20" t="s">
        <v>113</v>
      </c>
      <c r="M6" s="20"/>
      <c r="N6" s="20"/>
      <c r="O6" s="20"/>
      <c r="P6" s="20"/>
      <c r="Q6" s="20"/>
      <c r="R6" s="20" t="s">
        <v>113</v>
      </c>
    </row>
    <row r="7" spans="1:18">
      <c r="C7" s="20"/>
      <c r="D7" s="20"/>
      <c r="E7" s="20"/>
      <c r="F7" s="20" t="s">
        <v>8</v>
      </c>
      <c r="G7" s="20"/>
      <c r="H7" s="20" t="s">
        <v>178</v>
      </c>
      <c r="I7" s="20"/>
      <c r="J7" s="20" t="s">
        <v>11</v>
      </c>
      <c r="K7" s="20"/>
      <c r="L7" s="20" t="s">
        <v>20</v>
      </c>
      <c r="M7" s="20"/>
      <c r="N7" s="20" t="s">
        <v>104</v>
      </c>
      <c r="O7" s="20"/>
      <c r="P7" s="20" t="s">
        <v>104</v>
      </c>
      <c r="Q7" s="20"/>
      <c r="R7" s="20" t="s">
        <v>14</v>
      </c>
    </row>
    <row r="8" spans="1:18">
      <c r="A8" s="20" t="s">
        <v>4</v>
      </c>
      <c r="B8" s="20"/>
      <c r="C8" s="20"/>
      <c r="D8" s="20" t="s">
        <v>7</v>
      </c>
      <c r="E8" s="20"/>
      <c r="F8" s="20" t="s">
        <v>1</v>
      </c>
      <c r="G8" s="20"/>
      <c r="H8" s="20" t="s">
        <v>10</v>
      </c>
      <c r="I8" s="20"/>
      <c r="J8" s="20" t="s">
        <v>8</v>
      </c>
      <c r="K8" s="20"/>
      <c r="L8" s="20" t="s">
        <v>64</v>
      </c>
      <c r="M8" s="20"/>
      <c r="N8" s="20" t="s">
        <v>11</v>
      </c>
      <c r="O8" s="20"/>
      <c r="P8" s="20" t="s">
        <v>39</v>
      </c>
      <c r="Q8" s="20"/>
      <c r="R8" s="20" t="s">
        <v>1</v>
      </c>
    </row>
    <row r="9" spans="1:18">
      <c r="A9" s="12" t="s">
        <v>5</v>
      </c>
      <c r="B9" s="12"/>
      <c r="C9" s="12" t="s">
        <v>6</v>
      </c>
      <c r="D9" s="12" t="s">
        <v>5</v>
      </c>
      <c r="E9" s="12"/>
      <c r="F9" s="12" t="s">
        <v>9</v>
      </c>
      <c r="G9" s="12"/>
      <c r="H9" s="12" t="s">
        <v>2</v>
      </c>
      <c r="I9" s="12"/>
      <c r="J9" s="12" t="s">
        <v>9</v>
      </c>
      <c r="K9" s="12"/>
      <c r="L9" s="12" t="s">
        <v>12</v>
      </c>
      <c r="M9" s="12"/>
      <c r="N9" s="12" t="s">
        <v>13</v>
      </c>
      <c r="O9" s="12"/>
      <c r="P9" s="12" t="s">
        <v>0</v>
      </c>
      <c r="Q9" s="12"/>
      <c r="R9" s="12" t="s">
        <v>9</v>
      </c>
    </row>
    <row r="10" spans="1:18" s="10" customFormat="1">
      <c r="A10" s="20"/>
      <c r="B10" s="20"/>
      <c r="C10" s="13">
        <v>-1</v>
      </c>
      <c r="D10" s="13">
        <v>-2</v>
      </c>
      <c r="E10" s="13"/>
      <c r="F10" s="13">
        <v>-3</v>
      </c>
      <c r="G10" s="13"/>
      <c r="H10" s="13">
        <v>-4</v>
      </c>
      <c r="I10" s="13"/>
      <c r="J10" s="13" t="s">
        <v>15</v>
      </c>
      <c r="K10" s="13"/>
      <c r="L10" s="13">
        <v>-6</v>
      </c>
      <c r="M10" s="13"/>
      <c r="N10" s="13" t="s">
        <v>16</v>
      </c>
      <c r="O10" s="13"/>
      <c r="P10" s="13" t="s">
        <v>105</v>
      </c>
      <c r="Q10" s="13"/>
      <c r="R10" s="13" t="s">
        <v>17</v>
      </c>
    </row>
    <row r="12" spans="1:18">
      <c r="B12" s="15" t="s">
        <v>20</v>
      </c>
      <c r="C12" s="15"/>
    </row>
    <row r="13" spans="1:18">
      <c r="A13" s="11">
        <v>1</v>
      </c>
      <c r="B13" s="8"/>
      <c r="C13" s="8" t="s">
        <v>21</v>
      </c>
      <c r="D13" s="11">
        <v>376</v>
      </c>
      <c r="F13" s="9">
        <f>'201709 Bk Depr'!R13</f>
        <v>4446313.76</v>
      </c>
      <c r="H13" s="1">
        <f>1.99%/12</f>
        <v>1.6583333333333335E-3</v>
      </c>
      <c r="J13" s="9">
        <f>F13*H13</f>
        <v>7373.4703186666666</v>
      </c>
      <c r="L13" s="9">
        <f>'Cap&amp;OpEx 2017'!F10</f>
        <v>1143969.48</v>
      </c>
      <c r="N13" s="9">
        <f>H13*L13*0.5</f>
        <v>948.54136050000011</v>
      </c>
      <c r="P13" s="16">
        <f>J13+N13</f>
        <v>8322.011679166666</v>
      </c>
      <c r="R13" s="16">
        <f>L13+F13</f>
        <v>5590283.2400000002</v>
      </c>
    </row>
    <row r="14" spans="1:18">
      <c r="A14" s="11">
        <f>A13+1</f>
        <v>2</v>
      </c>
      <c r="B14" s="8"/>
      <c r="C14" s="14" t="s">
        <v>65</v>
      </c>
      <c r="D14" s="11">
        <v>380</v>
      </c>
      <c r="F14" s="9">
        <f>'201709 Bk Depr'!R14</f>
        <v>533450.64</v>
      </c>
      <c r="H14" s="1">
        <f>3.28%/12</f>
        <v>2.7333333333333328E-3</v>
      </c>
      <c r="J14" s="9">
        <f>F14*H14</f>
        <v>1458.0984159999998</v>
      </c>
      <c r="L14" s="9">
        <f>'Cap&amp;OpEx 2017'!F12</f>
        <v>181166.53</v>
      </c>
      <c r="N14" s="9">
        <f>H14*L14*0.5</f>
        <v>247.59425766666661</v>
      </c>
      <c r="P14" s="16">
        <f>J14+N14</f>
        <v>1705.6926736666665</v>
      </c>
      <c r="R14" s="16">
        <f>L14+F14</f>
        <v>714617.17</v>
      </c>
    </row>
    <row r="15" spans="1:18">
      <c r="A15" s="11">
        <f>A14+1</f>
        <v>3</v>
      </c>
      <c r="B15" s="8"/>
      <c r="C15" s="14" t="s">
        <v>66</v>
      </c>
      <c r="D15" s="11">
        <v>380</v>
      </c>
      <c r="F15" s="9">
        <f>'201709 Bk Depr'!R15</f>
        <v>6788846.29</v>
      </c>
      <c r="H15" s="1">
        <f t="shared" ref="H15:H16" si="0">3.28%/12</f>
        <v>2.7333333333333328E-3</v>
      </c>
      <c r="J15" s="9">
        <f>F15*H15</f>
        <v>18556.17985933333</v>
      </c>
      <c r="L15" s="9">
        <f>'Cap&amp;OpEx 2017'!F13</f>
        <v>2400243.48</v>
      </c>
      <c r="N15" s="9">
        <f>H15*L15*0.5</f>
        <v>3280.3327559999993</v>
      </c>
      <c r="P15" s="16">
        <f>J15+N15</f>
        <v>21836.512615333329</v>
      </c>
      <c r="R15" s="16">
        <f>L15+F15</f>
        <v>9189089.7699999996</v>
      </c>
    </row>
    <row r="16" spans="1:18">
      <c r="A16" s="11">
        <f>A15+1</f>
        <v>4</v>
      </c>
      <c r="B16" s="8"/>
      <c r="C16" s="8" t="s">
        <v>177</v>
      </c>
      <c r="D16" s="11">
        <v>380</v>
      </c>
      <c r="F16" s="9">
        <f>'201709 Bk Depr'!R16</f>
        <v>1610926.52</v>
      </c>
      <c r="H16" s="1">
        <f t="shared" si="0"/>
        <v>2.7333333333333328E-3</v>
      </c>
      <c r="J16" s="9">
        <f>F16*H16</f>
        <v>4403.1991546666659</v>
      </c>
      <c r="L16" s="9">
        <f>'Cap&amp;OpEx 2017'!F14</f>
        <v>543667.11</v>
      </c>
      <c r="N16" s="9">
        <f>H16*L16*0.5</f>
        <v>743.01171699999986</v>
      </c>
      <c r="P16" s="16">
        <f>J16+N16</f>
        <v>5146.2108716666662</v>
      </c>
      <c r="R16" s="16">
        <f>L16+F16</f>
        <v>2154593.63</v>
      </c>
    </row>
    <row r="17" spans="1:18">
      <c r="A17" s="11">
        <f>A16+1</f>
        <v>5</v>
      </c>
      <c r="B17" s="8"/>
      <c r="C17" s="8" t="s">
        <v>22</v>
      </c>
      <c r="F17" s="17">
        <f>SUM(F13:F16)</f>
        <v>13379537.209999999</v>
      </c>
      <c r="J17" s="17">
        <f>SUM(J13:J16)</f>
        <v>31790.947748666662</v>
      </c>
      <c r="L17" s="17">
        <f>SUM(L13:L16)</f>
        <v>4269046.6000000006</v>
      </c>
      <c r="N17" s="17">
        <f>SUM(N13:N16)</f>
        <v>5219.4800911666662</v>
      </c>
      <c r="P17" s="17">
        <f>SUM(P13:P16)</f>
        <v>37010.427839833326</v>
      </c>
      <c r="R17" s="17">
        <f>SUM(R13:R16)</f>
        <v>17648583.809999999</v>
      </c>
    </row>
    <row r="18" spans="1:18">
      <c r="B18" s="8"/>
    </row>
    <row r="19" spans="1:18">
      <c r="B19" s="15" t="s">
        <v>12</v>
      </c>
      <c r="C19" s="15"/>
    </row>
    <row r="20" spans="1:18">
      <c r="A20" s="11">
        <f>A17+1</f>
        <v>6</v>
      </c>
      <c r="B20" s="8"/>
      <c r="C20" s="8" t="s">
        <v>21</v>
      </c>
      <c r="D20" s="11">
        <v>376</v>
      </c>
      <c r="F20" s="9">
        <f>'201709 Bk Depr'!R20</f>
        <v>0</v>
      </c>
      <c r="H20" s="1">
        <f>1.99%/12</f>
        <v>1.6583333333333335E-3</v>
      </c>
      <c r="J20" s="9">
        <f>F20*H20</f>
        <v>0</v>
      </c>
      <c r="L20" s="9">
        <f>'Cap&amp;OpEx 2017'!F17</f>
        <v>0</v>
      </c>
      <c r="N20" s="9">
        <f>H20*L20*0.5</f>
        <v>0</v>
      </c>
      <c r="P20" s="16">
        <f>J20+N20</f>
        <v>0</v>
      </c>
      <c r="R20" s="16">
        <f>L20+F20</f>
        <v>0</v>
      </c>
    </row>
    <row r="21" spans="1:18">
      <c r="A21" s="11">
        <f>A20+1</f>
        <v>7</v>
      </c>
      <c r="B21" s="8"/>
      <c r="C21" s="14" t="s">
        <v>65</v>
      </c>
      <c r="D21" s="11">
        <v>380</v>
      </c>
      <c r="F21" s="9">
        <f>'201709 Bk Depr'!R21</f>
        <v>0</v>
      </c>
      <c r="H21" s="1">
        <f>3.28%/12</f>
        <v>2.7333333333333328E-3</v>
      </c>
      <c r="J21" s="9">
        <f>F21*H21</f>
        <v>0</v>
      </c>
      <c r="L21" s="9">
        <f>'Cap&amp;OpEx 2017'!F18</f>
        <v>0</v>
      </c>
      <c r="N21" s="9">
        <f>H21*L21*0.5</f>
        <v>0</v>
      </c>
      <c r="P21" s="16">
        <f>J21+N21</f>
        <v>0</v>
      </c>
      <c r="R21" s="16">
        <f>L21+F21</f>
        <v>0</v>
      </c>
    </row>
    <row r="22" spans="1:18">
      <c r="A22" s="11">
        <f>A21+1</f>
        <v>8</v>
      </c>
      <c r="B22" s="8"/>
      <c r="C22" s="14" t="s">
        <v>66</v>
      </c>
      <c r="D22" s="11">
        <v>380</v>
      </c>
      <c r="F22" s="9">
        <f>'201709 Bk Depr'!R22</f>
        <v>0</v>
      </c>
      <c r="H22" s="1">
        <f t="shared" ref="H22" si="1">3.28%/12</f>
        <v>2.7333333333333328E-3</v>
      </c>
      <c r="J22" s="9">
        <f>F22*H22</f>
        <v>0</v>
      </c>
      <c r="L22" s="9">
        <f>'Cap&amp;OpEx 2017'!F19</f>
        <v>0</v>
      </c>
      <c r="N22" s="9">
        <f>H22*L22*0.5</f>
        <v>0</v>
      </c>
      <c r="P22" s="16">
        <f>J22+N22</f>
        <v>0</v>
      </c>
      <c r="R22" s="16">
        <f>L22+F22</f>
        <v>0</v>
      </c>
    </row>
    <row r="23" spans="1:18">
      <c r="A23" s="11">
        <f>A22+1</f>
        <v>9</v>
      </c>
      <c r="B23" s="8"/>
      <c r="C23" s="8" t="s">
        <v>23</v>
      </c>
      <c r="F23" s="17">
        <f>SUM(F20:F22)</f>
        <v>0</v>
      </c>
      <c r="J23" s="17">
        <f>SUM(J20:J22)</f>
        <v>0</v>
      </c>
      <c r="L23" s="17">
        <f>SUM(L20:L22)</f>
        <v>0</v>
      </c>
      <c r="N23" s="17">
        <f>SUM(N20:N22)</f>
        <v>0</v>
      </c>
      <c r="P23" s="17">
        <f>SUM(P20:P22)</f>
        <v>0</v>
      </c>
      <c r="R23" s="17">
        <f>SUM(R20:R22)</f>
        <v>0</v>
      </c>
    </row>
    <row r="24" spans="1:18">
      <c r="B24" s="8"/>
    </row>
    <row r="25" spans="1:18" ht="16.5" thickBot="1">
      <c r="A25" s="11">
        <f>A23+1</f>
        <v>10</v>
      </c>
      <c r="B25" s="18" t="s">
        <v>18</v>
      </c>
      <c r="C25" s="18"/>
      <c r="F25" s="19">
        <f>F17+F23</f>
        <v>13379537.209999999</v>
      </c>
      <c r="J25" s="19">
        <f>J17+J23</f>
        <v>31790.947748666662</v>
      </c>
      <c r="L25" s="19">
        <f>L17+L23</f>
        <v>4269046.6000000006</v>
      </c>
      <c r="N25" s="19">
        <f>N17+N23</f>
        <v>5219.4800911666662</v>
      </c>
      <c r="P25" s="19">
        <f>P17+P23</f>
        <v>37010.427839833326</v>
      </c>
      <c r="R25" s="19">
        <f>R17+R23</f>
        <v>17648583.809999999</v>
      </c>
    </row>
    <row r="26" spans="1:18" ht="16.5" thickTop="1">
      <c r="B26" s="8"/>
    </row>
    <row r="27" spans="1:18">
      <c r="B27" s="18" t="s">
        <v>19</v>
      </c>
      <c r="C27" s="18"/>
    </row>
    <row r="28" spans="1:18">
      <c r="A28" s="11">
        <f>A25+1</f>
        <v>11</v>
      </c>
      <c r="B28" s="8"/>
      <c r="C28" s="8" t="s">
        <v>21</v>
      </c>
      <c r="D28" s="11">
        <v>376</v>
      </c>
      <c r="F28" s="9">
        <f>'201709 Bk Depr'!R28</f>
        <v>226860</v>
      </c>
      <c r="L28" s="9">
        <f>'Cap&amp;OpEx 2017'!F24</f>
        <v>70680</v>
      </c>
      <c r="R28" s="16">
        <f>L28+F28</f>
        <v>297540</v>
      </c>
    </row>
    <row r="29" spans="1:18">
      <c r="A29" s="11">
        <f>A28+1</f>
        <v>12</v>
      </c>
      <c r="B29" s="8"/>
      <c r="C29" s="14" t="s">
        <v>65</v>
      </c>
      <c r="D29" s="11">
        <v>380</v>
      </c>
      <c r="F29" s="9">
        <f>'201709 Bk Depr'!R29</f>
        <v>91273.180000000008</v>
      </c>
      <c r="L29" s="9">
        <f>'Cap&amp;OpEx 2017'!F25</f>
        <v>34518.44</v>
      </c>
      <c r="R29" s="16">
        <f>L29+F29</f>
        <v>125791.62000000001</v>
      </c>
    </row>
    <row r="30" spans="1:18">
      <c r="A30" s="11">
        <f>A29+1</f>
        <v>13</v>
      </c>
      <c r="B30" s="8"/>
      <c r="C30" s="14" t="s">
        <v>66</v>
      </c>
      <c r="D30" s="11">
        <v>380</v>
      </c>
      <c r="F30" s="9">
        <f>'201709 Bk Depr'!R30</f>
        <v>0</v>
      </c>
      <c r="L30" s="9">
        <f>'Cap&amp;OpEx 2017'!F26</f>
        <v>0</v>
      </c>
      <c r="R30" s="16">
        <f>L30+F30</f>
        <v>0</v>
      </c>
    </row>
    <row r="31" spans="1:18">
      <c r="A31" s="11">
        <f>A30+1</f>
        <v>14</v>
      </c>
      <c r="B31" s="8"/>
      <c r="C31" s="8" t="s">
        <v>24</v>
      </c>
      <c r="F31" s="17">
        <f>SUM(F28:F30)</f>
        <v>318133.18</v>
      </c>
      <c r="J31" s="17">
        <f>SUM(J28:J30)</f>
        <v>0</v>
      </c>
      <c r="L31" s="17">
        <f>SUM(L28:L30)</f>
        <v>105198.44</v>
      </c>
      <c r="N31" s="17">
        <f>SUM(N28:N30)</f>
        <v>0</v>
      </c>
      <c r="P31" s="17">
        <f>SUM(P28:P30)</f>
        <v>0</v>
      </c>
      <c r="R31" s="17">
        <f>SUM(R28:R30)</f>
        <v>423331.62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scale="82" orientation="landscape" r:id="rId1"/>
  <headerFooter>
    <oddFooter>&amp;R&amp;"Times New Roman,Bold"&amp;12Exhibit CMG-5
Page 9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Class Allocation</vt:lpstr>
      <vt:lpstr>Rev Req 2017-Distr</vt:lpstr>
      <vt:lpstr>Rev Req 2017-Trans</vt:lpstr>
      <vt:lpstr>ROR</vt:lpstr>
      <vt:lpstr>Cap&amp;OpEx 2017</vt:lpstr>
      <vt:lpstr>201707 Bk Depr</vt:lpstr>
      <vt:lpstr>201708 Bk Depr</vt:lpstr>
      <vt:lpstr>201709 Bk Depr</vt:lpstr>
      <vt:lpstr>201710 Bk Depr</vt:lpstr>
      <vt:lpstr>201711 Bk Depr</vt:lpstr>
      <vt:lpstr>201712 Bk Depr</vt:lpstr>
      <vt:lpstr>Tax Depr 2017</vt:lpstr>
      <vt:lpstr>Capital Budget 2017</vt:lpstr>
      <vt:lpstr>COS Budget 2017</vt:lpstr>
      <vt:lpstr>'Capital Budget 2017'!Print_Area</vt:lpstr>
      <vt:lpstr>'Rev Req 2017-Distr'!Print_Area</vt:lpstr>
      <vt:lpstr>'Rev Req 2017-Trans'!Print_Area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2016-11-16T19:08:28Z</dcterms:created>
  <dcterms:modified xsi:type="dcterms:W3CDTF">2016-11-28T21:16:58Z</dcterms:modified>
</cp:coreProperties>
</file>