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50" windowWidth="48915" windowHeight="11055"/>
  </bookViews>
  <sheets>
    <sheet name="Exhibit CMG-4" sheetId="1" r:id="rId1"/>
  </sheets>
  <calcPr calcId="152511" calcMode="manual"/>
</workbook>
</file>

<file path=xl/calcChain.xml><?xml version="1.0" encoding="utf-8"?>
<calcChain xmlns="http://schemas.openxmlformats.org/spreadsheetml/2006/main">
  <c r="E34" i="1" l="1"/>
  <c r="A26" i="1"/>
  <c r="D8" i="1"/>
  <c r="E8" i="1" s="1"/>
  <c r="F8" i="1" s="1"/>
  <c r="G8" i="1" s="1"/>
  <c r="H8" i="1" s="1"/>
  <c r="I8" i="1" s="1"/>
  <c r="J8" i="1" s="1"/>
  <c r="K8" i="1" s="1"/>
  <c r="G31" i="1" l="1"/>
  <c r="G30" i="1"/>
  <c r="J11" i="1" l="1"/>
  <c r="D23" i="1"/>
  <c r="E36" i="1" l="1"/>
  <c r="E35" i="1"/>
  <c r="J22" i="1"/>
  <c r="F22" i="1"/>
  <c r="G22" i="1" s="1"/>
  <c r="H22" i="1" s="1"/>
  <c r="E22" i="1"/>
  <c r="J21" i="1"/>
  <c r="F21" i="1"/>
  <c r="G21" i="1" s="1"/>
  <c r="H21" i="1" s="1"/>
  <c r="E21" i="1"/>
  <c r="J20" i="1"/>
  <c r="F20" i="1"/>
  <c r="G20" i="1" s="1"/>
  <c r="H20" i="1" s="1"/>
  <c r="E20" i="1"/>
  <c r="J19" i="1"/>
  <c r="F19" i="1"/>
  <c r="G19" i="1" s="1"/>
  <c r="H19" i="1" s="1"/>
  <c r="E19" i="1"/>
  <c r="J18" i="1"/>
  <c r="F18" i="1"/>
  <c r="G18" i="1" s="1"/>
  <c r="H18" i="1" s="1"/>
  <c r="E18" i="1"/>
  <c r="J17" i="1"/>
  <c r="F17" i="1"/>
  <c r="G17" i="1" s="1"/>
  <c r="H17" i="1" s="1"/>
  <c r="E17" i="1"/>
  <c r="J16" i="1"/>
  <c r="F16" i="1"/>
  <c r="G16" i="1" s="1"/>
  <c r="H16" i="1" s="1"/>
  <c r="E16" i="1"/>
  <c r="J15" i="1"/>
  <c r="F15" i="1"/>
  <c r="G15" i="1" s="1"/>
  <c r="H15" i="1" s="1"/>
  <c r="E15" i="1"/>
  <c r="J14" i="1"/>
  <c r="F14" i="1"/>
  <c r="G14" i="1" s="1"/>
  <c r="H14" i="1" s="1"/>
  <c r="E14" i="1"/>
  <c r="J13" i="1"/>
  <c r="F13" i="1"/>
  <c r="G13" i="1" s="1"/>
  <c r="H13" i="1" s="1"/>
  <c r="E13" i="1"/>
  <c r="J12" i="1"/>
  <c r="F12" i="1"/>
  <c r="G12" i="1" s="1"/>
  <c r="H12" i="1" s="1"/>
  <c r="E12" i="1"/>
  <c r="F11" i="1"/>
  <c r="G11" i="1" s="1"/>
  <c r="H11" i="1" s="1"/>
  <c r="E11" i="1"/>
  <c r="K14" i="1" l="1"/>
  <c r="K13" i="1"/>
  <c r="K21" i="1"/>
  <c r="K22" i="1"/>
  <c r="K18" i="1"/>
  <c r="K12" i="1"/>
  <c r="K16" i="1"/>
  <c r="E23" i="1"/>
  <c r="C24" i="1" s="1"/>
  <c r="E27" i="1" s="1"/>
  <c r="F27" i="1" s="1"/>
  <c r="G27" i="1" s="1"/>
  <c r="K11" i="1"/>
  <c r="K15" i="1"/>
  <c r="K20" i="1"/>
  <c r="K19" i="1"/>
  <c r="K17" i="1"/>
  <c r="F36" i="1" l="1"/>
  <c r="G36" i="1" s="1"/>
  <c r="H36" i="1" s="1"/>
  <c r="F35" i="1"/>
  <c r="G35" i="1" s="1"/>
  <c r="G37" i="1" l="1"/>
  <c r="H35" i="1"/>
</calcChain>
</file>

<file path=xl/sharedStrings.xml><?xml version="1.0" encoding="utf-8"?>
<sst xmlns="http://schemas.openxmlformats.org/spreadsheetml/2006/main" count="52" uniqueCount="49">
  <si>
    <t xml:space="preserve"> Calculation of the Actual Revenue Adjustment for Power Factor Correction:</t>
  </si>
  <si>
    <t>Average Power Factor</t>
  </si>
  <si>
    <t>Billing Demand</t>
  </si>
  <si>
    <t>Power Factor less 80%</t>
  </si>
  <si>
    <t>One Percent Adjustment</t>
  </si>
  <si>
    <t>Demand Rate</t>
  </si>
  <si>
    <t>Power Factor Adjustment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</si>
  <si>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</si>
  <si>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</si>
  <si>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</si>
  <si>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</si>
  <si>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</si>
  <si>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</si>
  <si>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</si>
  <si>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</si>
  <si>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</si>
  <si>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</si>
  <si>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July</t>
  </si>
  <si>
    <t>Aug</t>
  </si>
  <si>
    <t>calculated average power factor (12 month kW divided by 12 month kVA)</t>
  </si>
  <si>
    <t>Calculation of Forecast Period Power Factor Adjustment:</t>
  </si>
  <si>
    <t>Forecast Demand</t>
  </si>
  <si>
    <t>Demand Adj for PF</t>
  </si>
  <si>
    <t>Summer Demand Revenue-Forecast</t>
  </si>
  <si>
    <t>Winter Demand Revenue-Forecast</t>
  </si>
  <si>
    <t>Pro forma adjustment to reflect power factor adjustment:</t>
  </si>
  <si>
    <t>Data for 12 Months ending August 31, 2016:</t>
  </si>
  <si>
    <t>Monthly Adj.</t>
  </si>
  <si>
    <t>FERC Account</t>
  </si>
  <si>
    <t>Forecast summer demand revenue (exclusive of PF adjustment)</t>
  </si>
  <si>
    <t>Forecast winter demand revenue (exclusive of PF adjustment)</t>
  </si>
  <si>
    <t>LOUISVILLE GAS AND ELECTRIC COMPANY</t>
  </si>
  <si>
    <t>Case No. 2016-00371</t>
  </si>
  <si>
    <t>Customer B Power Factor Revenue Adjustment</t>
  </si>
  <si>
    <t>Customer B</t>
  </si>
  <si>
    <t>kVA</t>
  </si>
  <si>
    <t>Demand Charge</t>
  </si>
  <si>
    <t>Per Monthly Bills</t>
  </si>
  <si>
    <t>(1) ÷ (2)</t>
  </si>
  <si>
    <t>(1) - 80%</t>
  </si>
  <si>
    <t>(4) adjusted down</t>
  </si>
  <si>
    <t>(5) x 0.4</t>
  </si>
  <si>
    <t>(2) x (7)</t>
  </si>
  <si>
    <t>(8) x (6)</t>
  </si>
  <si>
    <t>Average 
Power Factor less 80%</t>
  </si>
  <si>
    <t>0.4% Adjustment</t>
  </si>
  <si>
    <t xml:space="preserve"> </t>
  </si>
  <si>
    <t>Current Demand Rate</t>
  </si>
  <si>
    <t>Forecast Demand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</si>
</sst>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0.000"/>
    <numFmt numFmtId="166" formatCode="0_);\(0\)"/>
    <numFmt numFmtId="167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u val="singleAccounting"/>
      <sz val="10"/>
      <name val="Times New Roman"/>
      <family val="1"/>
    </font>
    <font>
      <u val="singleAccounting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/>
    <xf numFmtId="0" fontId="3" fillId="0" borderId="1" xfId="0" quotePrefix="1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0" xfId="0" quotePrefix="1" applyFont="1" applyBorder="1" applyAlignment="1">
      <alignment horizontal="centerContinuous" wrapText="1"/>
    </xf>
    <xf numFmtId="0" fontId="2" fillId="0" borderId="0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166" fontId="3" fillId="0" borderId="0" xfId="0" quotePrefix="1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6" fontId="3" fillId="0" borderId="0" xfId="0" quotePrefix="1" applyNumberFormat="1" applyFont="1" applyBorder="1" applyAlignment="1">
      <alignment horizontal="centerContinuous" wrapText="1"/>
    </xf>
    <xf numFmtId="166" fontId="3" fillId="0" borderId="0" xfId="0" applyNumberFormat="1" applyFont="1" applyBorder="1" applyAlignment="1">
      <alignment horizontal="centerContinuous"/>
    </xf>
    <xf numFmtId="0" fontId="3" fillId="0" borderId="4" xfId="0" applyFont="1" applyBorder="1"/>
    <xf numFmtId="0" fontId="3" fillId="0" borderId="0" xfId="0" applyFont="1" applyBorder="1" applyAlignment="1">
      <alignment horizontal="center" wrapText="1"/>
    </xf>
    <xf numFmtId="0" fontId="3" fillId="0" borderId="0" xfId="0" quotePrefix="1" applyFont="1" applyBorder="1" applyAlignment="1">
      <alignment horizontal="center" wrapText="1"/>
    </xf>
    <xf numFmtId="0" fontId="3" fillId="0" borderId="5" xfId="0" applyFont="1" applyBorder="1"/>
    <xf numFmtId="0" fontId="4" fillId="0" borderId="4" xfId="0" applyFont="1" applyBorder="1"/>
    <xf numFmtId="0" fontId="4" fillId="0" borderId="0" xfId="0" applyFont="1" applyBorder="1"/>
    <xf numFmtId="0" fontId="5" fillId="0" borderId="0" xfId="0" quotePrefix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4" fillId="0" borderId="5" xfId="0" applyFont="1" applyBorder="1"/>
    <xf numFmtId="0" fontId="4" fillId="0" borderId="0" xfId="0" applyFont="1"/>
    <xf numFmtId="10" fontId="3" fillId="0" borderId="0" xfId="3" applyNumberFormat="1" applyFont="1" applyBorder="1"/>
    <xf numFmtId="43" fontId="3" fillId="0" borderId="0" xfId="1" applyFont="1" applyBorder="1"/>
    <xf numFmtId="43" fontId="3" fillId="0" borderId="0" xfId="0" applyNumberFormat="1" applyFont="1" applyBorder="1"/>
    <xf numFmtId="10" fontId="3" fillId="0" borderId="0" xfId="0" applyNumberFormat="1" applyFont="1" applyBorder="1"/>
    <xf numFmtId="165" fontId="3" fillId="0" borderId="0" xfId="0" applyNumberFormat="1" applyFont="1" applyBorder="1"/>
    <xf numFmtId="44" fontId="3" fillId="0" borderId="0" xfId="2" applyFont="1" applyBorder="1"/>
    <xf numFmtId="43" fontId="6" fillId="0" borderId="0" xfId="1" applyFont="1" applyBorder="1"/>
    <xf numFmtId="43" fontId="6" fillId="0" borderId="0" xfId="0" applyNumberFormat="1" applyFont="1" applyBorder="1"/>
    <xf numFmtId="0" fontId="3" fillId="0" borderId="6" xfId="0" applyFont="1" applyBorder="1"/>
    <xf numFmtId="0" fontId="3" fillId="0" borderId="7" xfId="0" applyFont="1" applyBorder="1"/>
    <xf numFmtId="10" fontId="3" fillId="0" borderId="7" xfId="3" applyNumberFormat="1" applyFont="1" applyBorder="1"/>
    <xf numFmtId="0" fontId="3" fillId="0" borderId="8" xfId="0" applyFont="1" applyBorder="1"/>
    <xf numFmtId="0" fontId="2" fillId="0" borderId="1" xfId="0" applyFont="1" applyFill="1" applyBorder="1"/>
    <xf numFmtId="0" fontId="2" fillId="0" borderId="2" xfId="0" applyFont="1" applyFill="1" applyBorder="1"/>
    <xf numFmtId="0" fontId="3" fillId="0" borderId="2" xfId="0" applyFont="1" applyFill="1" applyBorder="1"/>
    <xf numFmtId="0" fontId="2" fillId="0" borderId="4" xfId="0" quotePrefix="1" applyFont="1" applyFill="1" applyBorder="1" applyAlignment="1">
      <alignment horizontal="left"/>
    </xf>
    <xf numFmtId="0" fontId="2" fillId="0" borderId="0" xfId="0" applyFont="1" applyFill="1" applyBorder="1"/>
    <xf numFmtId="10" fontId="3" fillId="0" borderId="0" xfId="0" applyNumberFormat="1" applyFont="1" applyFill="1" applyBorder="1"/>
    <xf numFmtId="0" fontId="3" fillId="0" borderId="0" xfId="0" applyFont="1" applyFill="1" applyBorder="1"/>
    <xf numFmtId="0" fontId="3" fillId="0" borderId="4" xfId="0" applyFont="1" applyFill="1" applyBorder="1"/>
    <xf numFmtId="43" fontId="3" fillId="0" borderId="0" xfId="1" applyFont="1" applyFill="1" applyBorder="1"/>
    <xf numFmtId="44" fontId="3" fillId="0" borderId="0" xfId="0" applyNumberFormat="1" applyFont="1" applyFill="1" applyBorder="1"/>
    <xf numFmtId="44" fontId="3" fillId="0" borderId="0" xfId="2" applyFont="1" applyFill="1" applyBorder="1"/>
    <xf numFmtId="0" fontId="3" fillId="0" borderId="0" xfId="0" quotePrefix="1" applyFont="1" applyFill="1" applyBorder="1" applyAlignment="1">
      <alignment horizontal="left"/>
    </xf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7" xfId="0" applyFont="1" applyFill="1" applyBorder="1"/>
    <xf numFmtId="0" fontId="6" fillId="0" borderId="2" xfId="0" quotePrefix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43" fontId="6" fillId="0" borderId="0" xfId="1" quotePrefix="1" applyFont="1" applyFill="1" applyBorder="1" applyAlignment="1">
      <alignment horizontal="center" wrapText="1"/>
    </xf>
    <xf numFmtId="44" fontId="6" fillId="0" borderId="0" xfId="0" applyNumberFormat="1" applyFont="1" applyFill="1" applyBorder="1" applyAlignment="1">
      <alignment horizontal="center" wrapText="1"/>
    </xf>
    <xf numFmtId="44" fontId="6" fillId="0" borderId="0" xfId="2" applyFont="1" applyFill="1" applyBorder="1" applyAlignment="1">
      <alignment horizontal="center" wrapText="1"/>
    </xf>
    <xf numFmtId="167" fontId="3" fillId="0" borderId="0" xfId="2" applyNumberFormat="1" applyFont="1" applyFill="1" applyBorder="1"/>
    <xf numFmtId="167" fontId="3" fillId="0" borderId="0" xfId="0" applyNumberFormat="1" applyFont="1" applyFill="1" applyBorder="1"/>
    <xf numFmtId="167" fontId="6" fillId="0" borderId="0" xfId="0" applyNumberFormat="1" applyFont="1" applyFill="1" applyBorder="1"/>
    <xf numFmtId="0" fontId="5" fillId="0" borderId="0" xfId="0" applyFont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Normal="100" workbookViewId="0"/>
  </sheetViews>
  <sheetFormatPr defaultRowHeight="15.75" x14ac:dyDescent="0.25"/>
  <cols>
    <col min="1" max="1" width="13.7109375" style="2" customWidth="1"/>
    <col min="2" max="2" width="8.7109375" style="2" customWidth="1"/>
    <col min="3" max="3" width="12.7109375" style="2" customWidth="1"/>
    <col min="4" max="4" width="14.7109375" style="2" customWidth="1"/>
    <col min="5" max="5" width="15.7109375" style="2" customWidth="1"/>
    <col min="6" max="6" width="12.7109375" style="2" customWidth="1"/>
    <col min="7" max="7" width="15.7109375" style="2" bestFit="1" customWidth="1"/>
    <col min="8" max="8" width="15.7109375" style="2" customWidth="1"/>
    <col min="9" max="9" width="12.7109375" style="2" customWidth="1"/>
    <col min="10" max="11" width="16.7109375" style="2" customWidth="1"/>
    <col min="12" max="12" width="13.7109375" style="2" customWidth="1"/>
    <col min="13" max="16384" width="9.140625" style="2"/>
  </cols>
  <sheetData>
    <row r="1" spans="1:12" x14ac:dyDescent="0.25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1" t="s">
        <v>32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x14ac:dyDescent="0.25">
      <c r="A3" s="1" t="s">
        <v>33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5"/>
    </row>
    <row r="7" spans="1:12" x14ac:dyDescent="0.25">
      <c r="A7" s="6" t="s">
        <v>34</v>
      </c>
      <c r="B7" s="7" t="s">
        <v>26</v>
      </c>
      <c r="C7" s="7"/>
      <c r="D7" s="7"/>
      <c r="E7" s="8"/>
      <c r="F7" s="9" t="s">
        <v>0</v>
      </c>
      <c r="G7" s="10"/>
      <c r="H7" s="10"/>
      <c r="I7" s="10"/>
      <c r="J7" s="10"/>
      <c r="K7" s="10"/>
      <c r="L7" s="11"/>
    </row>
    <row r="8" spans="1:12" x14ac:dyDescent="0.25">
      <c r="A8" s="6"/>
      <c r="B8" s="7"/>
      <c r="C8" s="12">
        <v>-1</v>
      </c>
      <c r="D8" s="12">
        <f>C8-1</f>
        <v>-2</v>
      </c>
      <c r="E8" s="13">
        <f t="shared" ref="E8:K8" si="0">D8-1</f>
        <v>-3</v>
      </c>
      <c r="F8" s="14">
        <f t="shared" si="0"/>
        <v>-4</v>
      </c>
      <c r="G8" s="15">
        <f t="shared" si="0"/>
        <v>-5</v>
      </c>
      <c r="H8" s="15">
        <f t="shared" si="0"/>
        <v>-6</v>
      </c>
      <c r="I8" s="15">
        <f t="shared" si="0"/>
        <v>-7</v>
      </c>
      <c r="J8" s="15">
        <f t="shared" si="0"/>
        <v>-8</v>
      </c>
      <c r="K8" s="13">
        <f t="shared" si="0"/>
        <v>-9</v>
      </c>
      <c r="L8" s="11"/>
    </row>
    <row r="9" spans="1:12" ht="47.25" x14ac:dyDescent="0.25">
      <c r="A9" s="16"/>
      <c r="B9" s="8"/>
      <c r="C9" s="17" t="s">
        <v>1</v>
      </c>
      <c r="D9" s="17" t="s">
        <v>2</v>
      </c>
      <c r="E9" s="18" t="s">
        <v>35</v>
      </c>
      <c r="F9" s="17" t="s">
        <v>3</v>
      </c>
      <c r="G9" s="17" t="s">
        <v>4</v>
      </c>
      <c r="H9" s="18" t="s">
        <v>45</v>
      </c>
      <c r="I9" s="17" t="s">
        <v>5</v>
      </c>
      <c r="J9" s="17" t="s">
        <v>36</v>
      </c>
      <c r="K9" s="17" t="s">
        <v>6</v>
      </c>
      <c r="L9" s="19"/>
    </row>
    <row r="10" spans="1:12" s="25" customFormat="1" ht="15" x14ac:dyDescent="0.35">
      <c r="A10" s="20"/>
      <c r="B10" s="21"/>
      <c r="C10" s="63" t="s">
        <v>37</v>
      </c>
      <c r="D10" s="63"/>
      <c r="E10" s="22" t="s">
        <v>38</v>
      </c>
      <c r="F10" s="23" t="s">
        <v>39</v>
      </c>
      <c r="G10" s="23" t="s">
        <v>40</v>
      </c>
      <c r="H10" s="22" t="s">
        <v>41</v>
      </c>
      <c r="I10" s="23" t="s">
        <v>46</v>
      </c>
      <c r="J10" s="23" t="s">
        <v>42</v>
      </c>
      <c r="K10" s="23" t="s">
        <v>43</v>
      </c>
      <c r="L10" s="24"/>
    </row>
    <row r="11" spans="1:12" x14ac:dyDescent="0.25">
      <c r="A11" s="16"/>
      <c r="B11" s="8" t="s">
        <v>7</v>
      </c>
      <c r="C11" s="26">
        <v>0.93859999999999999</v>
      </c>
      <c r="D11" s="27">
        <v>20916</v>
      </c>
      <c r="E11" s="28">
        <f>D11/C11</f>
        <v>22284.253142978905</v>
      </c>
      <c r="F11" s="29">
        <f>C11-0.8</f>
        <v>0.13859999999999995</v>
      </c>
      <c r="G11" s="29">
        <f>TRUNC(F11,2)</f>
        <v>0.13</v>
      </c>
      <c r="H11" s="30">
        <f>G11*0.4*-1</f>
        <v>-5.2000000000000005E-2</v>
      </c>
      <c r="I11" s="31">
        <v>13.82</v>
      </c>
      <c r="J11" s="31">
        <f>D11*I11</f>
        <v>289059.12</v>
      </c>
      <c r="K11" s="31">
        <f>ROUND(H11*J11,2)</f>
        <v>-15031.07</v>
      </c>
      <c r="L11" s="19"/>
    </row>
    <row r="12" spans="1:12" x14ac:dyDescent="0.25">
      <c r="A12" s="16"/>
      <c r="B12" s="8" t="s">
        <v>8</v>
      </c>
      <c r="C12" s="26">
        <v>0.94850000000000001</v>
      </c>
      <c r="D12" s="27">
        <v>18528</v>
      </c>
      <c r="E12" s="28">
        <f t="shared" ref="E12:E22" si="1">D12/C12</f>
        <v>19534.001054296255</v>
      </c>
      <c r="F12" s="29">
        <f t="shared" ref="F12:F22" si="2">C12-0.8</f>
        <v>0.14849999999999997</v>
      </c>
      <c r="G12" s="29">
        <f t="shared" ref="G12:G22" si="3">TRUNC(F12,2)</f>
        <v>0.14000000000000001</v>
      </c>
      <c r="H12" s="8">
        <f t="shared" ref="H12:H22" si="4">G12*0.4*-1</f>
        <v>-5.6000000000000008E-2</v>
      </c>
      <c r="I12" s="31">
        <v>13.82</v>
      </c>
      <c r="J12" s="31">
        <f t="shared" ref="J12:J22" si="5">D12*I12</f>
        <v>256056.95999999999</v>
      </c>
      <c r="K12" s="31">
        <f t="shared" ref="K12:K22" si="6">ROUND(H12*J12,2)</f>
        <v>-14339.19</v>
      </c>
      <c r="L12" s="19"/>
    </row>
    <row r="13" spans="1:12" x14ac:dyDescent="0.25">
      <c r="A13" s="16"/>
      <c r="B13" s="8" t="s">
        <v>9</v>
      </c>
      <c r="C13" s="26">
        <v>0.97450000000000003</v>
      </c>
      <c r="D13" s="27">
        <v>19776</v>
      </c>
      <c r="E13" s="28">
        <f t="shared" si="1"/>
        <v>20293.483837865573</v>
      </c>
      <c r="F13" s="29">
        <f t="shared" si="2"/>
        <v>0.17449999999999999</v>
      </c>
      <c r="G13" s="29">
        <f t="shared" si="3"/>
        <v>0.17</v>
      </c>
      <c r="H13" s="8">
        <f t="shared" si="4"/>
        <v>-6.8000000000000005E-2</v>
      </c>
      <c r="I13" s="31">
        <v>11.5</v>
      </c>
      <c r="J13" s="31">
        <f t="shared" si="5"/>
        <v>227424</v>
      </c>
      <c r="K13" s="31">
        <f t="shared" si="6"/>
        <v>-15464.83</v>
      </c>
      <c r="L13" s="19"/>
    </row>
    <row r="14" spans="1:12" x14ac:dyDescent="0.25">
      <c r="A14" s="16"/>
      <c r="B14" s="8" t="s">
        <v>10</v>
      </c>
      <c r="C14" s="26">
        <v>0.98240000000000005</v>
      </c>
      <c r="D14" s="27">
        <v>16236</v>
      </c>
      <c r="E14" s="28">
        <f t="shared" si="1"/>
        <v>16526.872964169379</v>
      </c>
      <c r="F14" s="29">
        <f t="shared" si="2"/>
        <v>0.18240000000000001</v>
      </c>
      <c r="G14" s="29">
        <f t="shared" si="3"/>
        <v>0.18</v>
      </c>
      <c r="H14" s="8">
        <f t="shared" si="4"/>
        <v>-7.1999999999999995E-2</v>
      </c>
      <c r="I14" s="31">
        <v>11.5</v>
      </c>
      <c r="J14" s="31">
        <f t="shared" si="5"/>
        <v>186714</v>
      </c>
      <c r="K14" s="31">
        <f t="shared" si="6"/>
        <v>-13443.41</v>
      </c>
      <c r="L14" s="19"/>
    </row>
    <row r="15" spans="1:12" x14ac:dyDescent="0.25">
      <c r="A15" s="16"/>
      <c r="B15" s="8" t="s">
        <v>11</v>
      </c>
      <c r="C15" s="26">
        <v>0.98619999999999997</v>
      </c>
      <c r="D15" s="27">
        <v>16428</v>
      </c>
      <c r="E15" s="28">
        <f t="shared" si="1"/>
        <v>16657.87872642466</v>
      </c>
      <c r="F15" s="29">
        <f t="shared" si="2"/>
        <v>0.18619999999999992</v>
      </c>
      <c r="G15" s="29">
        <f t="shared" si="3"/>
        <v>0.18</v>
      </c>
      <c r="H15" s="8">
        <f t="shared" si="4"/>
        <v>-7.1999999999999995E-2</v>
      </c>
      <c r="I15" s="31">
        <v>11.5</v>
      </c>
      <c r="J15" s="31">
        <f t="shared" si="5"/>
        <v>188922</v>
      </c>
      <c r="K15" s="31">
        <f t="shared" si="6"/>
        <v>-13602.38</v>
      </c>
      <c r="L15" s="19"/>
    </row>
    <row r="16" spans="1:12" x14ac:dyDescent="0.25">
      <c r="A16" s="16"/>
      <c r="B16" s="8" t="s">
        <v>12</v>
      </c>
      <c r="C16" s="26">
        <v>0.98280000000000001</v>
      </c>
      <c r="D16" s="27">
        <v>18192</v>
      </c>
      <c r="E16" s="28">
        <f t="shared" si="1"/>
        <v>18510.378510378509</v>
      </c>
      <c r="F16" s="29">
        <f t="shared" si="2"/>
        <v>0.18279999999999996</v>
      </c>
      <c r="G16" s="29">
        <f t="shared" si="3"/>
        <v>0.18</v>
      </c>
      <c r="H16" s="8">
        <f t="shared" si="4"/>
        <v>-7.1999999999999995E-2</v>
      </c>
      <c r="I16" s="31">
        <v>11.5</v>
      </c>
      <c r="J16" s="31">
        <f t="shared" si="5"/>
        <v>209208</v>
      </c>
      <c r="K16" s="31">
        <f t="shared" si="6"/>
        <v>-15062.98</v>
      </c>
      <c r="L16" s="19"/>
    </row>
    <row r="17" spans="1:13" x14ac:dyDescent="0.25">
      <c r="A17" s="16"/>
      <c r="B17" s="8" t="s">
        <v>13</v>
      </c>
      <c r="C17" s="26">
        <v>0.9819</v>
      </c>
      <c r="D17" s="27">
        <v>17820</v>
      </c>
      <c r="E17" s="28">
        <f t="shared" si="1"/>
        <v>18148.487626031165</v>
      </c>
      <c r="F17" s="29">
        <f t="shared" si="2"/>
        <v>0.18189999999999995</v>
      </c>
      <c r="G17" s="29">
        <f t="shared" si="3"/>
        <v>0.18</v>
      </c>
      <c r="H17" s="8">
        <f t="shared" si="4"/>
        <v>-7.1999999999999995E-2</v>
      </c>
      <c r="I17" s="31">
        <v>13.27</v>
      </c>
      <c r="J17" s="31">
        <f t="shared" si="5"/>
        <v>236471.4</v>
      </c>
      <c r="K17" s="31">
        <f t="shared" si="6"/>
        <v>-17025.939999999999</v>
      </c>
      <c r="L17" s="19"/>
    </row>
    <row r="18" spans="1:13" x14ac:dyDescent="0.25">
      <c r="A18" s="16"/>
      <c r="B18" s="8" t="s">
        <v>14</v>
      </c>
      <c r="C18" s="26">
        <v>0.98450000000000004</v>
      </c>
      <c r="D18" s="27">
        <v>14928</v>
      </c>
      <c r="E18" s="28">
        <f t="shared" si="1"/>
        <v>15163.026917216861</v>
      </c>
      <c r="F18" s="29">
        <f t="shared" si="2"/>
        <v>0.1845</v>
      </c>
      <c r="G18" s="29">
        <f t="shared" si="3"/>
        <v>0.18</v>
      </c>
      <c r="H18" s="8">
        <f t="shared" si="4"/>
        <v>-7.1999999999999995E-2</v>
      </c>
      <c r="I18" s="31">
        <v>13.27</v>
      </c>
      <c r="J18" s="31">
        <f t="shared" si="5"/>
        <v>198094.56</v>
      </c>
      <c r="K18" s="31">
        <f t="shared" si="6"/>
        <v>-14262.81</v>
      </c>
      <c r="L18" s="19"/>
    </row>
    <row r="19" spans="1:13" x14ac:dyDescent="0.25">
      <c r="A19" s="16"/>
      <c r="B19" s="8" t="s">
        <v>15</v>
      </c>
      <c r="C19" s="26">
        <v>0.97609999999999997</v>
      </c>
      <c r="D19" s="27">
        <v>14196</v>
      </c>
      <c r="E19" s="28">
        <f t="shared" si="1"/>
        <v>14543.591845097839</v>
      </c>
      <c r="F19" s="29">
        <f t="shared" si="2"/>
        <v>0.17609999999999992</v>
      </c>
      <c r="G19" s="29">
        <f t="shared" si="3"/>
        <v>0.17</v>
      </c>
      <c r="H19" s="8">
        <f t="shared" si="4"/>
        <v>-6.8000000000000005E-2</v>
      </c>
      <c r="I19" s="31">
        <v>13.27</v>
      </c>
      <c r="J19" s="31">
        <f t="shared" si="5"/>
        <v>188380.91999999998</v>
      </c>
      <c r="K19" s="31">
        <f t="shared" si="6"/>
        <v>-12809.9</v>
      </c>
      <c r="L19" s="19"/>
    </row>
    <row r="20" spans="1:13" x14ac:dyDescent="0.25">
      <c r="A20" s="16"/>
      <c r="B20" s="8" t="s">
        <v>16</v>
      </c>
      <c r="C20" s="26">
        <v>0.97319999999999995</v>
      </c>
      <c r="D20" s="27">
        <v>13855.2</v>
      </c>
      <c r="E20" s="28">
        <f t="shared" si="1"/>
        <v>14236.744759556104</v>
      </c>
      <c r="F20" s="29">
        <f t="shared" si="2"/>
        <v>0.17319999999999991</v>
      </c>
      <c r="G20" s="29">
        <f t="shared" si="3"/>
        <v>0.17</v>
      </c>
      <c r="H20" s="8">
        <f t="shared" si="4"/>
        <v>-6.8000000000000005E-2</v>
      </c>
      <c r="I20" s="31">
        <v>13.27</v>
      </c>
      <c r="J20" s="31">
        <f t="shared" si="5"/>
        <v>183858.50400000002</v>
      </c>
      <c r="K20" s="31">
        <f t="shared" si="6"/>
        <v>-12502.38</v>
      </c>
      <c r="L20" s="19"/>
    </row>
    <row r="21" spans="1:13" x14ac:dyDescent="0.25">
      <c r="A21" s="16"/>
      <c r="B21" s="8" t="s">
        <v>17</v>
      </c>
      <c r="C21" s="26">
        <v>0.9345</v>
      </c>
      <c r="D21" s="27">
        <v>19144.8</v>
      </c>
      <c r="E21" s="28">
        <f t="shared" si="1"/>
        <v>20486.677367576242</v>
      </c>
      <c r="F21" s="29">
        <f t="shared" si="2"/>
        <v>0.13449999999999995</v>
      </c>
      <c r="G21" s="29">
        <f t="shared" si="3"/>
        <v>0.13</v>
      </c>
      <c r="H21" s="8">
        <f t="shared" si="4"/>
        <v>-5.2000000000000005E-2</v>
      </c>
      <c r="I21" s="31">
        <v>15.59</v>
      </c>
      <c r="J21" s="31">
        <f t="shared" si="5"/>
        <v>298467.43199999997</v>
      </c>
      <c r="K21" s="31">
        <f t="shared" si="6"/>
        <v>-15520.31</v>
      </c>
      <c r="L21" s="19"/>
    </row>
    <row r="22" spans="1:13" ht="18" x14ac:dyDescent="0.4">
      <c r="A22" s="16"/>
      <c r="B22" s="8" t="s">
        <v>18</v>
      </c>
      <c r="C22" s="26">
        <v>0.92789999999999995</v>
      </c>
      <c r="D22" s="32">
        <v>19935.599999999999</v>
      </c>
      <c r="E22" s="33">
        <f t="shared" si="1"/>
        <v>21484.64274167475</v>
      </c>
      <c r="F22" s="29">
        <f t="shared" si="2"/>
        <v>0.1278999999999999</v>
      </c>
      <c r="G22" s="29">
        <f t="shared" si="3"/>
        <v>0.12</v>
      </c>
      <c r="H22" s="30">
        <f t="shared" si="4"/>
        <v>-4.8000000000000001E-2</v>
      </c>
      <c r="I22" s="31">
        <v>15.59</v>
      </c>
      <c r="J22" s="31">
        <f t="shared" si="5"/>
        <v>310796.00399999996</v>
      </c>
      <c r="K22" s="31">
        <f t="shared" si="6"/>
        <v>-14918.21</v>
      </c>
      <c r="L22" s="19"/>
    </row>
    <row r="23" spans="1:13" x14ac:dyDescent="0.25">
      <c r="A23" s="16"/>
      <c r="B23" s="8"/>
      <c r="C23" s="8"/>
      <c r="D23" s="28">
        <f>SUM(D11:D22)</f>
        <v>209955.6</v>
      </c>
      <c r="E23" s="28">
        <f>SUM(E11:E22)</f>
        <v>217870.03949326626</v>
      </c>
      <c r="F23" s="8"/>
      <c r="G23" s="8"/>
      <c r="H23" s="8"/>
      <c r="I23" s="8"/>
      <c r="J23" s="8"/>
      <c r="K23" s="8"/>
      <c r="L23" s="19"/>
    </row>
    <row r="24" spans="1:13" x14ac:dyDescent="0.25">
      <c r="A24" s="34"/>
      <c r="B24" s="35"/>
      <c r="C24" s="36">
        <f>D23/E23</f>
        <v>0.96367357571663326</v>
      </c>
      <c r="D24" s="35" t="s">
        <v>19</v>
      </c>
      <c r="E24" s="35"/>
      <c r="F24" s="35"/>
      <c r="G24" s="35"/>
      <c r="H24" s="35"/>
      <c r="I24" s="35"/>
      <c r="J24" s="35"/>
      <c r="K24" s="35"/>
      <c r="L24" s="37"/>
    </row>
    <row r="25" spans="1:13" x14ac:dyDescent="0.25">
      <c r="A25" s="8"/>
      <c r="B25" s="8"/>
      <c r="C25" s="26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54" x14ac:dyDescent="0.4">
      <c r="A26" s="38" t="str">
        <f>A7</f>
        <v>Customer B</v>
      </c>
      <c r="B26" s="39"/>
      <c r="C26" s="39"/>
      <c r="D26" s="39"/>
      <c r="E26" s="54" t="s">
        <v>44</v>
      </c>
      <c r="F26" s="55" t="s">
        <v>4</v>
      </c>
      <c r="G26" s="54" t="s">
        <v>45</v>
      </c>
      <c r="H26" s="40"/>
      <c r="I26" s="40"/>
      <c r="J26" s="40"/>
      <c r="K26" s="40"/>
      <c r="L26" s="5"/>
    </row>
    <row r="27" spans="1:13" x14ac:dyDescent="0.25">
      <c r="A27" s="41" t="s">
        <v>20</v>
      </c>
      <c r="B27" s="42"/>
      <c r="C27" s="42"/>
      <c r="D27" s="42"/>
      <c r="E27" s="43">
        <f>C24-0.8</f>
        <v>0.16367357571663321</v>
      </c>
      <c r="F27" s="43">
        <f t="shared" ref="F27" si="7">TRUNC(E27,2)</f>
        <v>0.16</v>
      </c>
      <c r="G27" s="44">
        <f t="shared" ref="G27" si="8">F27*0.4*-1</f>
        <v>-6.4000000000000001E-2</v>
      </c>
      <c r="H27" s="44"/>
      <c r="I27" s="44"/>
      <c r="J27" s="44"/>
      <c r="K27" s="44"/>
      <c r="L27" s="19"/>
    </row>
    <row r="28" spans="1:13" x14ac:dyDescent="0.25">
      <c r="A28" s="45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19"/>
    </row>
    <row r="29" spans="1:13" ht="54" x14ac:dyDescent="0.4">
      <c r="A29" s="45"/>
      <c r="B29" s="44"/>
      <c r="C29" s="44"/>
      <c r="D29" s="44"/>
      <c r="E29" s="56" t="s">
        <v>21</v>
      </c>
      <c r="F29" s="56" t="s">
        <v>47</v>
      </c>
      <c r="G29" s="56" t="s">
        <v>48</v>
      </c>
      <c r="H29" s="44"/>
      <c r="I29" s="44"/>
      <c r="J29" s="44"/>
      <c r="K29" s="44"/>
      <c r="L29" s="19"/>
    </row>
    <row r="30" spans="1:13" x14ac:dyDescent="0.25">
      <c r="A30" s="45"/>
      <c r="B30" s="44"/>
      <c r="C30" s="44"/>
      <c r="D30" s="44"/>
      <c r="E30" s="46">
        <v>65966.331701759103</v>
      </c>
      <c r="F30" s="47">
        <v>15.59</v>
      </c>
      <c r="G30" s="60">
        <f>ROUND(E30*F30,0)</f>
        <v>1028415</v>
      </c>
      <c r="H30" s="49" t="s">
        <v>29</v>
      </c>
      <c r="I30" s="44"/>
      <c r="J30" s="44"/>
      <c r="K30" s="44"/>
      <c r="L30" s="19"/>
    </row>
    <row r="31" spans="1:13" x14ac:dyDescent="0.25">
      <c r="A31" s="45"/>
      <c r="B31" s="44"/>
      <c r="C31" s="44"/>
      <c r="D31" s="44"/>
      <c r="E31" s="46">
        <v>119438.97555531966</v>
      </c>
      <c r="F31" s="47">
        <v>13.27</v>
      </c>
      <c r="G31" s="60">
        <f>ROUND(E31*F31,0)</f>
        <v>1584955</v>
      </c>
      <c r="H31" s="49" t="s">
        <v>30</v>
      </c>
      <c r="I31" s="44"/>
      <c r="J31" s="44"/>
      <c r="K31" s="44"/>
      <c r="L31" s="19"/>
    </row>
    <row r="32" spans="1:13" x14ac:dyDescent="0.25">
      <c r="A32" s="45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19"/>
    </row>
    <row r="33" spans="1:12" x14ac:dyDescent="0.25">
      <c r="A33" s="45"/>
      <c r="B33" s="44"/>
      <c r="C33" s="44"/>
      <c r="D33" s="44"/>
      <c r="E33" s="44"/>
      <c r="F33" s="46"/>
      <c r="G33" s="47"/>
      <c r="H33" s="48"/>
      <c r="I33" s="47"/>
      <c r="J33" s="44"/>
      <c r="K33" s="44"/>
      <c r="L33" s="19"/>
    </row>
    <row r="34" spans="1:12" ht="54" x14ac:dyDescent="0.4">
      <c r="A34" s="45"/>
      <c r="B34" s="44"/>
      <c r="C34" s="44"/>
      <c r="D34" s="44"/>
      <c r="E34" s="56" t="str">
        <f>G29</f>
        <v>Forecast Demand Revenues</v>
      </c>
      <c r="F34" s="57" t="s">
        <v>6</v>
      </c>
      <c r="G34" s="58" t="s">
        <v>22</v>
      </c>
      <c r="H34" s="59" t="s">
        <v>27</v>
      </c>
      <c r="I34" s="59" t="s">
        <v>28</v>
      </c>
      <c r="J34" s="44"/>
      <c r="K34" s="44"/>
      <c r="L34" s="19"/>
    </row>
    <row r="35" spans="1:12" x14ac:dyDescent="0.25">
      <c r="A35" s="45"/>
      <c r="B35" s="49" t="s">
        <v>23</v>
      </c>
      <c r="C35" s="44"/>
      <c r="D35" s="44"/>
      <c r="E35" s="61">
        <f>G30</f>
        <v>1028415</v>
      </c>
      <c r="F35" s="50">
        <f>G27</f>
        <v>-6.4000000000000001E-2</v>
      </c>
      <c r="G35" s="61">
        <f>ROUND(E35*F35,0)</f>
        <v>-65819</v>
      </c>
      <c r="H35" s="60">
        <f>G35/4</f>
        <v>-16454.75</v>
      </c>
      <c r="I35" s="51">
        <v>445</v>
      </c>
      <c r="J35" s="44"/>
      <c r="K35" s="44"/>
      <c r="L35" s="19"/>
    </row>
    <row r="36" spans="1:12" ht="18" x14ac:dyDescent="0.4">
      <c r="A36" s="45"/>
      <c r="B36" s="44" t="s">
        <v>24</v>
      </c>
      <c r="C36" s="44"/>
      <c r="D36" s="44"/>
      <c r="E36" s="61">
        <f>G31</f>
        <v>1584955</v>
      </c>
      <c r="F36" s="50">
        <f>G27</f>
        <v>-6.4000000000000001E-2</v>
      </c>
      <c r="G36" s="62">
        <f>ROUND(E36*F36,0)</f>
        <v>-101437</v>
      </c>
      <c r="H36" s="61">
        <f>G36/8</f>
        <v>-12679.625</v>
      </c>
      <c r="I36" s="51">
        <v>445</v>
      </c>
      <c r="J36" s="44"/>
      <c r="K36" s="44"/>
      <c r="L36" s="19"/>
    </row>
    <row r="37" spans="1:12" x14ac:dyDescent="0.25">
      <c r="A37" s="45"/>
      <c r="B37" s="44" t="s">
        <v>25</v>
      </c>
      <c r="C37" s="44"/>
      <c r="D37" s="44"/>
      <c r="E37" s="44"/>
      <c r="F37" s="44"/>
      <c r="G37" s="61">
        <f>G35+G36</f>
        <v>-167256</v>
      </c>
      <c r="H37" s="44"/>
      <c r="I37" s="44"/>
      <c r="J37" s="44"/>
      <c r="K37" s="44"/>
      <c r="L37" s="19"/>
    </row>
    <row r="38" spans="1:12" x14ac:dyDescent="0.25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37"/>
    </row>
  </sheetData>
  <mergeCells count="1">
    <mergeCell ref="C10:D10"/>
  </mergeCells>
  <printOptions horizontalCentered="1"/>
  <pageMargins left="0.7" right="0.7" top="1.25" bottom="0.75" header="0.75" footer="0.3"/>
  <pageSetup scale="65" fitToHeight="2" orientation="landscape" r:id="rId1"/>
  <headerFooter>
    <oddHeader>&amp;R&amp;"Times New Roman,Bold"&amp;12Exhibit CMG-4
Page 1 of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CMG-4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2016-11-21T18:54:06Z</dcterms:created>
  <dcterms:modified xsi:type="dcterms:W3CDTF">2016-11-28T21:07:48Z</dcterms:modified>
</cp:coreProperties>
</file>