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N2016\CNs-00370-00371 - K L 2016 Rate Case\DRs - Post Hearing\LGE\"/>
    </mc:Choice>
  </mc:AlternateContent>
  <bookViews>
    <workbookView xWindow="0" yWindow="0" windowWidth="24000" windowHeight="9135" tabRatio="931" firstSheet="1" activeTab="1"/>
  </bookViews>
  <sheets>
    <sheet name="Control Log" sheetId="74" state="hidden" r:id="rId1"/>
    <sheet name="Class Allocation" sheetId="52" r:id="rId2"/>
    <sheet name="pg 1 Class Allocation" sheetId="11" state="hidden" r:id="rId3"/>
    <sheet name="pg 2 Rev Req" sheetId="18" state="hidden" r:id="rId4"/>
    <sheet name="Rev Req 2017-Distr" sheetId="91" r:id="rId5"/>
    <sheet name="Rev Req 2017-Trans" sheetId="111" r:id="rId6"/>
    <sheet name="ROR" sheetId="8" r:id="rId7"/>
    <sheet name="COS Budget 2017" sheetId="109" state="hidden" r:id="rId8"/>
    <sheet name="Capital Budget 2017" sheetId="110" state="hidden" r:id="rId9"/>
    <sheet name="Cap&amp;OpEx 2017" sheetId="92" r:id="rId10"/>
    <sheet name="201707 Bk Depr" sheetId="99" r:id="rId11"/>
    <sheet name="201708 Bk Depr" sheetId="100" r:id="rId12"/>
    <sheet name="201709 Bk Depr" sheetId="101" r:id="rId13"/>
    <sheet name="201710 Bk Depr" sheetId="102" r:id="rId14"/>
    <sheet name="201711 Bk Depr" sheetId="103" r:id="rId15"/>
    <sheet name="201712 Bk Depr" sheetId="104" r:id="rId16"/>
    <sheet name="Tax Depr 2017" sheetId="108" r:id="rId17"/>
    <sheet name="Leak Capital 2012" sheetId="53" state="hidden" r:id="rId18"/>
    <sheet name="Cap&amp;OpEx 2012" sheetId="19" state="hidden" r:id="rId19"/>
    <sheet name="2013-2016" sheetId="54" state="hidden" r:id="rId20"/>
    <sheet name="pg 3 Cap &amp; OpEx" sheetId="14" state="hidden" r:id="rId21"/>
    <sheet name="pg 5 2012 Bk Depr" sheetId="2" state="hidden" r:id="rId22"/>
    <sheet name="pg 6 2013 Bk Depr" sheetId="4" state="hidden" r:id="rId23"/>
    <sheet name="pg 7 2014 Bk Depr" sheetId="5" state="hidden" r:id="rId24"/>
    <sheet name="pg 8 2015 Bk Depr" sheetId="6" state="hidden" r:id="rId25"/>
    <sheet name="pg 9 2016 Bk Depr" sheetId="7" state="hidden" r:id="rId26"/>
    <sheet name="pg 10 2017 Bk Depr" sheetId="12" state="hidden" r:id="rId27"/>
    <sheet name="pg 11 Tax Depr" sheetId="3" state="hidden" r:id="rId28"/>
  </sheets>
  <externalReferences>
    <externalReference r:id="rId29"/>
  </externalReferences>
  <definedNames>
    <definedName name="_xlnm.Print_Area" localSheetId="10">'201707 Bk Depr'!$A$1:$R$31</definedName>
    <definedName name="_xlnm.Print_Area" localSheetId="11">'201708 Bk Depr'!$A$1:$R$31</definedName>
    <definedName name="_xlnm.Print_Area" localSheetId="12">'201709 Bk Depr'!$A$1:$R$31</definedName>
    <definedName name="_xlnm.Print_Area" localSheetId="13">'201710 Bk Depr'!$A$1:$R$31</definedName>
    <definedName name="_xlnm.Print_Area" localSheetId="14">'201711 Bk Depr'!$A$1:$R$31</definedName>
    <definedName name="_xlnm.Print_Area" localSheetId="15">'201712 Bk Depr'!$A$1:$R$31</definedName>
    <definedName name="_xlnm.Print_Area" localSheetId="18">'Cap&amp;OpEx 2012'!$A$1:$G$27</definedName>
    <definedName name="_xlnm.Print_Area" localSheetId="1">'Class Allocation'!$A$1:$O$51</definedName>
    <definedName name="_xlnm.Print_Area" localSheetId="0">'Control Log'!$A$1:$F$32</definedName>
    <definedName name="_xlnm.Print_Area" localSheetId="2">'pg 1 Class Allocation'!$A$1:$R$44</definedName>
    <definedName name="_xlnm.Print_Area" localSheetId="26">'pg 10 2017 Bk Depr'!$A$1:$R$31</definedName>
    <definedName name="_xlnm.Print_Area" localSheetId="27">'pg 11 Tax Depr'!$A$1:$AD$74</definedName>
    <definedName name="_xlnm.Print_Area" localSheetId="3">'pg 2 Rev Req'!$A$1:$O$43</definedName>
    <definedName name="_xlnm.Print_Area" localSheetId="20">'pg 3 Cap &amp; OpEx'!$A$21:$G$104</definedName>
    <definedName name="_xlnm.Print_Area" localSheetId="21">'pg 5 2012 Bk Depr'!$A$1:$R$33</definedName>
    <definedName name="_xlnm.Print_Area" localSheetId="22">'pg 6 2013 Bk Depr'!$A$1:$R$31</definedName>
    <definedName name="_xlnm.Print_Area" localSheetId="24">'pg 8 2015 Bk Depr'!$A$1:$R$31</definedName>
    <definedName name="_xlnm.Print_Area" localSheetId="25">'pg 9 2016 Bk Depr'!$A$1:$R$31</definedName>
    <definedName name="_xlnm.Print_Area" localSheetId="4">'Rev Req 2017-Distr'!$A$1:$AF$31</definedName>
    <definedName name="_xlnm.Print_Area" localSheetId="5">'Rev Req 2017-Trans'!$A$1:$AE$31</definedName>
    <definedName name="_xlnm.Print_Area" localSheetId="6">ROR!$A$1:$W$17</definedName>
    <definedName name="_xlnm.Print_Area" localSheetId="16">'Tax Depr 2017'!$A$1:$AP$100</definedName>
    <definedName name="_xlnm.Print_Titles" localSheetId="1">'Class Allocation'!$B:$B</definedName>
    <definedName name="_xlnm.Print_Titles" localSheetId="2">'pg 1 Class Allocation'!$B:$B</definedName>
    <definedName name="ReptItemsTableAll">[1]Data!$O$85:$BK$134</definedName>
  </definedNames>
  <calcPr calcId="152511"/>
</workbook>
</file>

<file path=xl/calcChain.xml><?xml version="1.0" encoding="utf-8"?>
<calcChain xmlns="http://schemas.openxmlformats.org/spreadsheetml/2006/main">
  <c r="H22" i="104" l="1"/>
  <c r="H21" i="104"/>
  <c r="H20" i="104"/>
  <c r="H16" i="104"/>
  <c r="H15" i="104"/>
  <c r="H14" i="104"/>
  <c r="H13" i="104"/>
  <c r="H22" i="103"/>
  <c r="H21" i="103"/>
  <c r="H20" i="103"/>
  <c r="H16" i="103"/>
  <c r="H15" i="103"/>
  <c r="H14" i="103"/>
  <c r="H13" i="103"/>
  <c r="H22" i="102"/>
  <c r="H21" i="102"/>
  <c r="H20" i="102"/>
  <c r="H16" i="102"/>
  <c r="H15" i="102"/>
  <c r="H14" i="102"/>
  <c r="H13" i="102"/>
  <c r="H22" i="101"/>
  <c r="H21" i="101"/>
  <c r="H20" i="101"/>
  <c r="H16" i="101"/>
  <c r="H15" i="101"/>
  <c r="H14" i="101"/>
  <c r="H13" i="101"/>
  <c r="H22" i="100"/>
  <c r="H21" i="100"/>
  <c r="H20" i="100"/>
  <c r="H16" i="100"/>
  <c r="H15" i="100"/>
  <c r="H14" i="100"/>
  <c r="H13" i="100"/>
  <c r="H22" i="99"/>
  <c r="H21" i="99"/>
  <c r="H20" i="99"/>
  <c r="H16" i="99"/>
  <c r="H15" i="99"/>
  <c r="H14" i="99"/>
  <c r="H13" i="99"/>
  <c r="C41" i="52" l="1"/>
  <c r="I46" i="52" l="1"/>
  <c r="C28" i="52" l="1"/>
  <c r="C25" i="52"/>
  <c r="C12" i="52" l="1"/>
  <c r="C43" i="52" s="1"/>
  <c r="C11" i="52"/>
  <c r="C26" i="52" l="1"/>
  <c r="C42" i="52"/>
  <c r="C27" i="52"/>
  <c r="C11" i="92"/>
  <c r="C46" i="52" l="1"/>
  <c r="E44" i="52" l="1"/>
  <c r="G44" i="52" s="1"/>
  <c r="E45" i="52"/>
  <c r="G45" i="52" s="1"/>
  <c r="E41" i="52"/>
  <c r="E42" i="52"/>
  <c r="E43" i="52"/>
  <c r="R13" i="108"/>
  <c r="R12" i="108"/>
  <c r="R60" i="108" s="1"/>
  <c r="AE16" i="111"/>
  <c r="AE13" i="111"/>
  <c r="AE12" i="111"/>
  <c r="G41" i="52" l="1"/>
  <c r="E46" i="52"/>
  <c r="G42" i="52"/>
  <c r="G43" i="52"/>
  <c r="AC27" i="91"/>
  <c r="AA27" i="91"/>
  <c r="Y27" i="91"/>
  <c r="W27" i="91"/>
  <c r="U27" i="91"/>
  <c r="S27" i="91"/>
  <c r="K43" i="52" l="1"/>
  <c r="M12" i="52" s="1"/>
  <c r="K42" i="52"/>
  <c r="M11" i="52" s="1"/>
  <c r="K41" i="52"/>
  <c r="M10" i="52" s="1"/>
  <c r="Z72" i="3"/>
  <c r="AB72" i="3" s="1"/>
  <c r="AD72" i="3" s="1"/>
  <c r="Z71" i="3"/>
  <c r="AB71" i="3" s="1"/>
  <c r="AD71" i="3" s="1"/>
  <c r="Z70" i="3"/>
  <c r="AB70" i="3" s="1"/>
  <c r="AD70" i="3" s="1"/>
  <c r="Z69" i="3"/>
  <c r="AB69" i="3" s="1"/>
  <c r="AD69" i="3" s="1"/>
  <c r="Z68" i="3"/>
  <c r="AB68" i="3" s="1"/>
  <c r="AD68" i="3" s="1"/>
  <c r="Z67" i="3"/>
  <c r="AB67" i="3" s="1"/>
  <c r="AD67" i="3" s="1"/>
  <c r="Z66" i="3"/>
  <c r="AB66" i="3" s="1"/>
  <c r="AD66" i="3" s="1"/>
  <c r="Z65" i="3"/>
  <c r="AB65" i="3" s="1"/>
  <c r="AD65" i="3" s="1"/>
  <c r="Z64" i="3"/>
  <c r="AB64" i="3" s="1"/>
  <c r="AD64" i="3" s="1"/>
  <c r="Z63" i="3"/>
  <c r="AB63" i="3" s="1"/>
  <c r="AD63" i="3" s="1"/>
  <c r="Z62" i="3"/>
  <c r="AB62" i="3" s="1"/>
  <c r="AD62" i="3" s="1"/>
  <c r="Z61" i="3"/>
  <c r="AB61" i="3" s="1"/>
  <c r="AD61" i="3" s="1"/>
  <c r="Z60" i="3"/>
  <c r="AB60" i="3" s="1"/>
  <c r="AD60" i="3" s="1"/>
  <c r="Z59" i="3"/>
  <c r="AB59" i="3" s="1"/>
  <c r="AD59" i="3" s="1"/>
  <c r="Z58" i="3"/>
  <c r="AB58" i="3" s="1"/>
  <c r="AD58" i="3" s="1"/>
  <c r="Z57" i="3"/>
  <c r="AB57" i="3" s="1"/>
  <c r="AD57" i="3" s="1"/>
  <c r="Z56" i="3"/>
  <c r="AB56" i="3" s="1"/>
  <c r="AD56" i="3" s="1"/>
  <c r="Z55" i="3"/>
  <c r="AB55" i="3" s="1"/>
  <c r="AD55" i="3" s="1"/>
  <c r="Z54" i="3"/>
  <c r="AB54" i="3" s="1"/>
  <c r="AD54" i="3" s="1"/>
  <c r="Z53" i="3"/>
  <c r="AB53" i="3" s="1"/>
  <c r="AD53" i="3" s="1"/>
  <c r="Z52" i="3"/>
  <c r="AB52" i="3" s="1"/>
  <c r="AD52" i="3" s="1"/>
  <c r="Z51" i="3"/>
  <c r="AB51" i="3" s="1"/>
  <c r="AD51" i="3" s="1"/>
  <c r="Z50" i="3"/>
  <c r="AB50" i="3" s="1"/>
  <c r="AD50" i="3" s="1"/>
  <c r="Z49" i="3"/>
  <c r="AB49" i="3" s="1"/>
  <c r="AD49" i="3" s="1"/>
  <c r="Z48" i="3"/>
  <c r="AB48" i="3" s="1"/>
  <c r="AD48" i="3" s="1"/>
  <c r="Z47" i="3"/>
  <c r="AB47" i="3" s="1"/>
  <c r="AD47" i="3" s="1"/>
  <c r="Z46" i="3"/>
  <c r="AB46" i="3" s="1"/>
  <c r="AD46" i="3" s="1"/>
  <c r="Z45" i="3"/>
  <c r="AB45" i="3" s="1"/>
  <c r="AD45" i="3" s="1"/>
  <c r="Z44" i="3"/>
  <c r="AB44" i="3" s="1"/>
  <c r="AD44" i="3" s="1"/>
  <c r="Z43" i="3"/>
  <c r="AB43" i="3" s="1"/>
  <c r="AD43" i="3" s="1"/>
  <c r="Z42" i="3"/>
  <c r="AB42" i="3" s="1"/>
  <c r="AD42" i="3" s="1"/>
  <c r="T42" i="3"/>
  <c r="Z41" i="3"/>
  <c r="AB41" i="3" s="1"/>
  <c r="AD41" i="3" s="1"/>
  <c r="Z40" i="3"/>
  <c r="AB40" i="3" s="1"/>
  <c r="AD40" i="3" s="1"/>
  <c r="Z39" i="3"/>
  <c r="AB39" i="3" s="1"/>
  <c r="AD39" i="3" s="1"/>
  <c r="Z38" i="3"/>
  <c r="AB38" i="3" s="1"/>
  <c r="AD38" i="3" s="1"/>
  <c r="Z37" i="3"/>
  <c r="AB37" i="3" s="1"/>
  <c r="AD37" i="3" s="1"/>
  <c r="Z36" i="3"/>
  <c r="AB36" i="3" s="1"/>
  <c r="AD36" i="3" s="1"/>
  <c r="Z35" i="3"/>
  <c r="AB35" i="3" s="1"/>
  <c r="AD35" i="3" s="1"/>
  <c r="Z34" i="3"/>
  <c r="AB34" i="3" s="1"/>
  <c r="AD34" i="3" s="1"/>
  <c r="Z33" i="3"/>
  <c r="AB33" i="3" s="1"/>
  <c r="AD33" i="3" s="1"/>
  <c r="Z32" i="3"/>
  <c r="AB32" i="3" s="1"/>
  <c r="AD32" i="3" s="1"/>
  <c r="Z31" i="3"/>
  <c r="AB31" i="3" s="1"/>
  <c r="AD31" i="3" s="1"/>
  <c r="Z30" i="3"/>
  <c r="AB30" i="3" s="1"/>
  <c r="AD30" i="3" s="1"/>
  <c r="Z29" i="3"/>
  <c r="AB29" i="3" s="1"/>
  <c r="AD29" i="3" s="1"/>
  <c r="Z28" i="3"/>
  <c r="AB28" i="3" s="1"/>
  <c r="AD28" i="3" s="1"/>
  <c r="Z27" i="3"/>
  <c r="AB27" i="3" s="1"/>
  <c r="AD27" i="3" s="1"/>
  <c r="Z26" i="3"/>
  <c r="AB26" i="3" s="1"/>
  <c r="AD26" i="3" s="1"/>
  <c r="Z25" i="3"/>
  <c r="AB25" i="3" s="1"/>
  <c r="AD25" i="3" s="1"/>
  <c r="Z24" i="3"/>
  <c r="AB24" i="3" s="1"/>
  <c r="AD24" i="3" s="1"/>
  <c r="Z23" i="3"/>
  <c r="AB23" i="3" s="1"/>
  <c r="AD23" i="3" s="1"/>
  <c r="Z22" i="3"/>
  <c r="AB22" i="3" s="1"/>
  <c r="AD22" i="3" s="1"/>
  <c r="X18" i="3"/>
  <c r="Z18" i="3" s="1"/>
  <c r="AB18" i="3" s="1"/>
  <c r="AD18" i="3" s="1"/>
  <c r="I16" i="18" s="1"/>
  <c r="V18" i="3"/>
  <c r="X17" i="3"/>
  <c r="V17" i="3"/>
  <c r="AJ13" i="3"/>
  <c r="R12" i="3" s="1"/>
  <c r="AJ12" i="3"/>
  <c r="P12" i="3" s="1"/>
  <c r="L12" i="3"/>
  <c r="L11" i="3" s="1"/>
  <c r="AH11" i="3"/>
  <c r="AJ11" i="3" s="1"/>
  <c r="N12" i="3" s="1"/>
  <c r="AI10" i="3"/>
  <c r="AH10" i="3"/>
  <c r="AJ10" i="3" s="1"/>
  <c r="AH9" i="3"/>
  <c r="AJ9" i="3" s="1"/>
  <c r="J12" i="3" s="1"/>
  <c r="AH8" i="3"/>
  <c r="AJ8" i="3" s="1"/>
  <c r="H12" i="3" s="1"/>
  <c r="P31" i="12"/>
  <c r="N31" i="12"/>
  <c r="J31" i="12"/>
  <c r="L30" i="12"/>
  <c r="L29" i="12"/>
  <c r="L28" i="12"/>
  <c r="L22" i="12"/>
  <c r="P22" i="12" s="1"/>
  <c r="L21" i="12"/>
  <c r="L20" i="12"/>
  <c r="P20" i="12" s="1"/>
  <c r="L16" i="12"/>
  <c r="P16" i="12" s="1"/>
  <c r="L15" i="12"/>
  <c r="L14" i="12"/>
  <c r="P14" i="12" s="1"/>
  <c r="L13" i="12"/>
  <c r="P31" i="7"/>
  <c r="N31" i="7"/>
  <c r="J31" i="7"/>
  <c r="L30" i="7"/>
  <c r="L29" i="7"/>
  <c r="L28" i="7"/>
  <c r="L22" i="7"/>
  <c r="L21" i="7"/>
  <c r="N21" i="7" s="1"/>
  <c r="L20" i="7"/>
  <c r="N20" i="7" s="1"/>
  <c r="L16" i="7"/>
  <c r="N16" i="7" s="1"/>
  <c r="L15" i="7"/>
  <c r="N15" i="7" s="1"/>
  <c r="L14" i="7"/>
  <c r="L13" i="7"/>
  <c r="N13" i="7" s="1"/>
  <c r="P31" i="6"/>
  <c r="N31" i="6"/>
  <c r="J31" i="6"/>
  <c r="L30" i="6"/>
  <c r="L29" i="6"/>
  <c r="L28" i="6"/>
  <c r="L22" i="6"/>
  <c r="L21" i="6"/>
  <c r="N21" i="6" s="1"/>
  <c r="L20" i="6"/>
  <c r="L16" i="6"/>
  <c r="L15" i="6"/>
  <c r="P15" i="6" s="1"/>
  <c r="L14" i="6"/>
  <c r="L13" i="6"/>
  <c r="P13" i="6" s="1"/>
  <c r="P31" i="5"/>
  <c r="N31" i="5"/>
  <c r="J31" i="5"/>
  <c r="L30" i="5"/>
  <c r="L29" i="5"/>
  <c r="L28" i="5"/>
  <c r="L22" i="5"/>
  <c r="N22" i="5" s="1"/>
  <c r="L21" i="5"/>
  <c r="L20" i="5"/>
  <c r="N20" i="5" s="1"/>
  <c r="L16" i="5"/>
  <c r="N16" i="5" s="1"/>
  <c r="L15" i="5"/>
  <c r="L14" i="5"/>
  <c r="N14" i="5" s="1"/>
  <c r="L13" i="5"/>
  <c r="N13" i="5" s="1"/>
  <c r="P31" i="4"/>
  <c r="N31" i="4"/>
  <c r="J31" i="4"/>
  <c r="L30" i="4"/>
  <c r="L29" i="4"/>
  <c r="L28" i="4"/>
  <c r="L22" i="4"/>
  <c r="P22" i="4" s="1"/>
  <c r="L21" i="4"/>
  <c r="L20" i="4"/>
  <c r="P20" i="4" s="1"/>
  <c r="L16" i="4"/>
  <c r="P16" i="4" s="1"/>
  <c r="L15" i="4"/>
  <c r="P15" i="4" s="1"/>
  <c r="L14" i="4"/>
  <c r="P14" i="4" s="1"/>
  <c r="L13" i="4"/>
  <c r="P13" i="4" s="1"/>
  <c r="P31" i="2"/>
  <c r="N31" i="2"/>
  <c r="J31" i="2"/>
  <c r="F31" i="2"/>
  <c r="L30" i="2"/>
  <c r="R30" i="2" s="1"/>
  <c r="F30" i="4" s="1"/>
  <c r="L29" i="2"/>
  <c r="R29" i="2" s="1"/>
  <c r="F29" i="4" s="1"/>
  <c r="L28" i="2"/>
  <c r="F23" i="2"/>
  <c r="L22" i="2"/>
  <c r="P22" i="2" s="1"/>
  <c r="J22" i="2"/>
  <c r="L21" i="2"/>
  <c r="J21" i="2"/>
  <c r="L20" i="2"/>
  <c r="R20" i="2" s="1"/>
  <c r="J20" i="2"/>
  <c r="J23" i="2" s="1"/>
  <c r="F17" i="2"/>
  <c r="F25" i="2" s="1"/>
  <c r="L16" i="2"/>
  <c r="J16" i="2"/>
  <c r="L15" i="2"/>
  <c r="N15" i="2" s="1"/>
  <c r="J15" i="2"/>
  <c r="L14" i="2"/>
  <c r="N14" i="2" s="1"/>
  <c r="J14" i="2"/>
  <c r="L13" i="2"/>
  <c r="P13" i="2" s="1"/>
  <c r="J13" i="2"/>
  <c r="G104" i="14"/>
  <c r="F104" i="14"/>
  <c r="M26" i="18" s="1"/>
  <c r="E104" i="14"/>
  <c r="K26" i="18" s="1"/>
  <c r="D104" i="14"/>
  <c r="I26" i="18" s="1"/>
  <c r="C104" i="14"/>
  <c r="B104" i="14"/>
  <c r="E26" i="18" s="1"/>
  <c r="G98" i="14"/>
  <c r="F98" i="14"/>
  <c r="E98" i="14"/>
  <c r="D98" i="14"/>
  <c r="C98" i="14"/>
  <c r="B98" i="14"/>
  <c r="U52" i="14"/>
  <c r="T52" i="14"/>
  <c r="S52" i="14"/>
  <c r="R52" i="14"/>
  <c r="X46" i="14"/>
  <c r="X47" i="14" s="1"/>
  <c r="X48" i="14" s="1"/>
  <c r="X49" i="14" s="1"/>
  <c r="X50" i="14" s="1"/>
  <c r="X51" i="14" s="1"/>
  <c r="W46" i="14"/>
  <c r="V46" i="14"/>
  <c r="V47" i="14" s="1"/>
  <c r="U39" i="14"/>
  <c r="G37" i="14"/>
  <c r="F37" i="14"/>
  <c r="E37" i="14"/>
  <c r="D37" i="14"/>
  <c r="C37" i="14"/>
  <c r="B37" i="14"/>
  <c r="U20" i="14"/>
  <c r="T20" i="14"/>
  <c r="S20" i="14"/>
  <c r="R20" i="14"/>
  <c r="Q20" i="14"/>
  <c r="P20" i="14"/>
  <c r="O20" i="14"/>
  <c r="N20" i="14"/>
  <c r="M20" i="14"/>
  <c r="L20" i="14"/>
  <c r="K20" i="14"/>
  <c r="X14" i="14"/>
  <c r="W14" i="14"/>
  <c r="W15" i="14" s="1"/>
  <c r="V14" i="14"/>
  <c r="P100" i="54"/>
  <c r="P99" i="54"/>
  <c r="P98" i="54"/>
  <c r="P97" i="54"/>
  <c r="P93" i="54"/>
  <c r="P94" i="54" s="1"/>
  <c r="P92" i="54"/>
  <c r="P91" i="54"/>
  <c r="P90" i="54"/>
  <c r="O87" i="54"/>
  <c r="N87" i="54"/>
  <c r="M87" i="54"/>
  <c r="L87" i="54"/>
  <c r="K87" i="54"/>
  <c r="J87" i="54"/>
  <c r="I87" i="54"/>
  <c r="H87" i="54"/>
  <c r="G87" i="54"/>
  <c r="F87" i="54"/>
  <c r="E87" i="54"/>
  <c r="D87" i="54"/>
  <c r="P86" i="54"/>
  <c r="O85" i="54"/>
  <c r="N85" i="54"/>
  <c r="M85" i="54"/>
  <c r="L85" i="54"/>
  <c r="K85" i="54"/>
  <c r="J85" i="54"/>
  <c r="I85" i="54"/>
  <c r="H85" i="54"/>
  <c r="G85" i="54"/>
  <c r="F85" i="54"/>
  <c r="E85" i="54"/>
  <c r="D85" i="54"/>
  <c r="O84" i="54"/>
  <c r="N84" i="54"/>
  <c r="M84" i="54"/>
  <c r="L84" i="54"/>
  <c r="K84" i="54"/>
  <c r="J84" i="54"/>
  <c r="I84" i="54"/>
  <c r="H84" i="54"/>
  <c r="G84" i="54"/>
  <c r="F84" i="54"/>
  <c r="E84" i="54"/>
  <c r="D84" i="54"/>
  <c r="P77" i="54"/>
  <c r="D75" i="54"/>
  <c r="O74" i="54"/>
  <c r="N74" i="54"/>
  <c r="M74" i="54"/>
  <c r="L74" i="54"/>
  <c r="K74" i="54"/>
  <c r="J74" i="54"/>
  <c r="I74" i="54"/>
  <c r="H74" i="54"/>
  <c r="G74" i="54"/>
  <c r="F74" i="54"/>
  <c r="E74" i="54"/>
  <c r="D74" i="54"/>
  <c r="D73" i="54"/>
  <c r="D58" i="54" s="1"/>
  <c r="P70" i="54"/>
  <c r="O67" i="54"/>
  <c r="N67" i="54"/>
  <c r="M67" i="54"/>
  <c r="L67" i="54"/>
  <c r="L59" i="54" s="1"/>
  <c r="K67" i="54"/>
  <c r="J67" i="54"/>
  <c r="I67" i="54"/>
  <c r="I59" i="54" s="1"/>
  <c r="H67" i="54"/>
  <c r="G67" i="54"/>
  <c r="F67" i="54"/>
  <c r="E67" i="54"/>
  <c r="D67" i="54"/>
  <c r="P61" i="54"/>
  <c r="O61" i="54"/>
  <c r="N61" i="54"/>
  <c r="M61" i="54"/>
  <c r="L61" i="54"/>
  <c r="K61" i="54"/>
  <c r="J61" i="54"/>
  <c r="I61" i="54"/>
  <c r="H61" i="54"/>
  <c r="G61" i="54"/>
  <c r="F61" i="54"/>
  <c r="E61" i="54"/>
  <c r="D61" i="54"/>
  <c r="P60" i="54"/>
  <c r="O60" i="54"/>
  <c r="N60" i="54"/>
  <c r="M60" i="54"/>
  <c r="L60" i="54"/>
  <c r="K60" i="54"/>
  <c r="J60" i="54"/>
  <c r="I60" i="54"/>
  <c r="H60" i="54"/>
  <c r="G60" i="54"/>
  <c r="F60" i="54"/>
  <c r="E60" i="54"/>
  <c r="D60" i="54"/>
  <c r="P59" i="54"/>
  <c r="N59" i="54"/>
  <c r="M59" i="54"/>
  <c r="J59" i="54"/>
  <c r="H59" i="54"/>
  <c r="D59" i="54"/>
  <c r="P58" i="54"/>
  <c r="O58" i="54"/>
  <c r="N58" i="54"/>
  <c r="M58" i="54"/>
  <c r="L58" i="54"/>
  <c r="K58" i="54"/>
  <c r="J58" i="54"/>
  <c r="J63" i="54" s="1"/>
  <c r="I58" i="54"/>
  <c r="H58" i="54"/>
  <c r="H63" i="54" s="1"/>
  <c r="G58" i="54"/>
  <c r="F58" i="54"/>
  <c r="E58" i="54"/>
  <c r="P51" i="54"/>
  <c r="O51" i="54"/>
  <c r="N51" i="54"/>
  <c r="M51" i="54"/>
  <c r="L51" i="54"/>
  <c r="K51" i="54"/>
  <c r="J51" i="54"/>
  <c r="I51" i="54"/>
  <c r="H51" i="54"/>
  <c r="G51" i="54"/>
  <c r="F51" i="54"/>
  <c r="E51" i="54"/>
  <c r="D50" i="54"/>
  <c r="D49" i="54"/>
  <c r="P44" i="54"/>
  <c r="O44" i="54"/>
  <c r="N44" i="54"/>
  <c r="M44" i="54"/>
  <c r="L44" i="54"/>
  <c r="K44" i="54"/>
  <c r="J44" i="54"/>
  <c r="I44" i="54"/>
  <c r="H44" i="54"/>
  <c r="G44" i="54"/>
  <c r="F44" i="54"/>
  <c r="E44" i="54"/>
  <c r="D43" i="54"/>
  <c r="D42" i="54"/>
  <c r="P34" i="54"/>
  <c r="O34" i="54"/>
  <c r="N34" i="54"/>
  <c r="M34" i="54"/>
  <c r="L34" i="54"/>
  <c r="K34" i="54"/>
  <c r="J34" i="54"/>
  <c r="I34" i="54"/>
  <c r="H34" i="54"/>
  <c r="G34" i="54"/>
  <c r="F34" i="54"/>
  <c r="E34" i="54"/>
  <c r="P33" i="54"/>
  <c r="O33" i="54"/>
  <c r="N33" i="54"/>
  <c r="M33" i="54"/>
  <c r="L33" i="54"/>
  <c r="K33" i="54"/>
  <c r="J33" i="54"/>
  <c r="I33" i="54"/>
  <c r="H33" i="54"/>
  <c r="G33" i="54"/>
  <c r="F33" i="54"/>
  <c r="E33" i="54"/>
  <c r="P32" i="54"/>
  <c r="O32" i="54"/>
  <c r="N32" i="54"/>
  <c r="M32" i="54"/>
  <c r="L32" i="54"/>
  <c r="K32" i="54"/>
  <c r="J32" i="54"/>
  <c r="I32" i="54"/>
  <c r="H32" i="54"/>
  <c r="G32" i="54"/>
  <c r="F32" i="54"/>
  <c r="E32" i="54"/>
  <c r="D32" i="54"/>
  <c r="P31" i="54"/>
  <c r="O31" i="54"/>
  <c r="O36" i="54" s="1"/>
  <c r="N31" i="54"/>
  <c r="M31" i="54"/>
  <c r="L31" i="54"/>
  <c r="K31" i="54"/>
  <c r="K36" i="54" s="1"/>
  <c r="J31" i="54"/>
  <c r="I31" i="54"/>
  <c r="H31" i="54"/>
  <c r="G31" i="54"/>
  <c r="G36" i="54" s="1"/>
  <c r="F31" i="54"/>
  <c r="E31" i="54"/>
  <c r="D31" i="54"/>
  <c r="O23" i="54"/>
  <c r="N23" i="54"/>
  <c r="M23" i="54"/>
  <c r="L23" i="54"/>
  <c r="K23" i="54"/>
  <c r="J23" i="54"/>
  <c r="I23" i="54"/>
  <c r="H23" i="54"/>
  <c r="G23" i="54"/>
  <c r="F23" i="54"/>
  <c r="E23" i="54"/>
  <c r="D23" i="54"/>
  <c r="O22" i="54"/>
  <c r="N22" i="54"/>
  <c r="M22" i="54"/>
  <c r="L22" i="54"/>
  <c r="K22" i="54"/>
  <c r="J22" i="54"/>
  <c r="I22" i="54"/>
  <c r="H22" i="54"/>
  <c r="G22" i="54"/>
  <c r="F22" i="54"/>
  <c r="E22" i="54"/>
  <c r="D22" i="54"/>
  <c r="O21" i="54"/>
  <c r="N21" i="54"/>
  <c r="M21" i="54"/>
  <c r="L21" i="54"/>
  <c r="K21" i="54"/>
  <c r="J21" i="54"/>
  <c r="I21" i="54"/>
  <c r="H21" i="54"/>
  <c r="G21" i="54"/>
  <c r="F21" i="54"/>
  <c r="E21" i="54"/>
  <c r="D21" i="54"/>
  <c r="O20" i="54"/>
  <c r="O24" i="54" s="1"/>
  <c r="N20" i="54"/>
  <c r="M20" i="54"/>
  <c r="M24" i="54" s="1"/>
  <c r="L20" i="54"/>
  <c r="L24" i="54" s="1"/>
  <c r="K20" i="54"/>
  <c r="K24" i="54" s="1"/>
  <c r="J20" i="54"/>
  <c r="J24" i="54" s="1"/>
  <c r="I20" i="54"/>
  <c r="I24" i="54" s="1"/>
  <c r="H20" i="54"/>
  <c r="H24" i="54" s="1"/>
  <c r="G20" i="54"/>
  <c r="G24" i="54" s="1"/>
  <c r="F20" i="54"/>
  <c r="F24" i="54" s="1"/>
  <c r="E20" i="54"/>
  <c r="E24" i="54" s="1"/>
  <c r="D20" i="54"/>
  <c r="D24" i="54" s="1"/>
  <c r="P17" i="54"/>
  <c r="O17" i="54"/>
  <c r="N17" i="54"/>
  <c r="M17" i="54"/>
  <c r="L17" i="54"/>
  <c r="K17" i="54"/>
  <c r="J17" i="54"/>
  <c r="I17" i="54"/>
  <c r="H17" i="54"/>
  <c r="G17" i="54"/>
  <c r="F17" i="54"/>
  <c r="E17" i="54"/>
  <c r="D17" i="54"/>
  <c r="O12" i="54"/>
  <c r="N12" i="54"/>
  <c r="M12" i="54"/>
  <c r="L12" i="54"/>
  <c r="K12" i="54"/>
  <c r="J12" i="54"/>
  <c r="I12" i="54"/>
  <c r="H12" i="54"/>
  <c r="G12" i="54"/>
  <c r="F12" i="54"/>
  <c r="E12" i="54"/>
  <c r="D12" i="54"/>
  <c r="P9" i="54"/>
  <c r="O9" i="54"/>
  <c r="N9" i="54"/>
  <c r="M9" i="54"/>
  <c r="L9" i="54"/>
  <c r="K9" i="54"/>
  <c r="J9" i="54"/>
  <c r="I9" i="54"/>
  <c r="H9" i="54"/>
  <c r="G9" i="54"/>
  <c r="F9" i="54"/>
  <c r="E9" i="54"/>
  <c r="D9" i="54"/>
  <c r="B27" i="19"/>
  <c r="K26" i="19"/>
  <c r="J26" i="19"/>
  <c r="I26" i="19"/>
  <c r="H26" i="19"/>
  <c r="G26" i="19"/>
  <c r="F26" i="19"/>
  <c r="E26" i="19"/>
  <c r="D26" i="19"/>
  <c r="C26" i="19"/>
  <c r="K25" i="19"/>
  <c r="J25" i="19"/>
  <c r="I25" i="19"/>
  <c r="H25" i="19"/>
  <c r="G25" i="19"/>
  <c r="F25" i="19"/>
  <c r="E25" i="19"/>
  <c r="D25" i="19"/>
  <c r="C25" i="19"/>
  <c r="K24" i="19"/>
  <c r="J24" i="19"/>
  <c r="I24" i="19"/>
  <c r="H24" i="19"/>
  <c r="G24" i="19"/>
  <c r="F24" i="19"/>
  <c r="E24" i="19"/>
  <c r="D24" i="19"/>
  <c r="C24" i="19"/>
  <c r="M23" i="19"/>
  <c r="M22" i="19"/>
  <c r="B21" i="19"/>
  <c r="K20" i="19"/>
  <c r="J20" i="19"/>
  <c r="I20" i="19"/>
  <c r="H20" i="19"/>
  <c r="G20" i="19"/>
  <c r="F20" i="19"/>
  <c r="E20" i="19"/>
  <c r="D20" i="19"/>
  <c r="C20" i="19"/>
  <c r="K19" i="19"/>
  <c r="J19" i="19"/>
  <c r="I19" i="19"/>
  <c r="H19" i="19"/>
  <c r="G19" i="19"/>
  <c r="F19" i="19"/>
  <c r="E19" i="19"/>
  <c r="D19" i="19"/>
  <c r="C19" i="19"/>
  <c r="K18" i="19"/>
  <c r="J18" i="19"/>
  <c r="I18" i="19"/>
  <c r="H18" i="19"/>
  <c r="G18" i="19"/>
  <c r="F18" i="19"/>
  <c r="E18" i="19"/>
  <c r="D18" i="19"/>
  <c r="C18" i="19"/>
  <c r="M17" i="19"/>
  <c r="B16" i="19"/>
  <c r="K15" i="19"/>
  <c r="J15" i="19"/>
  <c r="I15" i="19"/>
  <c r="H15" i="19"/>
  <c r="G15" i="19"/>
  <c r="F15" i="19"/>
  <c r="E15" i="19"/>
  <c r="D15" i="19"/>
  <c r="C15" i="19"/>
  <c r="K14" i="19"/>
  <c r="J14" i="19"/>
  <c r="I14" i="19"/>
  <c r="H14" i="19"/>
  <c r="G14" i="19"/>
  <c r="F14" i="19"/>
  <c r="E14" i="19"/>
  <c r="D14" i="19"/>
  <c r="C14" i="19"/>
  <c r="K13" i="19"/>
  <c r="J13" i="19"/>
  <c r="I13" i="19"/>
  <c r="H13" i="19"/>
  <c r="G13" i="19"/>
  <c r="F13" i="19"/>
  <c r="E13" i="19"/>
  <c r="D13" i="19"/>
  <c r="C13" i="19"/>
  <c r="K12" i="19"/>
  <c r="J12" i="19"/>
  <c r="I12" i="19"/>
  <c r="H12" i="19"/>
  <c r="G12" i="19"/>
  <c r="F12" i="19"/>
  <c r="E12" i="19"/>
  <c r="D12" i="19"/>
  <c r="C12" i="19"/>
  <c r="K11" i="19"/>
  <c r="J11" i="19"/>
  <c r="I11" i="19"/>
  <c r="H11" i="19"/>
  <c r="G11" i="19"/>
  <c r="F11" i="19"/>
  <c r="E11" i="19"/>
  <c r="D11" i="19"/>
  <c r="C11" i="19"/>
  <c r="K10" i="19"/>
  <c r="J10" i="19"/>
  <c r="I10" i="19"/>
  <c r="H10" i="19"/>
  <c r="G10" i="19"/>
  <c r="F10" i="19"/>
  <c r="E10" i="19"/>
  <c r="D10" i="19"/>
  <c r="C10" i="19"/>
  <c r="K9" i="19"/>
  <c r="J9" i="19"/>
  <c r="I9" i="19"/>
  <c r="H9" i="19"/>
  <c r="G9" i="19"/>
  <c r="F9" i="19"/>
  <c r="E9" i="19"/>
  <c r="D9" i="19"/>
  <c r="C9" i="19"/>
  <c r="L23" i="53"/>
  <c r="K23" i="53"/>
  <c r="J23" i="53"/>
  <c r="I23" i="53"/>
  <c r="H23" i="53"/>
  <c r="G23" i="53"/>
  <c r="F23" i="53"/>
  <c r="E23" i="53"/>
  <c r="D23" i="53"/>
  <c r="L22" i="53"/>
  <c r="K22" i="53"/>
  <c r="J22" i="53"/>
  <c r="I22" i="53"/>
  <c r="H22" i="53"/>
  <c r="G22" i="53"/>
  <c r="F22" i="53"/>
  <c r="E22" i="53"/>
  <c r="D22" i="53"/>
  <c r="L21" i="53"/>
  <c r="K21" i="53"/>
  <c r="J21" i="53"/>
  <c r="I21" i="53"/>
  <c r="H21" i="53"/>
  <c r="G21" i="53"/>
  <c r="F21" i="53"/>
  <c r="E21" i="53"/>
  <c r="D21" i="53"/>
  <c r="L20" i="53"/>
  <c r="K20" i="53"/>
  <c r="J20" i="53"/>
  <c r="I20" i="53"/>
  <c r="H20" i="53"/>
  <c r="G20" i="53"/>
  <c r="F20" i="53"/>
  <c r="E20" i="53"/>
  <c r="D20" i="53"/>
  <c r="L17" i="53"/>
  <c r="K17" i="53"/>
  <c r="J17" i="53"/>
  <c r="I17" i="53"/>
  <c r="H17" i="53"/>
  <c r="G17" i="53"/>
  <c r="F17" i="53"/>
  <c r="E17" i="53"/>
  <c r="D17" i="53"/>
  <c r="M16" i="53"/>
  <c r="M15" i="53"/>
  <c r="M14" i="53"/>
  <c r="M13" i="53"/>
  <c r="L9" i="53"/>
  <c r="K9" i="53"/>
  <c r="J9" i="53"/>
  <c r="I9" i="53"/>
  <c r="H9" i="53"/>
  <c r="G9" i="53"/>
  <c r="F9" i="53"/>
  <c r="E9" i="53"/>
  <c r="D9" i="53"/>
  <c r="M7" i="53"/>
  <c r="M6" i="53"/>
  <c r="M5" i="53"/>
  <c r="M4" i="53"/>
  <c r="P92" i="108"/>
  <c r="N92" i="108"/>
  <c r="L92" i="108"/>
  <c r="J92" i="108"/>
  <c r="H92" i="108"/>
  <c r="Z91" i="108"/>
  <c r="AB91" i="108" s="1"/>
  <c r="AJ91" i="108" s="1"/>
  <c r="Z90" i="108"/>
  <c r="AB90" i="108" s="1"/>
  <c r="AJ90" i="108" s="1"/>
  <c r="Z89" i="108"/>
  <c r="AB89" i="108" s="1"/>
  <c r="AJ89" i="108" s="1"/>
  <c r="Z88" i="108"/>
  <c r="AB88" i="108" s="1"/>
  <c r="AJ88" i="108" s="1"/>
  <c r="Z87" i="108"/>
  <c r="AB87" i="108" s="1"/>
  <c r="AJ87" i="108" s="1"/>
  <c r="Z86" i="108"/>
  <c r="AB86" i="108" s="1"/>
  <c r="AJ86" i="108" s="1"/>
  <c r="Z85" i="108"/>
  <c r="AB85" i="108" s="1"/>
  <c r="AJ85" i="108" s="1"/>
  <c r="Z84" i="108"/>
  <c r="AB84" i="108" s="1"/>
  <c r="AJ84" i="108" s="1"/>
  <c r="Z83" i="108"/>
  <c r="AB83" i="108" s="1"/>
  <c r="AJ83" i="108" s="1"/>
  <c r="Z82" i="108"/>
  <c r="AB82" i="108" s="1"/>
  <c r="AJ82" i="108" s="1"/>
  <c r="Z81" i="108"/>
  <c r="AB81" i="108" s="1"/>
  <c r="AJ81" i="108" s="1"/>
  <c r="Z80" i="108"/>
  <c r="AB80" i="108" s="1"/>
  <c r="AJ80" i="108" s="1"/>
  <c r="Z79" i="108"/>
  <c r="AB79" i="108" s="1"/>
  <c r="AJ79" i="108" s="1"/>
  <c r="Z78" i="108"/>
  <c r="AB78" i="108" s="1"/>
  <c r="AJ78" i="108" s="1"/>
  <c r="Z77" i="108"/>
  <c r="AB77" i="108" s="1"/>
  <c r="AJ77" i="108" s="1"/>
  <c r="A65" i="108"/>
  <c r="A66" i="108" s="1"/>
  <c r="A67" i="108" s="1"/>
  <c r="A68" i="108" s="1"/>
  <c r="A69" i="108" s="1"/>
  <c r="A70" i="108" s="1"/>
  <c r="A71" i="108" s="1"/>
  <c r="A72" i="108" s="1"/>
  <c r="A73" i="108" s="1"/>
  <c r="A74" i="108" s="1"/>
  <c r="A75" i="108" s="1"/>
  <c r="A76" i="108" s="1"/>
  <c r="A77" i="108" s="1"/>
  <c r="A78" i="108" s="1"/>
  <c r="A79" i="108" s="1"/>
  <c r="A80" i="108" s="1"/>
  <c r="A81" i="108" s="1"/>
  <c r="A82" i="108" s="1"/>
  <c r="A83" i="108" s="1"/>
  <c r="A84" i="108" s="1"/>
  <c r="A85" i="108" s="1"/>
  <c r="A86" i="108" s="1"/>
  <c r="A87" i="108" s="1"/>
  <c r="A88" i="108" s="1"/>
  <c r="A89" i="108" s="1"/>
  <c r="A90" i="108" s="1"/>
  <c r="A91" i="108" s="1"/>
  <c r="A92" i="108" s="1"/>
  <c r="AJ43" i="108"/>
  <c r="AH43" i="108"/>
  <c r="AJ42" i="108"/>
  <c r="AH42" i="108"/>
  <c r="AJ41" i="108"/>
  <c r="AH41" i="108"/>
  <c r="AJ40" i="108"/>
  <c r="AH40" i="108"/>
  <c r="AJ39" i="108"/>
  <c r="AH39" i="108"/>
  <c r="AJ38" i="108"/>
  <c r="AH38" i="108"/>
  <c r="AJ37" i="108"/>
  <c r="AH37" i="108"/>
  <c r="AJ36" i="108"/>
  <c r="AH36" i="108"/>
  <c r="AJ35" i="108"/>
  <c r="AH35" i="108"/>
  <c r="AJ34" i="108"/>
  <c r="AH34" i="108"/>
  <c r="AJ33" i="108"/>
  <c r="AH33" i="108"/>
  <c r="AJ32" i="108"/>
  <c r="AH32" i="108"/>
  <c r="AJ31" i="108"/>
  <c r="AH31" i="108"/>
  <c r="AJ30" i="108"/>
  <c r="AH30" i="108"/>
  <c r="AH29" i="108"/>
  <c r="AL22" i="108"/>
  <c r="AL21" i="108"/>
  <c r="AL20" i="108"/>
  <c r="AL19" i="108"/>
  <c r="AL18" i="108"/>
  <c r="AL17" i="108"/>
  <c r="A17" i="108"/>
  <c r="A18" i="108" s="1"/>
  <c r="A19" i="108" s="1"/>
  <c r="A20" i="108" s="1"/>
  <c r="A21" i="108" s="1"/>
  <c r="A22" i="108" s="1"/>
  <c r="A23" i="108" s="1"/>
  <c r="A24" i="108" s="1"/>
  <c r="A25" i="108" s="1"/>
  <c r="A26" i="108" s="1"/>
  <c r="A27" i="108" s="1"/>
  <c r="A28" i="108" s="1"/>
  <c r="A29" i="108" s="1"/>
  <c r="A30" i="108" s="1"/>
  <c r="A31" i="108" s="1"/>
  <c r="A32" i="108" s="1"/>
  <c r="A33" i="108" s="1"/>
  <c r="A34" i="108" s="1"/>
  <c r="A35" i="108" s="1"/>
  <c r="A36" i="108" s="1"/>
  <c r="A37" i="108" s="1"/>
  <c r="A38" i="108" s="1"/>
  <c r="A39" i="108" s="1"/>
  <c r="A40" i="108" s="1"/>
  <c r="A41" i="108" s="1"/>
  <c r="A42" i="108" s="1"/>
  <c r="A43" i="108" s="1"/>
  <c r="A44" i="108" s="1"/>
  <c r="AP16" i="108"/>
  <c r="P31" i="104"/>
  <c r="N31" i="104"/>
  <c r="J31" i="104"/>
  <c r="L30" i="104"/>
  <c r="L22" i="104"/>
  <c r="A14" i="104"/>
  <c r="A15" i="104" s="1"/>
  <c r="A16" i="104" s="1"/>
  <c r="A17" i="104" s="1"/>
  <c r="A20" i="104" s="1"/>
  <c r="A21" i="104" s="1"/>
  <c r="A22" i="104" s="1"/>
  <c r="A23" i="104" s="1"/>
  <c r="A25" i="104" s="1"/>
  <c r="A28" i="104" s="1"/>
  <c r="A29" i="104" s="1"/>
  <c r="A30" i="104" s="1"/>
  <c r="A31" i="104" s="1"/>
  <c r="P31" i="103"/>
  <c r="N31" i="103"/>
  <c r="J31" i="103"/>
  <c r="L30" i="103"/>
  <c r="A14" i="103"/>
  <c r="A15" i="103" s="1"/>
  <c r="A16" i="103" s="1"/>
  <c r="A17" i="103" s="1"/>
  <c r="A20" i="103" s="1"/>
  <c r="A21" i="103" s="1"/>
  <c r="A22" i="103" s="1"/>
  <c r="A23" i="103" s="1"/>
  <c r="A25" i="103" s="1"/>
  <c r="A28" i="103" s="1"/>
  <c r="A29" i="103" s="1"/>
  <c r="A30" i="103" s="1"/>
  <c r="A31" i="103" s="1"/>
  <c r="P31" i="102"/>
  <c r="N31" i="102"/>
  <c r="J31" i="102"/>
  <c r="L30" i="102"/>
  <c r="L22" i="102"/>
  <c r="N22" i="102" s="1"/>
  <c r="A14" i="102"/>
  <c r="A15" i="102" s="1"/>
  <c r="A16" i="102" s="1"/>
  <c r="A17" i="102" s="1"/>
  <c r="A20" i="102" s="1"/>
  <c r="A21" i="102" s="1"/>
  <c r="A22" i="102" s="1"/>
  <c r="A23" i="102" s="1"/>
  <c r="A25" i="102" s="1"/>
  <c r="A28" i="102" s="1"/>
  <c r="A29" i="102" s="1"/>
  <c r="A30" i="102" s="1"/>
  <c r="A31" i="102" s="1"/>
  <c r="P31" i="101"/>
  <c r="N31" i="101"/>
  <c r="J31" i="101"/>
  <c r="L30" i="101"/>
  <c r="L22" i="101"/>
  <c r="N22" i="101" s="1"/>
  <c r="A14" i="101"/>
  <c r="A15" i="101" s="1"/>
  <c r="A16" i="101" s="1"/>
  <c r="A17" i="101" s="1"/>
  <c r="A20" i="101" s="1"/>
  <c r="A21" i="101" s="1"/>
  <c r="A22" i="101" s="1"/>
  <c r="A23" i="101" s="1"/>
  <c r="A25" i="101" s="1"/>
  <c r="A28" i="101" s="1"/>
  <c r="A29" i="101" s="1"/>
  <c r="A30" i="101" s="1"/>
  <c r="A31" i="101" s="1"/>
  <c r="P31" i="100"/>
  <c r="N31" i="100"/>
  <c r="J31" i="100"/>
  <c r="L30" i="100"/>
  <c r="L22" i="100"/>
  <c r="A14" i="100"/>
  <c r="A15" i="100" s="1"/>
  <c r="A16" i="100" s="1"/>
  <c r="A17" i="100" s="1"/>
  <c r="A20" i="100" s="1"/>
  <c r="A21" i="100" s="1"/>
  <c r="A22" i="100" s="1"/>
  <c r="A23" i="100" s="1"/>
  <c r="A25" i="100" s="1"/>
  <c r="A28" i="100" s="1"/>
  <c r="A29" i="100" s="1"/>
  <c r="A30" i="100" s="1"/>
  <c r="A31" i="100" s="1"/>
  <c r="P31" i="99"/>
  <c r="N31" i="99"/>
  <c r="J31" i="99"/>
  <c r="F31" i="99"/>
  <c r="L30" i="99"/>
  <c r="R30" i="99" s="1"/>
  <c r="F30" i="100" s="1"/>
  <c r="F23" i="99"/>
  <c r="L22" i="99"/>
  <c r="J22" i="99"/>
  <c r="J21" i="99"/>
  <c r="J20" i="99"/>
  <c r="F17" i="99"/>
  <c r="J16" i="99"/>
  <c r="J15" i="99"/>
  <c r="J14" i="99"/>
  <c r="A14" i="99"/>
  <c r="A15" i="99" s="1"/>
  <c r="A16" i="99" s="1"/>
  <c r="A17" i="99" s="1"/>
  <c r="A20" i="99" s="1"/>
  <c r="A21" i="99" s="1"/>
  <c r="A22" i="99" s="1"/>
  <c r="A23" i="99" s="1"/>
  <c r="A25" i="99" s="1"/>
  <c r="A28" i="99" s="1"/>
  <c r="A29" i="99" s="1"/>
  <c r="A30" i="99" s="1"/>
  <c r="A31" i="99" s="1"/>
  <c r="J13" i="99"/>
  <c r="I30" i="92"/>
  <c r="I26" i="92"/>
  <c r="H25" i="92"/>
  <c r="L29" i="104" s="1"/>
  <c r="G25" i="92"/>
  <c r="L29" i="103" s="1"/>
  <c r="F25" i="92"/>
  <c r="L29" i="102" s="1"/>
  <c r="E25" i="92"/>
  <c r="L29" i="101" s="1"/>
  <c r="D25" i="92"/>
  <c r="L29" i="100" s="1"/>
  <c r="C25" i="92"/>
  <c r="L29" i="99" s="1"/>
  <c r="R29" i="99" s="1"/>
  <c r="F29" i="100" s="1"/>
  <c r="H24" i="92"/>
  <c r="L28" i="104" s="1"/>
  <c r="G24" i="92"/>
  <c r="L28" i="103" s="1"/>
  <c r="F24" i="92"/>
  <c r="L28" i="102" s="1"/>
  <c r="E24" i="92"/>
  <c r="L28" i="101" s="1"/>
  <c r="D24" i="92"/>
  <c r="L28" i="100" s="1"/>
  <c r="C24" i="92"/>
  <c r="L28" i="99" s="1"/>
  <c r="G22" i="92"/>
  <c r="H14" i="92"/>
  <c r="L16" i="104" s="1"/>
  <c r="G14" i="92"/>
  <c r="L16" i="103" s="1"/>
  <c r="F14" i="92"/>
  <c r="L16" i="102" s="1"/>
  <c r="E14" i="92"/>
  <c r="L16" i="101" s="1"/>
  <c r="D14" i="92"/>
  <c r="L16" i="100" s="1"/>
  <c r="N16" i="100" s="1"/>
  <c r="C14" i="92"/>
  <c r="L16" i="99" s="1"/>
  <c r="H13" i="92"/>
  <c r="L15" i="104" s="1"/>
  <c r="N15" i="104" s="1"/>
  <c r="G13" i="92"/>
  <c r="L15" i="103" s="1"/>
  <c r="F13" i="92"/>
  <c r="L15" i="102" s="1"/>
  <c r="E13" i="92"/>
  <c r="L15" i="101" s="1"/>
  <c r="D13" i="92"/>
  <c r="L15" i="100" s="1"/>
  <c r="N15" i="100" s="1"/>
  <c r="C13" i="92"/>
  <c r="L15" i="99" s="1"/>
  <c r="N15" i="99" s="1"/>
  <c r="H12" i="92"/>
  <c r="L14" i="104" s="1"/>
  <c r="G12" i="92"/>
  <c r="L14" i="103" s="1"/>
  <c r="F12" i="92"/>
  <c r="L14" i="102" s="1"/>
  <c r="E12" i="92"/>
  <c r="D12" i="92"/>
  <c r="L14" i="100" s="1"/>
  <c r="N14" i="100" s="1"/>
  <c r="C12" i="92"/>
  <c r="L14" i="99" s="1"/>
  <c r="H11" i="92"/>
  <c r="G11" i="92"/>
  <c r="F11" i="92"/>
  <c r="E11" i="92"/>
  <c r="D11" i="92"/>
  <c r="S11" i="111"/>
  <c r="A11" i="92"/>
  <c r="A12" i="92" s="1"/>
  <c r="A13" i="92" s="1"/>
  <c r="A14" i="92" s="1"/>
  <c r="A15" i="92" s="1"/>
  <c r="A17" i="92" s="1"/>
  <c r="A18" i="92" s="1"/>
  <c r="A19" i="92" s="1"/>
  <c r="A20" i="92" s="1"/>
  <c r="A22" i="92" s="1"/>
  <c r="A24" i="92" s="1"/>
  <c r="A25" i="92" s="1"/>
  <c r="A26" i="92" s="1"/>
  <c r="A27" i="92" s="1"/>
  <c r="A29" i="92" s="1"/>
  <c r="A30" i="92" s="1"/>
  <c r="H10" i="92"/>
  <c r="G10" i="92"/>
  <c r="L13" i="103" s="1"/>
  <c r="F10" i="92"/>
  <c r="E10" i="92"/>
  <c r="D10" i="92"/>
  <c r="C10" i="92"/>
  <c r="L13" i="99" s="1"/>
  <c r="P70" i="110"/>
  <c r="O70" i="110"/>
  <c r="N70" i="110"/>
  <c r="M70" i="110"/>
  <c r="L70" i="110"/>
  <c r="K70" i="110"/>
  <c r="J70" i="110"/>
  <c r="I70" i="110"/>
  <c r="H70" i="110"/>
  <c r="G70" i="110"/>
  <c r="F70" i="110"/>
  <c r="E70" i="110"/>
  <c r="Q69" i="110"/>
  <c r="Q68" i="110"/>
  <c r="Q67" i="110"/>
  <c r="P65" i="110"/>
  <c r="O65" i="110"/>
  <c r="N65" i="110"/>
  <c r="M65" i="110"/>
  <c r="L65" i="110"/>
  <c r="K65" i="110"/>
  <c r="J65" i="110"/>
  <c r="I65" i="110"/>
  <c r="H65" i="110"/>
  <c r="G65" i="110"/>
  <c r="F65" i="110"/>
  <c r="E65" i="110"/>
  <c r="Q64" i="110"/>
  <c r="Q63" i="110"/>
  <c r="Q62" i="110"/>
  <c r="Q61" i="110"/>
  <c r="Q60" i="110"/>
  <c r="Q59" i="110"/>
  <c r="Q58" i="110"/>
  <c r="Q57" i="110"/>
  <c r="Q56" i="110"/>
  <c r="Q55" i="110"/>
  <c r="Q54" i="110"/>
  <c r="P49" i="110"/>
  <c r="O49" i="110"/>
  <c r="N49" i="110"/>
  <c r="M49" i="110"/>
  <c r="L49" i="110"/>
  <c r="K49" i="110"/>
  <c r="J49" i="110"/>
  <c r="I49" i="110"/>
  <c r="H49" i="110"/>
  <c r="G49" i="110"/>
  <c r="F49" i="110"/>
  <c r="E49" i="110"/>
  <c r="Q48" i="110"/>
  <c r="Q47" i="110"/>
  <c r="Q46" i="110"/>
  <c r="P44" i="110"/>
  <c r="O44" i="110"/>
  <c r="N44" i="110"/>
  <c r="M44" i="110"/>
  <c r="L44" i="110"/>
  <c r="K44" i="110"/>
  <c r="J44" i="110"/>
  <c r="I44" i="110"/>
  <c r="H44" i="110"/>
  <c r="G44" i="110"/>
  <c r="F44" i="110"/>
  <c r="E44" i="110"/>
  <c r="Q43" i="110"/>
  <c r="Q42" i="110"/>
  <c r="Q41" i="110"/>
  <c r="Q40" i="110"/>
  <c r="Q39" i="110"/>
  <c r="Q38" i="110"/>
  <c r="Q37" i="110"/>
  <c r="Q36" i="110"/>
  <c r="Q35" i="110"/>
  <c r="Q34" i="110"/>
  <c r="Q33" i="110"/>
  <c r="Q32" i="110"/>
  <c r="P27" i="110"/>
  <c r="O27" i="110"/>
  <c r="N27" i="110"/>
  <c r="M27" i="110"/>
  <c r="L27" i="110"/>
  <c r="K27" i="110"/>
  <c r="J27" i="110"/>
  <c r="I27" i="110"/>
  <c r="H27" i="110"/>
  <c r="G27" i="110"/>
  <c r="F27" i="110"/>
  <c r="E27" i="110"/>
  <c r="Q26" i="110"/>
  <c r="Q25" i="110"/>
  <c r="Q24" i="110"/>
  <c r="Q23" i="110"/>
  <c r="Q22" i="110"/>
  <c r="Q21" i="110"/>
  <c r="Q18" i="110"/>
  <c r="P15" i="110"/>
  <c r="O15" i="110"/>
  <c r="N15" i="110"/>
  <c r="M15" i="110"/>
  <c r="L15" i="110"/>
  <c r="K15" i="110"/>
  <c r="J15" i="110"/>
  <c r="I15" i="110"/>
  <c r="H15" i="110"/>
  <c r="G15" i="110"/>
  <c r="F14" i="110"/>
  <c r="F15" i="110" s="1"/>
  <c r="E14" i="110"/>
  <c r="Q13" i="110"/>
  <c r="Q12" i="110"/>
  <c r="Q11" i="110"/>
  <c r="T10" i="110"/>
  <c r="Q10" i="110"/>
  <c r="Q9" i="110"/>
  <c r="U25" i="110" s="1"/>
  <c r="V25" i="110" s="1"/>
  <c r="Q8" i="110"/>
  <c r="Q7" i="110"/>
  <c r="U24" i="110" s="1"/>
  <c r="V24" i="110" s="1"/>
  <c r="Q6" i="110"/>
  <c r="U23" i="110" s="1"/>
  <c r="Q5" i="110"/>
  <c r="Q4" i="110"/>
  <c r="Q3" i="110"/>
  <c r="S99" i="109"/>
  <c r="R99" i="109"/>
  <c r="Q99" i="109"/>
  <c r="P99" i="109"/>
  <c r="O99" i="109"/>
  <c r="N99" i="109"/>
  <c r="M99" i="109"/>
  <c r="L99" i="109"/>
  <c r="K99" i="109"/>
  <c r="J99" i="109"/>
  <c r="I99" i="109"/>
  <c r="H99" i="109"/>
  <c r="T98" i="109"/>
  <c r="T97" i="109"/>
  <c r="T96" i="109"/>
  <c r="T95" i="109"/>
  <c r="T94" i="109"/>
  <c r="T93" i="109"/>
  <c r="T92" i="109"/>
  <c r="T91" i="109"/>
  <c r="T90" i="109"/>
  <c r="T89" i="109"/>
  <c r="T88" i="109"/>
  <c r="T87" i="109"/>
  <c r="T86" i="109"/>
  <c r="T85" i="109"/>
  <c r="T84" i="109"/>
  <c r="T83" i="109"/>
  <c r="T82" i="109"/>
  <c r="T81" i="109"/>
  <c r="T80" i="109"/>
  <c r="T79" i="109"/>
  <c r="T78" i="109"/>
  <c r="T77" i="109"/>
  <c r="T76" i="109"/>
  <c r="T75" i="109"/>
  <c r="T74" i="109"/>
  <c r="T73" i="109"/>
  <c r="T72" i="109"/>
  <c r="T71" i="109"/>
  <c r="T70" i="109"/>
  <c r="T69" i="109"/>
  <c r="T68" i="109"/>
  <c r="S66" i="109"/>
  <c r="R66" i="109"/>
  <c r="Q66" i="109"/>
  <c r="P66" i="109"/>
  <c r="O66" i="109"/>
  <c r="N66" i="109"/>
  <c r="M66" i="109"/>
  <c r="L66" i="109"/>
  <c r="K66" i="109"/>
  <c r="J66" i="109"/>
  <c r="I66" i="109"/>
  <c r="H66" i="109"/>
  <c r="T65" i="109"/>
  <c r="T64" i="109"/>
  <c r="T63" i="109"/>
  <c r="T62" i="109"/>
  <c r="T61" i="109"/>
  <c r="T60" i="109"/>
  <c r="T59" i="109"/>
  <c r="T58" i="109"/>
  <c r="T57" i="109"/>
  <c r="T56" i="109"/>
  <c r="T55" i="109"/>
  <c r="T54" i="109"/>
  <c r="T53" i="109"/>
  <c r="T52" i="109"/>
  <c r="T51" i="109"/>
  <c r="T50" i="109"/>
  <c r="T49" i="109"/>
  <c r="T48" i="109"/>
  <c r="T47" i="109"/>
  <c r="T46" i="109"/>
  <c r="T45" i="109"/>
  <c r="T44" i="109"/>
  <c r="T43" i="109"/>
  <c r="T42" i="109"/>
  <c r="T41" i="109"/>
  <c r="T40" i="109"/>
  <c r="T39" i="109"/>
  <c r="T38" i="109"/>
  <c r="T37" i="109"/>
  <c r="T36" i="109"/>
  <c r="T35" i="109"/>
  <c r="S33" i="109"/>
  <c r="H29" i="92" s="1"/>
  <c r="AC26" i="91" s="1"/>
  <c r="R33" i="109"/>
  <c r="G29" i="92" s="1"/>
  <c r="AA26" i="91" s="1"/>
  <c r="Q33" i="109"/>
  <c r="F29" i="92" s="1"/>
  <c r="Y26" i="91" s="1"/>
  <c r="P33" i="109"/>
  <c r="E29" i="92" s="1"/>
  <c r="W26" i="91" s="1"/>
  <c r="O33" i="109"/>
  <c r="D29" i="92" s="1"/>
  <c r="U26" i="91" s="1"/>
  <c r="N33" i="109"/>
  <c r="C29" i="92" s="1"/>
  <c r="S26" i="91" s="1"/>
  <c r="M33" i="109"/>
  <c r="L33" i="109"/>
  <c r="K33" i="109"/>
  <c r="J33" i="109"/>
  <c r="I33" i="109"/>
  <c r="H33" i="109"/>
  <c r="T32" i="109"/>
  <c r="T31" i="109"/>
  <c r="T30" i="109"/>
  <c r="T29" i="109"/>
  <c r="T28" i="109"/>
  <c r="T27" i="109"/>
  <c r="T26" i="109"/>
  <c r="T25" i="109"/>
  <c r="T24" i="109"/>
  <c r="T23" i="109"/>
  <c r="T22" i="109"/>
  <c r="T21" i="109"/>
  <c r="T20" i="109"/>
  <c r="T19" i="109"/>
  <c r="T18" i="109"/>
  <c r="T17" i="109"/>
  <c r="T16" i="109"/>
  <c r="T15" i="109"/>
  <c r="T14" i="109"/>
  <c r="T13" i="109"/>
  <c r="T12" i="109"/>
  <c r="T11" i="109"/>
  <c r="T10" i="109"/>
  <c r="T9" i="109"/>
  <c r="T8" i="109"/>
  <c r="T7" i="109"/>
  <c r="T6" i="109"/>
  <c r="T5" i="109"/>
  <c r="T4" i="109"/>
  <c r="T3" i="109"/>
  <c r="T2" i="109"/>
  <c r="T14" i="8"/>
  <c r="U12" i="8" s="1"/>
  <c r="E14" i="8"/>
  <c r="I12" i="8"/>
  <c r="M12" i="8" s="1"/>
  <c r="I11" i="8"/>
  <c r="M11" i="8" s="1"/>
  <c r="I10" i="8"/>
  <c r="AH1048576" i="111"/>
  <c r="AC29" i="111"/>
  <c r="AA29" i="111"/>
  <c r="Y29" i="111"/>
  <c r="W29" i="111"/>
  <c r="U29" i="111"/>
  <c r="S29" i="111"/>
  <c r="Q29" i="111"/>
  <c r="O29" i="111"/>
  <c r="M29" i="111"/>
  <c r="K29" i="111"/>
  <c r="I29" i="111"/>
  <c r="G29" i="111"/>
  <c r="E29" i="111"/>
  <c r="AE27" i="111"/>
  <c r="AE26" i="111"/>
  <c r="AE25" i="111"/>
  <c r="E14" i="111"/>
  <c r="E18" i="111" s="1"/>
  <c r="E22" i="111" s="1"/>
  <c r="E31" i="111" s="1"/>
  <c r="Q14" i="111"/>
  <c r="Q18" i="111" s="1"/>
  <c r="Q22" i="111" s="1"/>
  <c r="O14" i="111"/>
  <c r="O18" i="111" s="1"/>
  <c r="O22" i="111" s="1"/>
  <c r="M14" i="111"/>
  <c r="M18" i="111" s="1"/>
  <c r="M22" i="111" s="1"/>
  <c r="K14" i="111"/>
  <c r="K18" i="111" s="1"/>
  <c r="K22" i="111" s="1"/>
  <c r="I14" i="111"/>
  <c r="I18" i="111" s="1"/>
  <c r="I22" i="111" s="1"/>
  <c r="G14" i="111"/>
  <c r="G18" i="111" s="1"/>
  <c r="G22" i="111" s="1"/>
  <c r="AE6" i="111"/>
  <c r="AC6" i="111"/>
  <c r="AA6" i="111"/>
  <c r="Y6" i="111"/>
  <c r="W6" i="111"/>
  <c r="U6" i="111"/>
  <c r="S6" i="111"/>
  <c r="Q6" i="111"/>
  <c r="O6" i="111"/>
  <c r="M6" i="111"/>
  <c r="K6" i="111"/>
  <c r="I6" i="111"/>
  <c r="AH1048576" i="91"/>
  <c r="AE27" i="91"/>
  <c r="AC6" i="91"/>
  <c r="AA6" i="91"/>
  <c r="Y6" i="91"/>
  <c r="W6" i="91"/>
  <c r="U6" i="91"/>
  <c r="S6" i="91"/>
  <c r="Q6" i="91"/>
  <c r="O6" i="91"/>
  <c r="M6" i="91"/>
  <c r="K6" i="91"/>
  <c r="I6" i="91"/>
  <c r="O26" i="18"/>
  <c r="G26" i="18"/>
  <c r="C41" i="11"/>
  <c r="K40" i="11"/>
  <c r="K39" i="11"/>
  <c r="K38" i="11"/>
  <c r="C34" i="11"/>
  <c r="K33" i="11"/>
  <c r="K32" i="11"/>
  <c r="K31" i="11"/>
  <c r="I27" i="11"/>
  <c r="C27" i="11"/>
  <c r="K26" i="11"/>
  <c r="K25" i="11"/>
  <c r="K24" i="11"/>
  <c r="I20" i="11"/>
  <c r="C20" i="11"/>
  <c r="K19" i="11"/>
  <c r="K18" i="11"/>
  <c r="K17" i="11"/>
  <c r="I13" i="11"/>
  <c r="C13" i="11"/>
  <c r="E30" i="11" s="1"/>
  <c r="K12" i="11"/>
  <c r="K11" i="11"/>
  <c r="K10" i="11"/>
  <c r="I29" i="52"/>
  <c r="I13" i="52"/>
  <c r="A11" i="52"/>
  <c r="A12" i="52" s="1"/>
  <c r="C21" i="19" l="1"/>
  <c r="G21" i="19"/>
  <c r="K21" i="19"/>
  <c r="E27" i="19"/>
  <c r="I27" i="19"/>
  <c r="E11" i="11"/>
  <c r="N63" i="54"/>
  <c r="D16" i="19"/>
  <c r="L14" i="19"/>
  <c r="M14" i="19" s="1"/>
  <c r="L26" i="19"/>
  <c r="M26" i="19" s="1"/>
  <c r="D21" i="19"/>
  <c r="F29" i="110"/>
  <c r="G51" i="110"/>
  <c r="K51" i="110"/>
  <c r="O51" i="110"/>
  <c r="I29" i="110"/>
  <c r="F51" i="110"/>
  <c r="J51" i="110"/>
  <c r="N51" i="110"/>
  <c r="E36" i="54"/>
  <c r="I36" i="54"/>
  <c r="M36" i="54"/>
  <c r="E59" i="54"/>
  <c r="N24" i="54"/>
  <c r="F59" i="54"/>
  <c r="F63" i="54" s="1"/>
  <c r="T6" i="110"/>
  <c r="A13" i="52"/>
  <c r="A25" i="52" s="1"/>
  <c r="A26" i="52" s="1"/>
  <c r="A27" i="52" s="1"/>
  <c r="L31" i="2"/>
  <c r="V16" i="3" s="1"/>
  <c r="V74" i="3" s="1"/>
  <c r="P21" i="7"/>
  <c r="L23" i="5"/>
  <c r="L63" i="54"/>
  <c r="F36" i="54"/>
  <c r="J36" i="54"/>
  <c r="N36" i="54"/>
  <c r="E63" i="54"/>
  <c r="I63" i="54"/>
  <c r="M63" i="54"/>
  <c r="P84" i="54"/>
  <c r="G59" i="54"/>
  <c r="G63" i="54" s="1"/>
  <c r="P87" i="54"/>
  <c r="P101" i="54"/>
  <c r="P21" i="54"/>
  <c r="P22" i="54"/>
  <c r="H36" i="54"/>
  <c r="L36" i="54"/>
  <c r="P36" i="54"/>
  <c r="D51" i="54"/>
  <c r="E16" i="19"/>
  <c r="I16" i="19"/>
  <c r="F16" i="19"/>
  <c r="J16" i="19"/>
  <c r="C27" i="19"/>
  <c r="G27" i="19"/>
  <c r="F21" i="19"/>
  <c r="J21" i="19"/>
  <c r="D27" i="19"/>
  <c r="M20" i="53"/>
  <c r="H24" i="53"/>
  <c r="L24" i="53"/>
  <c r="G29" i="110"/>
  <c r="O29" i="110"/>
  <c r="F72" i="110"/>
  <c r="L29" i="110"/>
  <c r="U11" i="111"/>
  <c r="W11" i="111" s="1"/>
  <c r="Y11" i="111" s="1"/>
  <c r="AA11" i="111" s="1"/>
  <c r="AC11" i="111" s="1"/>
  <c r="AC14" i="111" s="1"/>
  <c r="AC18" i="111" s="1"/>
  <c r="Q14" i="110"/>
  <c r="T5" i="110" s="1"/>
  <c r="M72" i="110"/>
  <c r="U11" i="8"/>
  <c r="I31" i="111"/>
  <c r="Q31" i="111"/>
  <c r="K31" i="111"/>
  <c r="E10" i="11"/>
  <c r="I10" i="11" s="1"/>
  <c r="M10" i="11" s="1"/>
  <c r="Q10" i="11" s="1"/>
  <c r="E12" i="11"/>
  <c r="I12" i="11" s="1"/>
  <c r="M12" i="11" s="1"/>
  <c r="Q12" i="11" s="1"/>
  <c r="E17" i="11"/>
  <c r="I17" i="11" s="1"/>
  <c r="M17" i="11" s="1"/>
  <c r="Q17" i="11" s="1"/>
  <c r="K34" i="11"/>
  <c r="K13" i="11"/>
  <c r="P15" i="2"/>
  <c r="P20" i="2"/>
  <c r="N13" i="2"/>
  <c r="K59" i="54"/>
  <c r="K63" i="54" s="1"/>
  <c r="O59" i="54"/>
  <c r="O63" i="54" s="1"/>
  <c r="C16" i="19"/>
  <c r="G16" i="19"/>
  <c r="K16" i="19"/>
  <c r="L12" i="19"/>
  <c r="M12" i="19" s="1"/>
  <c r="H27" i="19"/>
  <c r="P15" i="99"/>
  <c r="H29" i="110"/>
  <c r="P29" i="110"/>
  <c r="E72" i="110"/>
  <c r="I72" i="110"/>
  <c r="M29" i="110"/>
  <c r="Q65" i="110"/>
  <c r="J72" i="110"/>
  <c r="N72" i="110"/>
  <c r="T99" i="109"/>
  <c r="U13" i="8"/>
  <c r="E26" i="11"/>
  <c r="E31" i="11"/>
  <c r="E39" i="11"/>
  <c r="E9" i="11"/>
  <c r="I9" i="11" s="1"/>
  <c r="M9" i="11" s="1"/>
  <c r="Q9" i="11" s="1"/>
  <c r="E19" i="11"/>
  <c r="E23" i="11"/>
  <c r="I23" i="11" s="1"/>
  <c r="M23" i="11" s="1"/>
  <c r="Q23" i="11" s="1"/>
  <c r="K41" i="11"/>
  <c r="E37" i="11"/>
  <c r="E33" i="11"/>
  <c r="C13" i="52"/>
  <c r="E11" i="52" s="1"/>
  <c r="P21" i="6"/>
  <c r="L23" i="4"/>
  <c r="L31" i="4"/>
  <c r="P14" i="2"/>
  <c r="J17" i="2"/>
  <c r="J25" i="2" s="1"/>
  <c r="L17" i="4"/>
  <c r="L25" i="4" s="1"/>
  <c r="R13" i="2"/>
  <c r="F13" i="4" s="1"/>
  <c r="R15" i="2"/>
  <c r="F15" i="4" s="1"/>
  <c r="R15" i="4" s="1"/>
  <c r="F15" i="5" s="1"/>
  <c r="J15" i="5" s="1"/>
  <c r="N22" i="2"/>
  <c r="N13" i="4"/>
  <c r="N15" i="4"/>
  <c r="R22" i="2"/>
  <c r="F22" i="4" s="1"/>
  <c r="R22" i="4" s="1"/>
  <c r="F22" i="5" s="1"/>
  <c r="N20" i="2"/>
  <c r="N16" i="4"/>
  <c r="D44" i="54"/>
  <c r="P85" i="54"/>
  <c r="D63" i="54"/>
  <c r="P23" i="54"/>
  <c r="D34" i="54"/>
  <c r="P63" i="54"/>
  <c r="L9" i="19"/>
  <c r="L19" i="19"/>
  <c r="M19" i="19" s="1"/>
  <c r="L20" i="19"/>
  <c r="M20" i="19" s="1"/>
  <c r="K27" i="19"/>
  <c r="H16" i="19"/>
  <c r="L10" i="19"/>
  <c r="M10" i="19" s="1"/>
  <c r="L13" i="19"/>
  <c r="M13" i="19" s="1"/>
  <c r="L25" i="19"/>
  <c r="M25" i="19" s="1"/>
  <c r="F27" i="19"/>
  <c r="J27" i="19"/>
  <c r="E21" i="19"/>
  <c r="I21" i="19"/>
  <c r="L15" i="19"/>
  <c r="M15" i="19" s="1"/>
  <c r="H21" i="19"/>
  <c r="E24" i="53"/>
  <c r="I24" i="53"/>
  <c r="M21" i="53"/>
  <c r="M9" i="53"/>
  <c r="F24" i="53"/>
  <c r="J24" i="53"/>
  <c r="M22" i="53"/>
  <c r="M17" i="53"/>
  <c r="G24" i="53"/>
  <c r="K24" i="53"/>
  <c r="M23" i="53"/>
  <c r="F25" i="99"/>
  <c r="H51" i="110"/>
  <c r="P51" i="110"/>
  <c r="G72" i="110"/>
  <c r="O72" i="110"/>
  <c r="Q44" i="110"/>
  <c r="E51" i="110"/>
  <c r="I51" i="110"/>
  <c r="M51" i="110"/>
  <c r="H72" i="110"/>
  <c r="L72" i="110"/>
  <c r="P72" i="110"/>
  <c r="Q27" i="110"/>
  <c r="L51" i="110"/>
  <c r="K72" i="110"/>
  <c r="E15" i="110"/>
  <c r="E29" i="110" s="1"/>
  <c r="J29" i="110"/>
  <c r="N29" i="110"/>
  <c r="Q49" i="110"/>
  <c r="Q70" i="110"/>
  <c r="T66" i="109"/>
  <c r="T33" i="109"/>
  <c r="U31" i="109" s="1"/>
  <c r="I14" i="8"/>
  <c r="M10" i="8"/>
  <c r="M14" i="8" s="1"/>
  <c r="U10" i="8"/>
  <c r="G31" i="111"/>
  <c r="O31" i="111"/>
  <c r="I11" i="11"/>
  <c r="M11" i="11" s="1"/>
  <c r="Q11" i="11" s="1"/>
  <c r="K20" i="11"/>
  <c r="K27" i="11"/>
  <c r="E38" i="11"/>
  <c r="E40" i="11"/>
  <c r="E18" i="11"/>
  <c r="I18" i="11" s="1"/>
  <c r="M18" i="11" s="1"/>
  <c r="Q18" i="11" s="1"/>
  <c r="E25" i="11"/>
  <c r="I25" i="11" s="1"/>
  <c r="M25" i="11" s="1"/>
  <c r="Q25" i="11" s="1"/>
  <c r="E32" i="11"/>
  <c r="C29" i="52"/>
  <c r="J23" i="99"/>
  <c r="J17" i="99"/>
  <c r="L38" i="3"/>
  <c r="T38" i="3" s="1"/>
  <c r="L29" i="3"/>
  <c r="L21" i="3"/>
  <c r="L18" i="3"/>
  <c r="L74" i="3" s="1"/>
  <c r="L31" i="3"/>
  <c r="L23" i="3"/>
  <c r="L35" i="3"/>
  <c r="L27" i="3"/>
  <c r="L22" i="3"/>
  <c r="L33" i="3"/>
  <c r="L25" i="3"/>
  <c r="N20" i="12"/>
  <c r="N22" i="12"/>
  <c r="N14" i="12"/>
  <c r="N16" i="12"/>
  <c r="L23" i="12"/>
  <c r="L31" i="12"/>
  <c r="V21" i="3" s="1"/>
  <c r="P15" i="7"/>
  <c r="P13" i="7"/>
  <c r="N13" i="6"/>
  <c r="N15" i="6"/>
  <c r="P16" i="5"/>
  <c r="L31" i="5"/>
  <c r="P14" i="5"/>
  <c r="P22" i="5"/>
  <c r="P20" i="5"/>
  <c r="N14" i="4"/>
  <c r="N20" i="4"/>
  <c r="N22" i="4"/>
  <c r="R28" i="2"/>
  <c r="V15" i="14"/>
  <c r="V16" i="14" s="1"/>
  <c r="V17" i="14" s="1"/>
  <c r="V18" i="14" s="1"/>
  <c r="V19" i="14" s="1"/>
  <c r="R21" i="2"/>
  <c r="F21" i="4" s="1"/>
  <c r="J21" i="4" s="1"/>
  <c r="P21" i="2"/>
  <c r="N21" i="2"/>
  <c r="N23" i="2" s="1"/>
  <c r="W47" i="14"/>
  <c r="W48" i="14" s="1"/>
  <c r="W49" i="14" s="1"/>
  <c r="W50" i="14" s="1"/>
  <c r="W51" i="14" s="1"/>
  <c r="R16" i="2"/>
  <c r="F16" i="4" s="1"/>
  <c r="P16" i="2"/>
  <c r="N16" i="2"/>
  <c r="R29" i="4"/>
  <c r="F29" i="5" s="1"/>
  <c r="R29" i="5" s="1"/>
  <c r="F29" i="6" s="1"/>
  <c r="R29" i="6" s="1"/>
  <c r="F29" i="7" s="1"/>
  <c r="R29" i="7" s="1"/>
  <c r="F29" i="12" s="1"/>
  <c r="R29" i="12" s="1"/>
  <c r="W16" i="14"/>
  <c r="W17" i="14" s="1"/>
  <c r="W18" i="14" s="1"/>
  <c r="W19" i="14" s="1"/>
  <c r="X52" i="14"/>
  <c r="L23" i="2"/>
  <c r="P15" i="5"/>
  <c r="L23" i="6"/>
  <c r="P20" i="6"/>
  <c r="N20" i="6"/>
  <c r="X15" i="14"/>
  <c r="X16" i="14" s="1"/>
  <c r="X17" i="14" s="1"/>
  <c r="X18" i="14" s="1"/>
  <c r="X19" i="14" s="1"/>
  <c r="V48" i="14"/>
  <c r="V49" i="14" s="1"/>
  <c r="V50" i="14" s="1"/>
  <c r="V51" i="14" s="1"/>
  <c r="R14" i="2"/>
  <c r="F14" i="4" s="1"/>
  <c r="P17" i="4"/>
  <c r="F20" i="4"/>
  <c r="P13" i="5"/>
  <c r="N15" i="5"/>
  <c r="N17" i="5" s="1"/>
  <c r="P16" i="7"/>
  <c r="P13" i="12"/>
  <c r="N13" i="12"/>
  <c r="L17" i="2"/>
  <c r="P21" i="4"/>
  <c r="P23" i="4" s="1"/>
  <c r="N21" i="4"/>
  <c r="P21" i="5"/>
  <c r="P16" i="6"/>
  <c r="N16" i="6"/>
  <c r="L31" i="6"/>
  <c r="V19" i="3" s="1"/>
  <c r="P14" i="7"/>
  <c r="P22" i="7"/>
  <c r="P21" i="12"/>
  <c r="P23" i="12" s="1"/>
  <c r="N21" i="12"/>
  <c r="P15" i="12"/>
  <c r="N15" i="12"/>
  <c r="R30" i="4"/>
  <c r="F30" i="5" s="1"/>
  <c r="R30" i="5" s="1"/>
  <c r="F30" i="6" s="1"/>
  <c r="R30" i="6" s="1"/>
  <c r="F30" i="7" s="1"/>
  <c r="R30" i="7" s="1"/>
  <c r="F30" i="12" s="1"/>
  <c r="R30" i="12" s="1"/>
  <c r="L17" i="5"/>
  <c r="N21" i="5"/>
  <c r="N23" i="5" s="1"/>
  <c r="L17" i="6"/>
  <c r="N11" i="3" s="1"/>
  <c r="P14" i="6"/>
  <c r="N14" i="6"/>
  <c r="P22" i="6"/>
  <c r="N22" i="6"/>
  <c r="N14" i="7"/>
  <c r="N17" i="7" s="1"/>
  <c r="L23" i="7"/>
  <c r="P20" i="7"/>
  <c r="N22" i="7"/>
  <c r="N23" i="7" s="1"/>
  <c r="L31" i="7"/>
  <c r="V20" i="3" s="1"/>
  <c r="L17" i="12"/>
  <c r="L17" i="7"/>
  <c r="D33" i="54"/>
  <c r="D36" i="54" s="1"/>
  <c r="P20" i="54"/>
  <c r="M9" i="19"/>
  <c r="L24" i="19"/>
  <c r="L11" i="19"/>
  <c r="M11" i="19" s="1"/>
  <c r="L18" i="19"/>
  <c r="D24" i="53"/>
  <c r="AP17" i="108"/>
  <c r="AP18" i="108" s="1"/>
  <c r="AP19" i="108" s="1"/>
  <c r="AP20" i="108" s="1"/>
  <c r="AP21" i="108" s="1"/>
  <c r="AP22" i="108" s="1"/>
  <c r="N14" i="104"/>
  <c r="N16" i="104"/>
  <c r="N13" i="99"/>
  <c r="P13" i="99" s="1"/>
  <c r="U26" i="110"/>
  <c r="T8" i="110"/>
  <c r="T7" i="110"/>
  <c r="V23" i="110"/>
  <c r="V26" i="110" s="1"/>
  <c r="R11" i="108"/>
  <c r="R59" i="108" s="1"/>
  <c r="K29" i="110"/>
  <c r="K12" i="8"/>
  <c r="K14" i="8" s="1"/>
  <c r="AE29" i="111"/>
  <c r="M31" i="111"/>
  <c r="I26" i="11"/>
  <c r="M26" i="11" s="1"/>
  <c r="Q26" i="11" s="1"/>
  <c r="I19" i="11"/>
  <c r="M19" i="11" s="1"/>
  <c r="Q19" i="11" s="1"/>
  <c r="E16" i="11"/>
  <c r="E24" i="11"/>
  <c r="I24" i="11" s="1"/>
  <c r="M24" i="11" s="1"/>
  <c r="Q24" i="11" s="1"/>
  <c r="AH44" i="108"/>
  <c r="L19" i="3"/>
  <c r="L24" i="3"/>
  <c r="L26" i="3"/>
  <c r="L28" i="3"/>
  <c r="L30" i="3"/>
  <c r="L32" i="3"/>
  <c r="L34" i="3"/>
  <c r="L36" i="3"/>
  <c r="Z17" i="3"/>
  <c r="AB17" i="3" s="1"/>
  <c r="AD17" i="3" s="1"/>
  <c r="G16" i="18" s="1"/>
  <c r="L20" i="3"/>
  <c r="L37" i="3"/>
  <c r="L44" i="108"/>
  <c r="N44" i="108"/>
  <c r="H44" i="108"/>
  <c r="P44" i="108"/>
  <c r="J44" i="108"/>
  <c r="E15" i="92"/>
  <c r="L31" i="101"/>
  <c r="V25" i="108" s="1"/>
  <c r="R29" i="100"/>
  <c r="F29" i="101" s="1"/>
  <c r="R29" i="101" s="1"/>
  <c r="F29" i="102" s="1"/>
  <c r="R29" i="102" s="1"/>
  <c r="F29" i="103" s="1"/>
  <c r="R29" i="103" s="1"/>
  <c r="F29" i="104" s="1"/>
  <c r="R29" i="104" s="1"/>
  <c r="L31" i="99"/>
  <c r="V23" i="108" s="1"/>
  <c r="I12" i="92"/>
  <c r="L14" i="101"/>
  <c r="N14" i="101" s="1"/>
  <c r="I11" i="92"/>
  <c r="C15" i="92"/>
  <c r="AE26" i="91"/>
  <c r="G15" i="92"/>
  <c r="I22" i="92"/>
  <c r="N16" i="101"/>
  <c r="N15" i="101"/>
  <c r="R16" i="99"/>
  <c r="F16" i="100" s="1"/>
  <c r="N16" i="99"/>
  <c r="P16" i="99" s="1"/>
  <c r="L31" i="100"/>
  <c r="L13" i="102"/>
  <c r="F15" i="92"/>
  <c r="L31" i="104"/>
  <c r="S14" i="111"/>
  <c r="S18" i="111" s="1"/>
  <c r="I10" i="92"/>
  <c r="I13" i="92"/>
  <c r="I14" i="92"/>
  <c r="D27" i="92"/>
  <c r="R15" i="99"/>
  <c r="F15" i="100" s="1"/>
  <c r="R22" i="99"/>
  <c r="F22" i="100" s="1"/>
  <c r="J22" i="100" s="1"/>
  <c r="N22" i="99"/>
  <c r="P22" i="99" s="1"/>
  <c r="N22" i="100"/>
  <c r="N14" i="102"/>
  <c r="H27" i="92"/>
  <c r="L17" i="99"/>
  <c r="R23" i="108" s="1"/>
  <c r="R13" i="99"/>
  <c r="L17" i="103"/>
  <c r="R27" i="108" s="1"/>
  <c r="N13" i="103"/>
  <c r="N14" i="99"/>
  <c r="P14" i="99" s="1"/>
  <c r="R14" i="99"/>
  <c r="F14" i="100" s="1"/>
  <c r="N14" i="103"/>
  <c r="N15" i="103"/>
  <c r="N16" i="103"/>
  <c r="R28" i="99"/>
  <c r="L13" i="101"/>
  <c r="N15" i="102"/>
  <c r="L13" i="100"/>
  <c r="D15" i="92"/>
  <c r="L13" i="104"/>
  <c r="H15" i="92"/>
  <c r="I29" i="92"/>
  <c r="R30" i="100"/>
  <c r="F30" i="101" s="1"/>
  <c r="R30" i="101" s="1"/>
  <c r="F30" i="102" s="1"/>
  <c r="R30" i="102" s="1"/>
  <c r="F30" i="103" s="1"/>
  <c r="R30" i="103" s="1"/>
  <c r="F30" i="104" s="1"/>
  <c r="R30" i="104" s="1"/>
  <c r="N16" i="102"/>
  <c r="I24" i="92"/>
  <c r="I25" i="92"/>
  <c r="E27" i="92"/>
  <c r="L31" i="102"/>
  <c r="F27" i="92"/>
  <c r="L31" i="103"/>
  <c r="C27" i="92"/>
  <c r="G27" i="92"/>
  <c r="N22" i="104"/>
  <c r="N17" i="2" l="1"/>
  <c r="M24" i="53"/>
  <c r="U14" i="8"/>
  <c r="P23" i="2"/>
  <c r="AE11" i="111"/>
  <c r="AE14" i="111" s="1"/>
  <c r="AE18" i="111" s="1"/>
  <c r="P17" i="6"/>
  <c r="J22" i="4"/>
  <c r="J15" i="4"/>
  <c r="R23" i="2"/>
  <c r="P17" i="2"/>
  <c r="R21" i="4"/>
  <c r="F21" i="5" s="1"/>
  <c r="J21" i="5" s="1"/>
  <c r="Q72" i="110"/>
  <c r="U14" i="111"/>
  <c r="U18" i="111" s="1"/>
  <c r="A28" i="52"/>
  <c r="A29" i="52" s="1"/>
  <c r="A41" i="52" s="1"/>
  <c r="A42" i="52" s="1"/>
  <c r="A43" i="52" s="1"/>
  <c r="A44" i="52" s="1"/>
  <c r="A45" i="52" s="1"/>
  <c r="A46" i="52" s="1"/>
  <c r="E10" i="52"/>
  <c r="L25" i="5"/>
  <c r="P23" i="5"/>
  <c r="N17" i="4"/>
  <c r="N23" i="12"/>
  <c r="N23" i="4"/>
  <c r="J11" i="3"/>
  <c r="J31" i="3" s="1"/>
  <c r="P24" i="54"/>
  <c r="P88" i="54"/>
  <c r="Q15" i="110"/>
  <c r="Q29" i="110" s="1"/>
  <c r="Q51" i="110"/>
  <c r="AA14" i="111"/>
  <c r="AA18" i="111" s="1"/>
  <c r="Y14" i="111"/>
  <c r="Y18" i="111" s="1"/>
  <c r="W14" i="111"/>
  <c r="W18" i="111" s="1"/>
  <c r="E41" i="11"/>
  <c r="E13" i="11"/>
  <c r="P17" i="5"/>
  <c r="E34" i="11"/>
  <c r="E12" i="52"/>
  <c r="W20" i="14"/>
  <c r="N23" i="6"/>
  <c r="E28" i="52"/>
  <c r="E26" i="52"/>
  <c r="E25" i="52"/>
  <c r="E27" i="52"/>
  <c r="J25" i="99"/>
  <c r="P17" i="7"/>
  <c r="N38" i="3"/>
  <c r="N30" i="3"/>
  <c r="N33" i="3"/>
  <c r="N26" i="3"/>
  <c r="N29" i="3"/>
  <c r="N39" i="3"/>
  <c r="N22" i="3"/>
  <c r="N25" i="3"/>
  <c r="N34" i="3"/>
  <c r="N19" i="3"/>
  <c r="N20" i="3"/>
  <c r="N17" i="6"/>
  <c r="F28" i="4"/>
  <c r="R31" i="2"/>
  <c r="E12" i="18" s="1"/>
  <c r="P23" i="7"/>
  <c r="N25" i="7"/>
  <c r="H11" i="3"/>
  <c r="L25" i="2"/>
  <c r="N17" i="12"/>
  <c r="F23" i="4"/>
  <c r="R20" i="4"/>
  <c r="J20" i="4"/>
  <c r="J23" i="4" s="1"/>
  <c r="R15" i="5"/>
  <c r="F15" i="6" s="1"/>
  <c r="R16" i="4"/>
  <c r="F16" i="5" s="1"/>
  <c r="J16" i="4"/>
  <c r="F17" i="4"/>
  <c r="R13" i="4"/>
  <c r="J13" i="4"/>
  <c r="N37" i="3"/>
  <c r="N23" i="3"/>
  <c r="N31" i="3"/>
  <c r="N21" i="3"/>
  <c r="N28" i="3"/>
  <c r="N36" i="3"/>
  <c r="P11" i="3"/>
  <c r="L25" i="7"/>
  <c r="P17" i="12"/>
  <c r="P25" i="12" s="1"/>
  <c r="N25" i="5"/>
  <c r="P25" i="4"/>
  <c r="P23" i="6"/>
  <c r="W52" i="14"/>
  <c r="J22" i="5"/>
  <c r="R22" i="5"/>
  <c r="F22" i="6" s="1"/>
  <c r="V20" i="14"/>
  <c r="J14" i="4"/>
  <c r="R14" i="4"/>
  <c r="F14" i="5" s="1"/>
  <c r="N25" i="2"/>
  <c r="X16" i="3" s="1"/>
  <c r="X74" i="3" s="1"/>
  <c r="N27" i="3"/>
  <c r="N35" i="3"/>
  <c r="N24" i="3"/>
  <c r="N32" i="3"/>
  <c r="J20" i="3"/>
  <c r="R11" i="3"/>
  <c r="L25" i="12"/>
  <c r="L25" i="6"/>
  <c r="X20" i="14"/>
  <c r="V52" i="14"/>
  <c r="R17" i="2"/>
  <c r="R25" i="2" s="1"/>
  <c r="E11" i="18" s="1"/>
  <c r="L27" i="19"/>
  <c r="M27" i="19" s="1"/>
  <c r="M24" i="19"/>
  <c r="L16" i="19"/>
  <c r="M16" i="19" s="1"/>
  <c r="L21" i="19"/>
  <c r="M21" i="19" s="1"/>
  <c r="M18" i="19"/>
  <c r="V73" i="108"/>
  <c r="T9" i="110"/>
  <c r="T11" i="110" s="1"/>
  <c r="Y20" i="91"/>
  <c r="M20" i="18"/>
  <c r="E20" i="18"/>
  <c r="AE20" i="91"/>
  <c r="W20" i="91"/>
  <c r="K20" i="18"/>
  <c r="AE20" i="111"/>
  <c r="AC20" i="91"/>
  <c r="U20" i="91"/>
  <c r="I20" i="18"/>
  <c r="AA20" i="91"/>
  <c r="S20" i="91"/>
  <c r="O20" i="18"/>
  <c r="G20" i="18"/>
  <c r="E20" i="11"/>
  <c r="I16" i="11"/>
  <c r="M16" i="11" s="1"/>
  <c r="Q16" i="11" s="1"/>
  <c r="E27" i="11"/>
  <c r="V71" i="108"/>
  <c r="I15" i="92"/>
  <c r="R22" i="100"/>
  <c r="F22" i="101" s="1"/>
  <c r="J22" i="101" s="1"/>
  <c r="P22" i="101" s="1"/>
  <c r="V75" i="108"/>
  <c r="V27" i="108"/>
  <c r="V74" i="108"/>
  <c r="V26" i="108"/>
  <c r="I27" i="92"/>
  <c r="N13" i="104"/>
  <c r="N17" i="104" s="1"/>
  <c r="L17" i="104"/>
  <c r="R28" i="108" s="1"/>
  <c r="N17" i="103"/>
  <c r="T23" i="108"/>
  <c r="R71" i="108"/>
  <c r="T71" i="108" s="1"/>
  <c r="L17" i="102"/>
  <c r="R26" i="108" s="1"/>
  <c r="N13" i="102"/>
  <c r="N17" i="102" s="1"/>
  <c r="J16" i="100"/>
  <c r="P16" i="100" s="1"/>
  <c r="R16" i="100"/>
  <c r="F16" i="101" s="1"/>
  <c r="V76" i="108"/>
  <c r="V28" i="108"/>
  <c r="P22" i="100"/>
  <c r="N17" i="99"/>
  <c r="F13" i="100"/>
  <c r="R13" i="100" s="1"/>
  <c r="R17" i="99"/>
  <c r="N13" i="100"/>
  <c r="N17" i="100" s="1"/>
  <c r="L17" i="100"/>
  <c r="R24" i="108" s="1"/>
  <c r="L17" i="101"/>
  <c r="R25" i="108" s="1"/>
  <c r="N13" i="101"/>
  <c r="N17" i="101" s="1"/>
  <c r="F28" i="100"/>
  <c r="R31" i="99"/>
  <c r="S12" i="91" s="1"/>
  <c r="R14" i="100"/>
  <c r="F14" i="101" s="1"/>
  <c r="J14" i="100"/>
  <c r="P14" i="100" s="1"/>
  <c r="T27" i="108"/>
  <c r="R75" i="108"/>
  <c r="T75" i="108" s="1"/>
  <c r="J15" i="100"/>
  <c r="P15" i="100" s="1"/>
  <c r="R15" i="100"/>
  <c r="F15" i="101" s="1"/>
  <c r="V72" i="108"/>
  <c r="V24" i="108"/>
  <c r="P17" i="99"/>
  <c r="P25" i="2" l="1"/>
  <c r="E25" i="18" s="1"/>
  <c r="E28" i="18" s="1"/>
  <c r="P25" i="6"/>
  <c r="P25" i="7"/>
  <c r="N25" i="4"/>
  <c r="R21" i="5"/>
  <c r="F21" i="6" s="1"/>
  <c r="J21" i="6" s="1"/>
  <c r="N25" i="6"/>
  <c r="E13" i="52"/>
  <c r="N25" i="12"/>
  <c r="P25" i="5"/>
  <c r="J28" i="3"/>
  <c r="J21" i="3"/>
  <c r="J25" i="3"/>
  <c r="J17" i="3"/>
  <c r="J29" i="3"/>
  <c r="J23" i="3"/>
  <c r="J34" i="3"/>
  <c r="J18" i="3"/>
  <c r="J30" i="3"/>
  <c r="J35" i="3"/>
  <c r="J26" i="3"/>
  <c r="J32" i="3"/>
  <c r="J37" i="3"/>
  <c r="T37" i="3" s="1"/>
  <c r="J33" i="3"/>
  <c r="J22" i="3"/>
  <c r="J27" i="3"/>
  <c r="J19" i="3"/>
  <c r="J24" i="3"/>
  <c r="J36" i="3"/>
  <c r="F25" i="4"/>
  <c r="E29" i="52"/>
  <c r="N74" i="3"/>
  <c r="F31" i="4"/>
  <c r="R28" i="4"/>
  <c r="J16" i="5"/>
  <c r="R16" i="5"/>
  <c r="F16" i="6" s="1"/>
  <c r="H19" i="3"/>
  <c r="H30" i="3"/>
  <c r="H32" i="3"/>
  <c r="H24" i="3"/>
  <c r="T24" i="3" s="1"/>
  <c r="H22" i="3"/>
  <c r="T22" i="3" s="1"/>
  <c r="H21" i="3"/>
  <c r="T21" i="3" s="1"/>
  <c r="H28" i="3"/>
  <c r="T28" i="3" s="1"/>
  <c r="H36" i="3"/>
  <c r="H26" i="3"/>
  <c r="T26" i="3" s="1"/>
  <c r="H34" i="3"/>
  <c r="H20" i="3"/>
  <c r="T20" i="3" s="1"/>
  <c r="H17" i="3"/>
  <c r="H27" i="3"/>
  <c r="H35" i="3"/>
  <c r="T35" i="3" s="1"/>
  <c r="H25" i="3"/>
  <c r="H33" i="3"/>
  <c r="T33" i="3" s="1"/>
  <c r="H23" i="3"/>
  <c r="H31" i="3"/>
  <c r="T31" i="3" s="1"/>
  <c r="H29" i="3"/>
  <c r="T29" i="3" s="1"/>
  <c r="H16" i="3"/>
  <c r="H18" i="3"/>
  <c r="R14" i="5"/>
  <c r="F14" i="6" s="1"/>
  <c r="J14" i="5"/>
  <c r="E13" i="18"/>
  <c r="E14" i="18" s="1"/>
  <c r="F13" i="5"/>
  <c r="R17" i="4"/>
  <c r="P40" i="3"/>
  <c r="P32" i="3"/>
  <c r="P24" i="3"/>
  <c r="P21" i="3"/>
  <c r="P39" i="3"/>
  <c r="P34" i="3"/>
  <c r="P26" i="3"/>
  <c r="P36" i="3"/>
  <c r="P30" i="3"/>
  <c r="P22" i="3"/>
  <c r="P28" i="3"/>
  <c r="P29" i="3"/>
  <c r="P20" i="3"/>
  <c r="P37" i="3"/>
  <c r="P25" i="3"/>
  <c r="P33" i="3"/>
  <c r="P38" i="3"/>
  <c r="P23" i="3"/>
  <c r="P31" i="3"/>
  <c r="P27" i="3"/>
  <c r="P35" i="3"/>
  <c r="R41" i="3"/>
  <c r="T41" i="3" s="1"/>
  <c r="R40" i="3"/>
  <c r="R29" i="3"/>
  <c r="R38" i="3"/>
  <c r="R34" i="3"/>
  <c r="R26" i="3"/>
  <c r="R27" i="3"/>
  <c r="R37" i="3"/>
  <c r="R24" i="3"/>
  <c r="R33" i="3"/>
  <c r="R25" i="3"/>
  <c r="R39" i="3"/>
  <c r="R30" i="3"/>
  <c r="R22" i="3"/>
  <c r="R31" i="3"/>
  <c r="R23" i="3"/>
  <c r="R36" i="3"/>
  <c r="R28" i="3"/>
  <c r="R21" i="3"/>
  <c r="R35" i="3"/>
  <c r="R32" i="3"/>
  <c r="J17" i="4"/>
  <c r="J25" i="4" s="1"/>
  <c r="R23" i="4"/>
  <c r="F20" i="5"/>
  <c r="J22" i="6"/>
  <c r="R22" i="6"/>
  <c r="F22" i="7" s="1"/>
  <c r="J15" i="6"/>
  <c r="R15" i="6"/>
  <c r="F15" i="7" s="1"/>
  <c r="AC20" i="111"/>
  <c r="AC22" i="111" s="1"/>
  <c r="AC31" i="111" s="1"/>
  <c r="W20" i="111"/>
  <c r="W22" i="111" s="1"/>
  <c r="W31" i="111" s="1"/>
  <c r="Y20" i="111"/>
  <c r="Y22" i="111" s="1"/>
  <c r="Y31" i="111" s="1"/>
  <c r="AA20" i="111"/>
  <c r="AA22" i="111" s="1"/>
  <c r="AA31" i="111" s="1"/>
  <c r="S20" i="111"/>
  <c r="S22" i="111" s="1"/>
  <c r="S31" i="111" s="1"/>
  <c r="U20" i="111"/>
  <c r="U22" i="111" s="1"/>
  <c r="U31" i="111" s="1"/>
  <c r="AE22" i="111"/>
  <c r="AE31" i="111" s="1"/>
  <c r="G29" i="52" s="1"/>
  <c r="V44" i="108"/>
  <c r="V92" i="108"/>
  <c r="R22" i="101"/>
  <c r="F22" i="102" s="1"/>
  <c r="R22" i="102" s="1"/>
  <c r="F22" i="103" s="1"/>
  <c r="J15" i="101"/>
  <c r="P15" i="101" s="1"/>
  <c r="R15" i="101"/>
  <c r="F15" i="102" s="1"/>
  <c r="R73" i="108"/>
  <c r="T73" i="108" s="1"/>
  <c r="T25" i="108"/>
  <c r="T24" i="108"/>
  <c r="R72" i="108"/>
  <c r="T72" i="108" s="1"/>
  <c r="S13" i="91"/>
  <c r="J14" i="101"/>
  <c r="P14" i="101" s="1"/>
  <c r="R14" i="101"/>
  <c r="F14" i="102" s="1"/>
  <c r="X71" i="108"/>
  <c r="Z71" i="108" s="1"/>
  <c r="AB71" i="108" s="1"/>
  <c r="AD23" i="108" s="1"/>
  <c r="AF23" i="108" s="1"/>
  <c r="X23" i="108"/>
  <c r="Z23" i="108" s="1"/>
  <c r="AB23" i="108" s="1"/>
  <c r="F31" i="100"/>
  <c r="R28" i="100"/>
  <c r="J16" i="101"/>
  <c r="P16" i="101" s="1"/>
  <c r="R16" i="101"/>
  <c r="F16" i="102" s="1"/>
  <c r="R74" i="108"/>
  <c r="T74" i="108" s="1"/>
  <c r="T26" i="108"/>
  <c r="R17" i="100"/>
  <c r="F13" i="101"/>
  <c r="F17" i="100"/>
  <c r="J13" i="100"/>
  <c r="T28" i="108"/>
  <c r="R76" i="108"/>
  <c r="T76" i="108" s="1"/>
  <c r="R21" i="6" l="1"/>
  <c r="F21" i="7" s="1"/>
  <c r="T30" i="3"/>
  <c r="T40" i="3"/>
  <c r="J74" i="3"/>
  <c r="T34" i="3"/>
  <c r="T23" i="3"/>
  <c r="T19" i="3"/>
  <c r="T17" i="3"/>
  <c r="T36" i="3"/>
  <c r="T18" i="3"/>
  <c r="T25" i="3"/>
  <c r="T27" i="3"/>
  <c r="T32" i="3"/>
  <c r="G13" i="18"/>
  <c r="R31" i="4"/>
  <c r="G12" i="18" s="1"/>
  <c r="F28" i="5"/>
  <c r="T16" i="3"/>
  <c r="H74" i="3"/>
  <c r="J16" i="6"/>
  <c r="R16" i="6"/>
  <c r="F16" i="7" s="1"/>
  <c r="R15" i="7"/>
  <c r="F15" i="12" s="1"/>
  <c r="J15" i="7"/>
  <c r="F23" i="5"/>
  <c r="J20" i="5"/>
  <c r="J23" i="5" s="1"/>
  <c r="R20" i="5"/>
  <c r="R25" i="4"/>
  <c r="G11" i="18" s="1"/>
  <c r="G25" i="18"/>
  <c r="G28" i="18" s="1"/>
  <c r="R74" i="3"/>
  <c r="P74" i="3"/>
  <c r="T39" i="3"/>
  <c r="J13" i="5"/>
  <c r="J17" i="5" s="1"/>
  <c r="F17" i="5"/>
  <c r="R13" i="5"/>
  <c r="J22" i="7"/>
  <c r="R22" i="7"/>
  <c r="F22" i="12" s="1"/>
  <c r="J21" i="7"/>
  <c r="R21" i="7"/>
  <c r="F21" i="12" s="1"/>
  <c r="J14" i="6"/>
  <c r="R14" i="6"/>
  <c r="F14" i="7" s="1"/>
  <c r="G25" i="52"/>
  <c r="G26" i="52"/>
  <c r="G27" i="52"/>
  <c r="G28" i="52"/>
  <c r="R44" i="108"/>
  <c r="J22" i="102"/>
  <c r="P22" i="102" s="1"/>
  <c r="AJ23" i="108"/>
  <c r="R92" i="108"/>
  <c r="J22" i="103"/>
  <c r="J13" i="101"/>
  <c r="F17" i="101"/>
  <c r="R13" i="101"/>
  <c r="J16" i="102"/>
  <c r="P16" i="102" s="1"/>
  <c r="R16" i="102"/>
  <c r="F16" i="103" s="1"/>
  <c r="J17" i="100"/>
  <c r="P13" i="100"/>
  <c r="P17" i="100" s="1"/>
  <c r="F28" i="101"/>
  <c r="R31" i="100"/>
  <c r="U12" i="91" s="1"/>
  <c r="J15" i="102"/>
  <c r="P15" i="102" s="1"/>
  <c r="R15" i="102"/>
  <c r="F15" i="103" s="1"/>
  <c r="J14" i="102"/>
  <c r="P14" i="102" s="1"/>
  <c r="R14" i="102"/>
  <c r="F14" i="103" s="1"/>
  <c r="T44" i="108"/>
  <c r="T92" i="108"/>
  <c r="K28" i="52" l="1"/>
  <c r="P28" i="52" s="1"/>
  <c r="K27" i="52"/>
  <c r="P27" i="52" s="1"/>
  <c r="K25" i="52"/>
  <c r="P25" i="52" s="1"/>
  <c r="K26" i="52"/>
  <c r="P26" i="52" s="1"/>
  <c r="G14" i="18"/>
  <c r="G18" i="18" s="1"/>
  <c r="G22" i="18" s="1"/>
  <c r="G30" i="18" s="1"/>
  <c r="F25" i="5"/>
  <c r="J25" i="5"/>
  <c r="F31" i="5"/>
  <c r="R28" i="5"/>
  <c r="J16" i="7"/>
  <c r="R16" i="7"/>
  <c r="F16" i="12" s="1"/>
  <c r="J22" i="12"/>
  <c r="R22" i="12"/>
  <c r="J21" i="12"/>
  <c r="R21" i="12"/>
  <c r="R17" i="5"/>
  <c r="F13" i="6"/>
  <c r="J14" i="7"/>
  <c r="R14" i="7"/>
  <c r="F14" i="12" s="1"/>
  <c r="F20" i="6"/>
  <c r="R23" i="5"/>
  <c r="J15" i="12"/>
  <c r="R15" i="12"/>
  <c r="T74" i="3"/>
  <c r="Z16" i="3"/>
  <c r="AB16" i="3" s="1"/>
  <c r="AD16" i="3" s="1"/>
  <c r="E16" i="18" s="1"/>
  <c r="E18" i="18" s="1"/>
  <c r="E22" i="18" s="1"/>
  <c r="E30" i="18" s="1"/>
  <c r="J15" i="103"/>
  <c r="P15" i="103" s="1"/>
  <c r="R15" i="103"/>
  <c r="F15" i="104" s="1"/>
  <c r="U13" i="91"/>
  <c r="J14" i="103"/>
  <c r="P14" i="103" s="1"/>
  <c r="R14" i="103"/>
  <c r="F14" i="104" s="1"/>
  <c r="F31" i="101"/>
  <c r="R28" i="101"/>
  <c r="J16" i="103"/>
  <c r="P16" i="103" s="1"/>
  <c r="R16" i="103"/>
  <c r="F16" i="104" s="1"/>
  <c r="J17" i="101"/>
  <c r="P13" i="101"/>
  <c r="P17" i="101" s="1"/>
  <c r="AL23" i="108"/>
  <c r="AP23" i="108" s="1"/>
  <c r="X72" i="108"/>
  <c r="Z72" i="108" s="1"/>
  <c r="AB72" i="108" s="1"/>
  <c r="AD24" i="108" s="1"/>
  <c r="AF24" i="108" s="1"/>
  <c r="X24" i="108"/>
  <c r="Z24" i="108" s="1"/>
  <c r="AB24" i="108" s="1"/>
  <c r="F13" i="102"/>
  <c r="R17" i="101"/>
  <c r="I25" i="18" l="1"/>
  <c r="I28" i="18" s="1"/>
  <c r="I13" i="18"/>
  <c r="F28" i="6"/>
  <c r="R31" i="5"/>
  <c r="I12" i="18" s="1"/>
  <c r="J14" i="12"/>
  <c r="R14" i="12"/>
  <c r="J20" i="6"/>
  <c r="J23" i="6" s="1"/>
  <c r="F23" i="6"/>
  <c r="R20" i="6"/>
  <c r="J16" i="12"/>
  <c r="R16" i="12"/>
  <c r="J13" i="6"/>
  <c r="J17" i="6" s="1"/>
  <c r="F17" i="6"/>
  <c r="R13" i="6"/>
  <c r="R25" i="5"/>
  <c r="I11" i="18" s="1"/>
  <c r="AJ24" i="108"/>
  <c r="AL24" i="108" s="1"/>
  <c r="AP24" i="108" s="1"/>
  <c r="S16" i="91"/>
  <c r="X73" i="108"/>
  <c r="Z73" i="108" s="1"/>
  <c r="AB73" i="108" s="1"/>
  <c r="AD25" i="108" s="1"/>
  <c r="AF25" i="108" s="1"/>
  <c r="X25" i="108"/>
  <c r="Z25" i="108" s="1"/>
  <c r="AB25" i="108" s="1"/>
  <c r="F28" i="102"/>
  <c r="R31" i="101"/>
  <c r="W12" i="91" s="1"/>
  <c r="J13" i="102"/>
  <c r="F17" i="102"/>
  <c r="R13" i="102"/>
  <c r="W13" i="91"/>
  <c r="J15" i="104"/>
  <c r="P15" i="104" s="1"/>
  <c r="R15" i="104"/>
  <c r="J14" i="104"/>
  <c r="P14" i="104" s="1"/>
  <c r="R14" i="104"/>
  <c r="J16" i="104"/>
  <c r="P16" i="104" s="1"/>
  <c r="R16" i="104"/>
  <c r="J25" i="6" l="1"/>
  <c r="X19" i="3" s="1"/>
  <c r="Z19" i="3" s="1"/>
  <c r="AB19" i="3" s="1"/>
  <c r="AD19" i="3" s="1"/>
  <c r="K16" i="18" s="1"/>
  <c r="I14" i="18"/>
  <c r="I18" i="18" s="1"/>
  <c r="I22" i="18" s="1"/>
  <c r="I30" i="18" s="1"/>
  <c r="F31" i="6"/>
  <c r="R28" i="6"/>
  <c r="R17" i="6"/>
  <c r="F13" i="7"/>
  <c r="F25" i="6"/>
  <c r="K13" i="18"/>
  <c r="F20" i="7"/>
  <c r="R23" i="6"/>
  <c r="AJ25" i="108"/>
  <c r="AL25" i="108" s="1"/>
  <c r="AP25" i="108" s="1"/>
  <c r="P13" i="102"/>
  <c r="P17" i="102" s="1"/>
  <c r="J17" i="102"/>
  <c r="U16" i="91"/>
  <c r="F13" i="103"/>
  <c r="R17" i="102"/>
  <c r="F31" i="102"/>
  <c r="R28" i="102"/>
  <c r="K25" i="18" l="1"/>
  <c r="K28" i="18" s="1"/>
  <c r="R31" i="6"/>
  <c r="K12" i="18" s="1"/>
  <c r="F28" i="7"/>
  <c r="F17" i="7"/>
  <c r="J13" i="7"/>
  <c r="J17" i="7" s="1"/>
  <c r="R13" i="7"/>
  <c r="J20" i="7"/>
  <c r="J23" i="7" s="1"/>
  <c r="F23" i="7"/>
  <c r="R20" i="7"/>
  <c r="R25" i="6"/>
  <c r="K11" i="18" s="1"/>
  <c r="K14" i="18" s="1"/>
  <c r="K18" i="18" s="1"/>
  <c r="K22" i="18" s="1"/>
  <c r="K30" i="18" s="1"/>
  <c r="X74" i="108"/>
  <c r="Z74" i="108" s="1"/>
  <c r="AB74" i="108" s="1"/>
  <c r="AD26" i="108" s="1"/>
  <c r="AF26" i="108" s="1"/>
  <c r="X26" i="108"/>
  <c r="Z26" i="108" s="1"/>
  <c r="AB26" i="108" s="1"/>
  <c r="Y13" i="91"/>
  <c r="J13" i="103"/>
  <c r="F17" i="103"/>
  <c r="R13" i="103"/>
  <c r="W16" i="91"/>
  <c r="R31" i="102"/>
  <c r="Y12" i="91" s="1"/>
  <c r="F28" i="103"/>
  <c r="F31" i="7" l="1"/>
  <c r="R28" i="7"/>
  <c r="F25" i="7"/>
  <c r="R23" i="7"/>
  <c r="F20" i="12"/>
  <c r="J25" i="7"/>
  <c r="F13" i="12"/>
  <c r="R17" i="7"/>
  <c r="R25" i="7" s="1"/>
  <c r="M11" i="18" s="1"/>
  <c r="AJ26" i="108"/>
  <c r="AL26" i="108" s="1"/>
  <c r="AP26" i="108" s="1"/>
  <c r="P13" i="103"/>
  <c r="P17" i="103" s="1"/>
  <c r="J17" i="103"/>
  <c r="F31" i="103"/>
  <c r="R28" i="103"/>
  <c r="F13" i="104"/>
  <c r="R17" i="103"/>
  <c r="F28" i="12" l="1"/>
  <c r="R31" i="7"/>
  <c r="M12" i="18" s="1"/>
  <c r="X20" i="3"/>
  <c r="Z20" i="3" s="1"/>
  <c r="AB20" i="3" s="1"/>
  <c r="AD20" i="3" s="1"/>
  <c r="M16" i="18" s="1"/>
  <c r="M25" i="18"/>
  <c r="M28" i="18" s="1"/>
  <c r="M13" i="18"/>
  <c r="F17" i="12"/>
  <c r="R13" i="12"/>
  <c r="R17" i="12" s="1"/>
  <c r="J13" i="12"/>
  <c r="J17" i="12" s="1"/>
  <c r="F23" i="12"/>
  <c r="J20" i="12"/>
  <c r="J23" i="12" s="1"/>
  <c r="R20" i="12"/>
  <c r="R23" i="12" s="1"/>
  <c r="X75" i="108"/>
  <c r="Z75" i="108" s="1"/>
  <c r="AB75" i="108" s="1"/>
  <c r="AD27" i="108" s="1"/>
  <c r="AF27" i="108" s="1"/>
  <c r="X27" i="108"/>
  <c r="Z27" i="108" s="1"/>
  <c r="AB27" i="108" s="1"/>
  <c r="Y16" i="91"/>
  <c r="F17" i="104"/>
  <c r="J13" i="104"/>
  <c r="R13" i="104"/>
  <c r="R17" i="104" s="1"/>
  <c r="R31" i="103"/>
  <c r="AA12" i="91" s="1"/>
  <c r="F28" i="104"/>
  <c r="AA13" i="91"/>
  <c r="J25" i="12" l="1"/>
  <c r="O25" i="18" s="1"/>
  <c r="O28" i="18" s="1"/>
  <c r="F31" i="12"/>
  <c r="R28" i="12"/>
  <c r="R31" i="12" s="1"/>
  <c r="O12" i="18" s="1"/>
  <c r="X21" i="3"/>
  <c r="Z21" i="3" s="1"/>
  <c r="AB21" i="3" s="1"/>
  <c r="AD21" i="3" s="1"/>
  <c r="O16" i="18" s="1"/>
  <c r="R25" i="12"/>
  <c r="O11" i="18" s="1"/>
  <c r="F25" i="12"/>
  <c r="M14" i="18"/>
  <c r="M18" i="18" s="1"/>
  <c r="M22" i="18" s="1"/>
  <c r="M30" i="18" s="1"/>
  <c r="I34" i="11" s="1"/>
  <c r="AJ27" i="108"/>
  <c r="AL27" i="108" s="1"/>
  <c r="AP27" i="108" s="1"/>
  <c r="F31" i="104"/>
  <c r="R28" i="104"/>
  <c r="R31" i="104" s="1"/>
  <c r="AC12" i="91" s="1"/>
  <c r="AE12" i="91" s="1"/>
  <c r="J17" i="104"/>
  <c r="P13" i="104"/>
  <c r="P17" i="104" s="1"/>
  <c r="O13" i="18" l="1"/>
  <c r="O14" i="18" s="1"/>
  <c r="O18" i="18" s="1"/>
  <c r="O22" i="18" s="1"/>
  <c r="O30" i="18" s="1"/>
  <c r="I41" i="11" s="1"/>
  <c r="I33" i="11"/>
  <c r="M33" i="11" s="1"/>
  <c r="Q33" i="11" s="1"/>
  <c r="I32" i="11"/>
  <c r="M32" i="11" s="1"/>
  <c r="Q32" i="11" s="1"/>
  <c r="I30" i="11"/>
  <c r="M30" i="11" s="1"/>
  <c r="Q30" i="11" s="1"/>
  <c r="I31" i="11"/>
  <c r="M31" i="11" s="1"/>
  <c r="Q31" i="11" s="1"/>
  <c r="X76" i="108"/>
  <c r="Z76" i="108" s="1"/>
  <c r="AB76" i="108" s="1"/>
  <c r="AD28" i="108" s="1"/>
  <c r="AF28" i="108" s="1"/>
  <c r="X28" i="108"/>
  <c r="Z28" i="108" s="1"/>
  <c r="AB28" i="108" s="1"/>
  <c r="AA16" i="91"/>
  <c r="AC13" i="91"/>
  <c r="AE13" i="91" s="1"/>
  <c r="I38" i="11" l="1"/>
  <c r="M38" i="11" s="1"/>
  <c r="Q38" i="11" s="1"/>
  <c r="I37" i="11"/>
  <c r="M37" i="11" s="1"/>
  <c r="Q37" i="11" s="1"/>
  <c r="I40" i="11"/>
  <c r="M40" i="11" s="1"/>
  <c r="Q40" i="11" s="1"/>
  <c r="I39" i="11"/>
  <c r="M39" i="11" s="1"/>
  <c r="Q39" i="11" s="1"/>
  <c r="AJ28" i="108"/>
  <c r="AL28" i="108" l="1"/>
  <c r="AJ44" i="108"/>
  <c r="X44" i="108"/>
  <c r="X92" i="108"/>
  <c r="AP28" i="108" l="1"/>
  <c r="AC16" i="91" s="1"/>
  <c r="AE16" i="91" s="1"/>
  <c r="Z92" i="108"/>
  <c r="AB44" i="108"/>
  <c r="Z44" i="108"/>
  <c r="AB92" i="108" l="1"/>
  <c r="AF44" i="108" l="1"/>
  <c r="AD44" i="108"/>
  <c r="I18" i="92"/>
  <c r="L21" i="104"/>
  <c r="L21" i="102"/>
  <c r="L21" i="101"/>
  <c r="N21" i="101" s="1"/>
  <c r="L20" i="103"/>
  <c r="L20" i="104"/>
  <c r="N20" i="104" s="1"/>
  <c r="L21" i="100"/>
  <c r="N21" i="100" s="1"/>
  <c r="L21" i="99"/>
  <c r="R21" i="99" s="1"/>
  <c r="F21" i="100" s="1"/>
  <c r="L21" i="103"/>
  <c r="N21" i="103" s="1"/>
  <c r="D20" i="92"/>
  <c r="L20" i="100"/>
  <c r="I17" i="92"/>
  <c r="L23" i="104" l="1"/>
  <c r="L25" i="104" s="1"/>
  <c r="N21" i="99"/>
  <c r="P21" i="99" s="1"/>
  <c r="J21" i="100"/>
  <c r="P21" i="100" s="1"/>
  <c r="R21" i="100"/>
  <c r="F21" i="101" s="1"/>
  <c r="J21" i="101" s="1"/>
  <c r="P21" i="101" s="1"/>
  <c r="L20" i="102"/>
  <c r="F20" i="92"/>
  <c r="N20" i="103"/>
  <c r="G20" i="92"/>
  <c r="N20" i="100"/>
  <c r="N23" i="100" s="1"/>
  <c r="N25" i="100" s="1"/>
  <c r="L23" i="100"/>
  <c r="L25" i="100" s="1"/>
  <c r="E20" i="92"/>
  <c r="L20" i="101"/>
  <c r="H20" i="92"/>
  <c r="L20" i="99"/>
  <c r="C20" i="92"/>
  <c r="N21" i="102"/>
  <c r="I19" i="92"/>
  <c r="I20" i="92" s="1"/>
  <c r="L22" i="103"/>
  <c r="L23" i="103" s="1"/>
  <c r="L25" i="103" s="1"/>
  <c r="N21" i="104"/>
  <c r="N23" i="104" s="1"/>
  <c r="N25" i="104" s="1"/>
  <c r="R22" i="103" l="1"/>
  <c r="F22" i="104" s="1"/>
  <c r="N22" i="103"/>
  <c r="P22" i="103" s="1"/>
  <c r="L23" i="99"/>
  <c r="L25" i="99" s="1"/>
  <c r="N20" i="99"/>
  <c r="R20" i="99"/>
  <c r="R21" i="101"/>
  <c r="F21" i="102" s="1"/>
  <c r="L23" i="102"/>
  <c r="L25" i="102" s="1"/>
  <c r="N20" i="102"/>
  <c r="N23" i="102" s="1"/>
  <c r="N25" i="102" s="1"/>
  <c r="N20" i="101"/>
  <c r="N23" i="101" s="1"/>
  <c r="N25" i="101" s="1"/>
  <c r="L23" i="101"/>
  <c r="L25" i="101" s="1"/>
  <c r="N23" i="103" l="1"/>
  <c r="N25" i="103" s="1"/>
  <c r="J21" i="102"/>
  <c r="P21" i="102" s="1"/>
  <c r="R21" i="102"/>
  <c r="F21" i="103" s="1"/>
  <c r="R23" i="99"/>
  <c r="R25" i="99" s="1"/>
  <c r="S11" i="91" s="1"/>
  <c r="F20" i="100"/>
  <c r="R22" i="104"/>
  <c r="J22" i="104"/>
  <c r="P22" i="104" s="1"/>
  <c r="N23" i="99"/>
  <c r="N25" i="99" s="1"/>
  <c r="P20" i="99"/>
  <c r="P23" i="99" s="1"/>
  <c r="P25" i="99" s="1"/>
  <c r="S25" i="91" s="1"/>
  <c r="S29" i="91" l="1"/>
  <c r="J20" i="100"/>
  <c r="F23" i="100"/>
  <c r="F25" i="100" s="1"/>
  <c r="R20" i="100"/>
  <c r="S14" i="91"/>
  <c r="S18" i="91" s="1"/>
  <c r="S22" i="91" s="1"/>
  <c r="J21" i="103"/>
  <c r="P21" i="103" s="1"/>
  <c r="R21" i="103"/>
  <c r="F21" i="104" s="1"/>
  <c r="J23" i="100" l="1"/>
  <c r="J25" i="100" s="1"/>
  <c r="P20" i="100"/>
  <c r="P23" i="100" s="1"/>
  <c r="P25" i="100" s="1"/>
  <c r="U25" i="91" s="1"/>
  <c r="S31" i="91"/>
  <c r="J21" i="104"/>
  <c r="P21" i="104" s="1"/>
  <c r="R21" i="104"/>
  <c r="R23" i="100"/>
  <c r="R25" i="100" s="1"/>
  <c r="U11" i="91" s="1"/>
  <c r="F20" i="101"/>
  <c r="U29" i="91" l="1"/>
  <c r="U14" i="91"/>
  <c r="U18" i="91" s="1"/>
  <c r="U22" i="91" s="1"/>
  <c r="J20" i="101"/>
  <c r="F23" i="101"/>
  <c r="F25" i="101" s="1"/>
  <c r="R20" i="101"/>
  <c r="U31" i="91" l="1"/>
  <c r="J23" i="101"/>
  <c r="J25" i="101" s="1"/>
  <c r="P20" i="101"/>
  <c r="P23" i="101" s="1"/>
  <c r="P25" i="101" s="1"/>
  <c r="W25" i="91" s="1"/>
  <c r="R23" i="101"/>
  <c r="R25" i="101" s="1"/>
  <c r="W11" i="91" s="1"/>
  <c r="F20" i="102"/>
  <c r="W29" i="91" l="1"/>
  <c r="W14" i="91"/>
  <c r="W18" i="91" s="1"/>
  <c r="W22" i="91" s="1"/>
  <c r="F23" i="102"/>
  <c r="F25" i="102" s="1"/>
  <c r="J20" i="102"/>
  <c r="R20" i="102"/>
  <c r="W31" i="91" l="1"/>
  <c r="R23" i="102"/>
  <c r="R25" i="102" s="1"/>
  <c r="Y11" i="91" s="1"/>
  <c r="F20" i="103"/>
  <c r="J23" i="102"/>
  <c r="J25" i="102" s="1"/>
  <c r="P20" i="102"/>
  <c r="P23" i="102" s="1"/>
  <c r="P25" i="102" s="1"/>
  <c r="Y25" i="91" s="1"/>
  <c r="Y29" i="91" l="1"/>
  <c r="Y14" i="91"/>
  <c r="Y18" i="91" s="1"/>
  <c r="Y22" i="91" s="1"/>
  <c r="F23" i="103"/>
  <c r="F25" i="103" s="1"/>
  <c r="R20" i="103"/>
  <c r="J20" i="103"/>
  <c r="Y31" i="91" l="1"/>
  <c r="P20" i="103"/>
  <c r="P23" i="103" s="1"/>
  <c r="P25" i="103" s="1"/>
  <c r="AA25" i="91" s="1"/>
  <c r="J23" i="103"/>
  <c r="J25" i="103" s="1"/>
  <c r="R23" i="103"/>
  <c r="R25" i="103" s="1"/>
  <c r="AA11" i="91" s="1"/>
  <c r="F20" i="104"/>
  <c r="AA14" i="91" l="1"/>
  <c r="AA18" i="91" s="1"/>
  <c r="AA22" i="91" s="1"/>
  <c r="AA29" i="91"/>
  <c r="J20" i="104"/>
  <c r="F23" i="104"/>
  <c r="F25" i="104" s="1"/>
  <c r="R20" i="104"/>
  <c r="R23" i="104" s="1"/>
  <c r="R25" i="104" s="1"/>
  <c r="AC11" i="91" s="1"/>
  <c r="AC14" i="91" l="1"/>
  <c r="AC18" i="91" s="1"/>
  <c r="AC22" i="91" s="1"/>
  <c r="AE11" i="91"/>
  <c r="AE14" i="91" s="1"/>
  <c r="AA31" i="91"/>
  <c r="J23" i="104"/>
  <c r="J25" i="104" s="1"/>
  <c r="P20" i="104"/>
  <c r="P23" i="104" s="1"/>
  <c r="P25" i="104" s="1"/>
  <c r="AC25" i="91" s="1"/>
  <c r="AE18" i="91" l="1"/>
  <c r="AE22" i="91" s="1"/>
  <c r="AC29" i="91"/>
  <c r="AC31" i="91" s="1"/>
  <c r="AE25" i="91"/>
  <c r="AE29" i="91" s="1"/>
  <c r="AE31" i="91" l="1"/>
  <c r="G13" i="52" s="1"/>
  <c r="G10" i="52" l="1"/>
  <c r="G11" i="52"/>
  <c r="G12" i="52"/>
  <c r="K11" i="52" l="1"/>
  <c r="O11" i="52" s="1"/>
  <c r="K12" i="52"/>
  <c r="O12" i="52" s="1"/>
  <c r="K10" i="52"/>
  <c r="O10" i="52" s="1"/>
</calcChain>
</file>

<file path=xl/comments1.xml><?xml version="1.0" encoding="utf-8"?>
<comments xmlns="http://schemas.openxmlformats.org/spreadsheetml/2006/main">
  <authors>
    <author>McGee, Dawn</author>
  </authors>
  <commentList>
    <comment ref="C10" authorId="0" shapeId="0">
      <text>
        <r>
          <rPr>
            <b/>
            <sz val="9"/>
            <color indexed="81"/>
            <rFont val="Tahoma"/>
            <family val="2"/>
          </rPr>
          <t>McGee, Dawn:</t>
        </r>
        <r>
          <rPr>
            <sz val="9"/>
            <color indexed="81"/>
            <rFont val="Tahoma"/>
            <family val="2"/>
          </rPr>
          <t xml:space="preserve">
Source is Sch M 2.2-G CN 2016-00371 proposed rates forecasted rate case.</t>
        </r>
      </text>
    </comment>
    <comment ref="C25" authorId="0" shapeId="0">
      <text>
        <r>
          <rPr>
            <b/>
            <sz val="9"/>
            <color indexed="81"/>
            <rFont val="Tahoma"/>
            <family val="2"/>
          </rPr>
          <t>McGee, Dawn:</t>
        </r>
        <r>
          <rPr>
            <sz val="9"/>
            <color indexed="81"/>
            <rFont val="Tahoma"/>
            <family val="2"/>
          </rPr>
          <t xml:space="preserve">
Source is Sch M 2.2-G CN 2016-00371 forecasted rate case.</t>
        </r>
      </text>
    </comment>
  </commentList>
</comments>
</file>

<file path=xl/comments2.xml><?xml version="1.0" encoding="utf-8"?>
<comments xmlns="http://schemas.openxmlformats.org/spreadsheetml/2006/main">
  <authors>
    <author>Jones, Rebecca</author>
  </authors>
  <commentList>
    <comment ref="T33" authorId="0" shapeId="0">
      <text>
        <r>
          <rPr>
            <b/>
            <sz val="9"/>
            <color indexed="81"/>
            <rFont val="Tahoma"/>
            <family val="2"/>
          </rPr>
          <t>Jones, Rebecca:</t>
        </r>
        <r>
          <rPr>
            <sz val="9"/>
            <color indexed="81"/>
            <rFont val="Tahoma"/>
            <family val="2"/>
          </rPr>
          <t xml:space="preserve">
$1,379K per GDO BP presentation for officer mtg, which excludes property tax of $2,853K.</t>
        </r>
      </text>
    </comment>
    <comment ref="T66" authorId="0" shapeId="0">
      <text>
        <r>
          <rPr>
            <b/>
            <sz val="9"/>
            <color indexed="81"/>
            <rFont val="Tahoma"/>
            <family val="2"/>
          </rPr>
          <t>Jones, Rebecca:</t>
        </r>
        <r>
          <rPr>
            <sz val="9"/>
            <color indexed="81"/>
            <rFont val="Tahoma"/>
            <family val="2"/>
          </rPr>
          <t xml:space="preserve">
$1,350K per GDO BP presentation for officer mtg, which excludes property tax of $3,501K.</t>
        </r>
      </text>
    </comment>
    <comment ref="T99" authorId="0" shapeId="0">
      <text>
        <r>
          <rPr>
            <b/>
            <sz val="9"/>
            <color indexed="81"/>
            <rFont val="Tahoma"/>
            <family val="2"/>
          </rPr>
          <t>Jones, Rebecca:</t>
        </r>
        <r>
          <rPr>
            <sz val="9"/>
            <color indexed="81"/>
            <rFont val="Tahoma"/>
            <family val="2"/>
          </rPr>
          <t xml:space="preserve">
$1,387K per GDO BP presentation for officer mtg, which excludes property tax of $4,120K.</t>
        </r>
      </text>
    </comment>
  </commentList>
</comments>
</file>

<file path=xl/comments3.xml><?xml version="1.0" encoding="utf-8"?>
<comments xmlns="http://schemas.openxmlformats.org/spreadsheetml/2006/main">
  <authors>
    <author>Jones, Rebecca</author>
  </authors>
  <commentList>
    <comment ref="Q29" authorId="0" shapeId="0">
      <text>
        <r>
          <rPr>
            <b/>
            <sz val="9"/>
            <color indexed="81"/>
            <rFont val="Tahoma"/>
            <family val="2"/>
          </rPr>
          <t>Jones, Rebecca:</t>
        </r>
        <r>
          <rPr>
            <sz val="9"/>
            <color indexed="81"/>
            <rFont val="Tahoma"/>
            <family val="2"/>
          </rPr>
          <t xml:space="preserve">
$50,825K per BP materials</t>
        </r>
      </text>
    </comment>
    <comment ref="Q51" authorId="0" shapeId="0">
      <text>
        <r>
          <rPr>
            <b/>
            <sz val="9"/>
            <color indexed="81"/>
            <rFont val="Tahoma"/>
            <family val="2"/>
          </rPr>
          <t>Jones, Rebecca:</t>
        </r>
        <r>
          <rPr>
            <sz val="9"/>
            <color indexed="81"/>
            <rFont val="Tahoma"/>
            <family val="2"/>
          </rPr>
          <t xml:space="preserve">
$47,724K per BP materials</t>
        </r>
      </text>
    </comment>
    <comment ref="Q72" authorId="0" shapeId="0">
      <text>
        <r>
          <rPr>
            <b/>
            <sz val="9"/>
            <color indexed="81"/>
            <rFont val="Tahoma"/>
            <family val="2"/>
          </rPr>
          <t>Jones, Rebecca:</t>
        </r>
        <r>
          <rPr>
            <sz val="9"/>
            <color indexed="81"/>
            <rFont val="Tahoma"/>
            <family val="2"/>
          </rPr>
          <t xml:space="preserve">
$62,948K per BP materials</t>
        </r>
      </text>
    </comment>
  </commentList>
</comments>
</file>

<file path=xl/comments4.xml><?xml version="1.0" encoding="utf-8"?>
<comments xmlns="http://schemas.openxmlformats.org/spreadsheetml/2006/main">
  <authors>
    <author>Leichty, Doug</author>
  </authors>
  <commentList>
    <comment ref="G22" authorId="0" shapeId="0">
      <text>
        <r>
          <rPr>
            <b/>
            <sz val="9"/>
            <color indexed="81"/>
            <rFont val="Tahoma"/>
            <family val="2"/>
          </rPr>
          <t>Leichty, Doug:</t>
        </r>
        <r>
          <rPr>
            <sz val="9"/>
            <color indexed="81"/>
            <rFont val="Tahoma"/>
            <family val="2"/>
          </rPr>
          <t xml:space="preserve">
Should be input as NEGATIVE (-) amount</t>
        </r>
      </text>
    </comment>
  </commentList>
</comments>
</file>

<file path=xl/comments5.xml><?xml version="1.0" encoding="utf-8"?>
<comments xmlns="http://schemas.openxmlformats.org/spreadsheetml/2006/main">
  <authors>
    <author>McGee, Dawn</author>
  </authors>
  <commentList>
    <comment ref="R13" authorId="0" shapeId="0">
      <text>
        <r>
          <rPr>
            <b/>
            <sz val="9"/>
            <color indexed="81"/>
            <rFont val="Tahoma"/>
            <family val="2"/>
          </rPr>
          <t>McGee, Dawn:</t>
        </r>
        <r>
          <rPr>
            <sz val="9"/>
            <color indexed="81"/>
            <rFont val="Tahoma"/>
            <family val="2"/>
          </rPr>
          <t xml:space="preserve">
See analysis of bonus depr on tab Capital Budget.  No bonus taken on mains or repairs.  See email from Jay Fister on designation as asset or repair.</t>
        </r>
      </text>
    </comment>
    <comment ref="R59" authorId="0" shapeId="0">
      <text>
        <r>
          <rPr>
            <b/>
            <sz val="9"/>
            <color indexed="81"/>
            <rFont val="Tahoma"/>
            <family val="2"/>
          </rPr>
          <t>McGee, Dawn:</t>
        </r>
        <r>
          <rPr>
            <sz val="9"/>
            <color indexed="81"/>
            <rFont val="Tahoma"/>
            <family val="2"/>
          </rPr>
          <t xml:space="preserve">
updated for sept 2016 actuals, both budget and bonus depreciation,</t>
        </r>
      </text>
    </comment>
  </commentList>
</comments>
</file>

<file path=xl/sharedStrings.xml><?xml version="1.0" encoding="utf-8"?>
<sst xmlns="http://schemas.openxmlformats.org/spreadsheetml/2006/main" count="2428" uniqueCount="442">
  <si>
    <t>Annualized Depreciation</t>
  </si>
  <si>
    <t>Depreciation</t>
  </si>
  <si>
    <t>Plant</t>
  </si>
  <si>
    <t>Rates</t>
  </si>
  <si>
    <t>Total</t>
  </si>
  <si>
    <t>Line</t>
  </si>
  <si>
    <t>No.</t>
  </si>
  <si>
    <t>Description</t>
  </si>
  <si>
    <t>Account</t>
  </si>
  <si>
    <t>Beginning</t>
  </si>
  <si>
    <t>Balance</t>
  </si>
  <si>
    <t>Depr</t>
  </si>
  <si>
    <t>Depr on</t>
  </si>
  <si>
    <t>Retirements</t>
  </si>
  <si>
    <t>Current Year</t>
  </si>
  <si>
    <t>Adds/Ret</t>
  </si>
  <si>
    <t>Annualized</t>
  </si>
  <si>
    <t>Ending</t>
  </si>
  <si>
    <t>(5)=(3)*(4)</t>
  </si>
  <si>
    <t>(7)=(4)*(6)*50%</t>
  </si>
  <si>
    <t>(8)=(6)*(4)</t>
  </si>
  <si>
    <t>(9)=(6)+(3)</t>
  </si>
  <si>
    <t>Total Plant</t>
  </si>
  <si>
    <t>Cost of Removal</t>
  </si>
  <si>
    <t>Additions</t>
  </si>
  <si>
    <t>Mains</t>
  </si>
  <si>
    <t>Total Additions</t>
  </si>
  <si>
    <t>Total Retirements</t>
  </si>
  <si>
    <t>Total Cost of Removal</t>
  </si>
  <si>
    <t>MACRS</t>
  </si>
  <si>
    <t>Tax Rate</t>
  </si>
  <si>
    <t>Life</t>
  </si>
  <si>
    <t>Year</t>
  </si>
  <si>
    <t>Year 1</t>
  </si>
  <si>
    <t>Year 2</t>
  </si>
  <si>
    <t>Year 3</t>
  </si>
  <si>
    <t>Year 4</t>
  </si>
  <si>
    <t>Year 5</t>
  </si>
  <si>
    <t>Year 6</t>
  </si>
  <si>
    <t>Year 7</t>
  </si>
  <si>
    <t>Annual</t>
  </si>
  <si>
    <t>Tax</t>
  </si>
  <si>
    <t>Cost</t>
  </si>
  <si>
    <t>of</t>
  </si>
  <si>
    <t>Removal</t>
  </si>
  <si>
    <t>Book</t>
  </si>
  <si>
    <t>Difference</t>
  </si>
  <si>
    <t>Deferred</t>
  </si>
  <si>
    <t>@ 38.9%</t>
  </si>
  <si>
    <t>Accumulated</t>
  </si>
  <si>
    <t>Taxes</t>
  </si>
  <si>
    <t>Tax Depreciation</t>
  </si>
  <si>
    <t>Ongoing Capital</t>
  </si>
  <si>
    <t>Capital Structure</t>
  </si>
  <si>
    <t>Ratio</t>
  </si>
  <si>
    <t>Weighted</t>
  </si>
  <si>
    <t>Tax Gross-up</t>
  </si>
  <si>
    <t>Short term debt</t>
  </si>
  <si>
    <t>Common equity</t>
  </si>
  <si>
    <t>Long term debt</t>
  </si>
  <si>
    <t>Rate Base</t>
  </si>
  <si>
    <t>Gas Plant Investment</t>
  </si>
  <si>
    <t>Accumulated Depreciation Reserve</t>
  </si>
  <si>
    <t xml:space="preserve">  Net Gas Plant</t>
  </si>
  <si>
    <t>Accumulated Deferred Taxes</t>
  </si>
  <si>
    <t>Net Rate Base</t>
  </si>
  <si>
    <t>Rate of Return</t>
  </si>
  <si>
    <t>Return on Net Rate Base</t>
  </si>
  <si>
    <t>Operating Expenses</t>
  </si>
  <si>
    <t>Incremental Operation &amp; Maintenance</t>
  </si>
  <si>
    <t xml:space="preserve">  Total Operating Expenses</t>
  </si>
  <si>
    <t>Total Annual Revenue Requirement</t>
  </si>
  <si>
    <t>and</t>
  </si>
  <si>
    <t>Services-Lines</t>
  </si>
  <si>
    <t>Services-Risers</t>
  </si>
  <si>
    <t>Residential Gas Service - Rate RGS</t>
  </si>
  <si>
    <t>Commercial Gas Service - Rate CGS</t>
  </si>
  <si>
    <t>Industrial Gas Service - Rate IGS</t>
  </si>
  <si>
    <t>As-Available Gas Service - Rate AAGS</t>
  </si>
  <si>
    <t>Allocation Percent</t>
  </si>
  <si>
    <t>Number of Bills</t>
  </si>
  <si>
    <t>Monthly Rate Per Bill</t>
  </si>
  <si>
    <t>Rate Schedule</t>
  </si>
  <si>
    <t>Line No.</t>
  </si>
  <si>
    <t>LOUISVILLE GAS AND ELECTRIC COMPANY</t>
  </si>
  <si>
    <t>HIGH</t>
  </si>
  <si>
    <t>RATE OF RETURN</t>
  </si>
  <si>
    <t>YEAR</t>
  </si>
  <si>
    <t>MAIN</t>
  </si>
  <si>
    <t>CAPEX</t>
  </si>
  <si>
    <t>RETIREMENTS</t>
  </si>
  <si>
    <t>COR</t>
  </si>
  <si>
    <t>RISER</t>
  </si>
  <si>
    <t>OPEX</t>
  </si>
  <si>
    <t>ONGOING</t>
  </si>
  <si>
    <t>5-YEAR PLAN (41,254 PER YEAR)</t>
  </si>
  <si>
    <t>SERVICE</t>
  </si>
  <si>
    <t>LOW</t>
  </si>
  <si>
    <t>TOTAL</t>
  </si>
  <si>
    <t>= INFLATION</t>
  </si>
  <si>
    <t>SCENARIO:</t>
  </si>
  <si>
    <t>YEAR PLAN (5 OR 7)</t>
  </si>
  <si>
    <t>OPTION (LOW OR HIGH)</t>
  </si>
  <si>
    <t>PLAN (1=RISER ONLY, 2=WITH SERVICE OWNERSHIP)</t>
  </si>
  <si>
    <t>Percent Increase (Base Revenue)</t>
  </si>
  <si>
    <t>SELECTION</t>
  </si>
  <si>
    <t>Note:</t>
  </si>
  <si>
    <t>YES</t>
  </si>
  <si>
    <t>NO</t>
  </si>
  <si>
    <t>20-year</t>
  </si>
  <si>
    <t>15-year</t>
  </si>
  <si>
    <t>INCLUDE MAIN REPLACEMENT (YES OR NO)</t>
  </si>
  <si>
    <t>GAS MAIN ONLY</t>
  </si>
  <si>
    <t>LEAK</t>
  </si>
  <si>
    <t xml:space="preserve">5-YEAR PLAN </t>
  </si>
  <si>
    <t>SERVICE LINE</t>
  </si>
  <si>
    <t xml:space="preserve"> Allocation to rate schedules is based on the base revenue distribution proposed in upcoming rate case.</t>
  </si>
  <si>
    <t xml:space="preserve"> Billing determinants based on test year ending March 31, 2012.</t>
  </si>
  <si>
    <t>Five Year Plan</t>
  </si>
  <si>
    <t>Main Capex</t>
  </si>
  <si>
    <t>Main Retirements</t>
  </si>
  <si>
    <t>Service Line Retirements</t>
  </si>
  <si>
    <t>Riser CAPEX</t>
  </si>
  <si>
    <t>Riser Retirements</t>
  </si>
  <si>
    <t>Riser COR</t>
  </si>
  <si>
    <t>ACC Customer Riser OPEX</t>
  </si>
  <si>
    <t>Service CAPEX</t>
  </si>
  <si>
    <t>Leak Survey OPEX</t>
  </si>
  <si>
    <t>Ongoing CAPEX</t>
  </si>
  <si>
    <t>March 2012 Financials page 6</t>
  </si>
  <si>
    <t>Repairs</t>
  </si>
  <si>
    <t>TOTAL OPEX</t>
  </si>
  <si>
    <t>CLASS ALLOCATION AND BILL IMPACT</t>
  </si>
  <si>
    <t>2013 BOOK DEPRECIATION</t>
  </si>
  <si>
    <t>2014 BOOK DEPRECIATION</t>
  </si>
  <si>
    <t>2015 BOOK DEPRECIATION</t>
  </si>
  <si>
    <t>2016 BOOK DEPRECIATION</t>
  </si>
  <si>
    <t>2017 BOOK DEPRECIATION</t>
  </si>
  <si>
    <t>TAX DEPRECIATION</t>
  </si>
  <si>
    <t>Total Current Revenue for YE 3/31/12 in Case No. 2012-00222</t>
  </si>
  <si>
    <t>Note 1: Rate Schedule VFD is included in Rate RGS</t>
  </si>
  <si>
    <t>Residential Gas Service - Rate RGS    (Note 1)</t>
  </si>
  <si>
    <t>ANNUAL ADJUSTMENT TO THE GAS LINE TRACKER</t>
  </si>
  <si>
    <t>Adjusted for</t>
  </si>
  <si>
    <t>Income Taxes</t>
  </si>
  <si>
    <t>REVENUE REQUIREMENT</t>
  </si>
  <si>
    <t>Service Line Capex</t>
  </si>
  <si>
    <t>Riser Capex</t>
  </si>
  <si>
    <t>Service Capex</t>
  </si>
  <si>
    <t xml:space="preserve">     Gas Plant Investment</t>
  </si>
  <si>
    <t>Main Cost of Removal</t>
  </si>
  <si>
    <t>Service Line Cost of Removal</t>
  </si>
  <si>
    <t>Riser Cost of Removal</t>
  </si>
  <si>
    <t xml:space="preserve">     Cost of Removal</t>
  </si>
  <si>
    <t>Leak Survey Opex</t>
  </si>
  <si>
    <t>Ongoing Opex</t>
  </si>
  <si>
    <t xml:space="preserve">     Incremental Operation &amp; Maintenance</t>
  </si>
  <si>
    <t>Accelerated Riser Opex</t>
  </si>
  <si>
    <t>CAPITAL AND OPERATING COSTS BY YEAR</t>
  </si>
  <si>
    <t>2012 BOOK DEPRECIATION</t>
  </si>
  <si>
    <t>Main Repair Capex</t>
  </si>
  <si>
    <t>Service Line CAPEX</t>
  </si>
  <si>
    <t>Repair CAPEX</t>
  </si>
  <si>
    <t>Change to Monthly Rate         Per Bill</t>
  </si>
  <si>
    <t>Jan</t>
  </si>
  <si>
    <t>Feb</t>
  </si>
  <si>
    <t>Mar</t>
  </si>
  <si>
    <t>Apr</t>
  </si>
  <si>
    <t>May</t>
  </si>
  <si>
    <t>Jun</t>
  </si>
  <si>
    <t>Jul</t>
  </si>
  <si>
    <t>Aug</t>
  </si>
  <si>
    <t>Sep</t>
  </si>
  <si>
    <t>Oct</t>
  </si>
  <si>
    <t>Nov</t>
  </si>
  <si>
    <t>Dec</t>
  </si>
  <si>
    <t>Original Revenue Requirement</t>
  </si>
  <si>
    <t>Revised Revenue Requirement</t>
  </si>
  <si>
    <t>January</t>
  </si>
  <si>
    <t>Current Month</t>
  </si>
  <si>
    <t>(8)=(5)+(7)</t>
  </si>
  <si>
    <t>February</t>
  </si>
  <si>
    <t>March</t>
  </si>
  <si>
    <t>April</t>
  </si>
  <si>
    <t>June</t>
  </si>
  <si>
    <t>July</t>
  </si>
  <si>
    <t>August</t>
  </si>
  <si>
    <t>September</t>
  </si>
  <si>
    <t>October</t>
  </si>
  <si>
    <t>November</t>
  </si>
  <si>
    <t>December</t>
  </si>
  <si>
    <t>Month</t>
  </si>
  <si>
    <t>Revised Monthly Rate         Per Bill</t>
  </si>
  <si>
    <t>Original Monthly Rate         Per Bill</t>
  </si>
  <si>
    <t>Project</t>
  </si>
  <si>
    <t>Project Desc</t>
  </si>
  <si>
    <t>Sept</t>
  </si>
  <si>
    <t>Investment</t>
  </si>
  <si>
    <t>107001</t>
  </si>
  <si>
    <t>CCSO419</t>
  </si>
  <si>
    <t>REPL EXIST CUST SRV W RISER</t>
  </si>
  <si>
    <t>CCSO421</t>
  </si>
  <si>
    <t>REPL EXIST CS WITH RISER-MUL</t>
  </si>
  <si>
    <t>CCSO4485</t>
  </si>
  <si>
    <t>REPL EXIST CS &amp; RISER-4485</t>
  </si>
  <si>
    <t>CNBCS419</t>
  </si>
  <si>
    <t>NB CUST SRV LINE &amp; GAS RISER</t>
  </si>
  <si>
    <t>CNBCS421</t>
  </si>
  <si>
    <t>DLSMR414</t>
  </si>
  <si>
    <t>DWNTWN LRG SCALE MAIN</t>
  </si>
  <si>
    <t>GASRSR414</t>
  </si>
  <si>
    <t>LSMR414</t>
  </si>
  <si>
    <t>Large Scale Main Replacements</t>
  </si>
  <si>
    <t>PMR414</t>
  </si>
  <si>
    <t>Priority Main Replacement</t>
  </si>
  <si>
    <t>RRCS419G</t>
  </si>
  <si>
    <t>REP CO GAS SERV 419</t>
  </si>
  <si>
    <t>RRCS421</t>
  </si>
  <si>
    <t>Serv Line Repl-Muldraugh</t>
  </si>
  <si>
    <t>Total Investment</t>
  </si>
  <si>
    <t>108799</t>
  </si>
  <si>
    <t>Total Removal</t>
  </si>
  <si>
    <t>Total 2014</t>
  </si>
  <si>
    <t>Total 2015</t>
  </si>
  <si>
    <t>Total 2016</t>
  </si>
  <si>
    <t>organization</t>
  </si>
  <si>
    <t>expenditure_org</t>
  </si>
  <si>
    <t>account</t>
  </si>
  <si>
    <t>expenditure_type</t>
  </si>
  <si>
    <t>project</t>
  </si>
  <si>
    <t>task</t>
  </si>
  <si>
    <t>year</t>
  </si>
  <si>
    <t xml:space="preserve">Nov </t>
  </si>
  <si>
    <t>total</t>
  </si>
  <si>
    <t>003385</t>
  </si>
  <si>
    <t>880110</t>
  </si>
  <si>
    <t>0301</t>
  </si>
  <si>
    <t>CUSTUNLO</t>
  </si>
  <si>
    <t>GAS SER UNLOC</t>
  </si>
  <si>
    <t>004190</t>
  </si>
  <si>
    <t>892110</t>
  </si>
  <si>
    <t>OCSOM419</t>
  </si>
  <si>
    <t>BUDGET</t>
  </si>
  <si>
    <t>004210</t>
  </si>
  <si>
    <t>OCSOM421</t>
  </si>
  <si>
    <t>004485</t>
  </si>
  <si>
    <t>OCSOM4485</t>
  </si>
  <si>
    <t>ORCSO419</t>
  </si>
  <si>
    <t>0111</t>
  </si>
  <si>
    <t>0520</t>
  </si>
  <si>
    <t>0752</t>
  </si>
  <si>
    <t>2017</t>
  </si>
  <si>
    <t>Total COS - 2017</t>
  </si>
  <si>
    <t>Revenue Requirement</t>
  </si>
  <si>
    <t>CAPITAL AND OPERATING COSTS</t>
  </si>
  <si>
    <t>Customer Service Capex</t>
  </si>
  <si>
    <t>Services-Customer Lines</t>
  </si>
  <si>
    <t>2012 Capital Actuals/FC</t>
  </si>
  <si>
    <t>project_description</t>
  </si>
  <si>
    <t>month_04_apr</t>
  </si>
  <si>
    <t>month_05_may</t>
  </si>
  <si>
    <t>month_06_jun</t>
  </si>
  <si>
    <t>month_07_jul</t>
  </si>
  <si>
    <t>month_08_aug</t>
  </si>
  <si>
    <t>month_09_sep</t>
  </si>
  <si>
    <t>month_10_oct</t>
  </si>
  <si>
    <t>month_11_nov</t>
  </si>
  <si>
    <t>month_12_dec</t>
  </si>
  <si>
    <t>Total 2012</t>
  </si>
  <si>
    <t>2012</t>
  </si>
  <si>
    <t xml:space="preserve">Total </t>
  </si>
  <si>
    <t xml:space="preserve">Total COR </t>
  </si>
  <si>
    <t>INVESTMENT</t>
  </si>
  <si>
    <t>Total 2013</t>
  </si>
  <si>
    <t>Total  Investment</t>
  </si>
  <si>
    <t>Monthly</t>
  </si>
  <si>
    <t xml:space="preserve">Note: </t>
  </si>
  <si>
    <t>Total Revenue Requirement</t>
  </si>
  <si>
    <t>(a)</t>
  </si>
  <si>
    <t>(b)</t>
  </si>
  <si>
    <t>(c)</t>
  </si>
  <si>
    <t>everything non-mains or repairs is at 50% bonus tax deprec</t>
  </si>
  <si>
    <t>Distributed Generation Gas Service - Rate DGGS</t>
  </si>
  <si>
    <t>GAS SERVICE RISER REPL &amp; CSO</t>
  </si>
  <si>
    <t>887110</t>
  </si>
  <si>
    <t>139084</t>
  </si>
  <si>
    <t>887COS</t>
  </si>
  <si>
    <t>004470</t>
  </si>
  <si>
    <t>0427</t>
  </si>
  <si>
    <t>0101</t>
  </si>
  <si>
    <t>0751</t>
  </si>
  <si>
    <t>874110</t>
  </si>
  <si>
    <t xml:space="preserve">Property Taxes </t>
  </si>
  <si>
    <t>(d)</t>
  </si>
  <si>
    <t>Property Taxes</t>
  </si>
  <si>
    <t>Version/Change Date</t>
  </si>
  <si>
    <t xml:space="preserve">Description of Change </t>
  </si>
  <si>
    <t>Changed By</t>
  </si>
  <si>
    <t>Date</t>
  </si>
  <si>
    <t>Verified By</t>
  </si>
  <si>
    <t>Reserve Retirements</t>
  </si>
  <si>
    <t xml:space="preserve">     Total Retirements</t>
  </si>
  <si>
    <t>Inserted new tabs "Rev Req 2015" and "Cap&amp;OpEx 2015" and 12 new tabs for Bk Depr 201501 through 201512.  Model was copied and pasted from tabs labeled 201401 through 201412 into tabs labeled 201501 through 201512.  Year reference in headers for all twelve months was updated to 2015.  Formulas in column 3 in tab "201501" were updated to reference 201412 column 9 (ending balances).  Formulas in Column 2 in Rev Req 2015 were updated to reference column 14 in Rev Req 2014 (ending balances).</t>
  </si>
  <si>
    <t>In tab "Tax Depr 2015", removed number in cell L12.  Added Column for 2015 in column N.  Copied formulas from Tax Depr 2014 for 2015 year and updated references to 2015 Capital Budget. Updated footnotes (a) - ('c) and added (d) to properly describe the treatment of each year.</t>
  </si>
  <si>
    <t>Dawn McGee</t>
  </si>
  <si>
    <t>In tabs Rev Req 2015, Rev Req 2014, and Rev Req 2013, modified formula in line 3 by changing references to $N25 and $J25 to $N17 and $J17.</t>
  </si>
  <si>
    <t>In tabs "Rev Req 2015", "Rev Req 2014" and "Rev Req 2013"  added row below Incremental Operation &amp; Maintenance.  Cell 27 added row title "Property Tax".  In Row 27 under columns 2 - 14, added formula ='Cap&amp;OpEx 2015!xx to reference the property tax for the appropriate month in column.  Updated year references in footnote (a).</t>
  </si>
  <si>
    <t>Federal Deferred</t>
  </si>
  <si>
    <t>State Deferred</t>
  </si>
  <si>
    <t>@ 35%</t>
  </si>
  <si>
    <t>@ 6%</t>
  </si>
  <si>
    <t>Bonus</t>
  </si>
  <si>
    <t>Page 2</t>
  </si>
  <si>
    <t xml:space="preserve">Federal Benefit </t>
  </si>
  <si>
    <t>of State</t>
  </si>
  <si>
    <t>Deferred Tax</t>
  </si>
  <si>
    <t>Net       Monthly Rate Per Bill Reflecting Trueup</t>
  </si>
  <si>
    <t>New tab created for "Tax Depr 2015", schedules from "Tax Depr 2014" were copied into tab, updated to reflect references to 2015 information and column was added for 2015 to calculate forecasted deferred tax.</t>
  </si>
  <si>
    <t>on</t>
  </si>
  <si>
    <t>MACRS   Tax Rate</t>
  </si>
  <si>
    <t>Doug Leichty</t>
  </si>
  <si>
    <t>In tabs Cap&amp;OpEx 2015, 2014, and 2013 changed name in column A row 20 to "Total Retirements".  Added row below "Total Retirements" named Reserve Retirements.  Under each month's column input either 0 or data for reserve retirements.  Column B has horizontal sum formula.</t>
  </si>
  <si>
    <t xml:space="preserve">Added second page to "Tax Depr 2013" , "Tax Depr 2014", and "Tax Depr 2015" to calculate the state portion of deferred tax at 6%.  </t>
  </si>
  <si>
    <t>In tab "Tax Depr 2013", "Tax Depr 2014", "Tax Depr 2015" formulas in column X were modified with references to P$25 changed to P$17 in all lines. Column AB Cell AB9 was changed from 38.5% to 35%.  Column AD was added and titled State Deferred tax page 2.  All line formulas reference previous cell AB.  Added column AFand titled Federal Benefit of State @ 35%.  Formulas were added to calculate the federal tax benefit of state tax at 35%.  Column AH was added and titled Deferred Tax on Retirements.  Line 14 was hard coded with data.  Column AJ, lines 4-15, formulas were modified to sum columns AJ, AB, AD, AF, and AH.</t>
  </si>
  <si>
    <t>In tabs Rev Req 2015 and Rev Req 2014 modified formula in line 3 by changing references to Bk Depr $L23 to Cap&amp;OpEx 2014 and Cap&amp;OpEx 2015 row 20 reference for each corresponding month.</t>
  </si>
  <si>
    <t>AMR414</t>
  </si>
  <si>
    <t>ALDYL-A MAIN REPLACEMENT</t>
  </si>
  <si>
    <t>Total 2017</t>
  </si>
  <si>
    <t>0304</t>
  </si>
  <si>
    <t>0699</t>
  </si>
  <si>
    <t>880COS</t>
  </si>
  <si>
    <t>892COS</t>
  </si>
  <si>
    <t>874COS</t>
  </si>
  <si>
    <t>878110</t>
  </si>
  <si>
    <t>878COS</t>
  </si>
  <si>
    <t>879110</t>
  </si>
  <si>
    <t>879COS</t>
  </si>
  <si>
    <t>004480</t>
  </si>
  <si>
    <t>006250</t>
  </si>
  <si>
    <t>408109</t>
  </si>
  <si>
    <t>132554</t>
  </si>
  <si>
    <t>GLT PROP TAX</t>
  </si>
  <si>
    <t>(1)</t>
  </si>
  <si>
    <t>(2)</t>
  </si>
  <si>
    <t>(3)</t>
  </si>
  <si>
    <t>(4)</t>
  </si>
  <si>
    <t>(5)</t>
  </si>
  <si>
    <t>(6)</t>
  </si>
  <si>
    <t>(7)</t>
  </si>
  <si>
    <t>(8)</t>
  </si>
  <si>
    <t>(9)</t>
  </si>
  <si>
    <t>(10)</t>
  </si>
  <si>
    <t>(11)</t>
  </si>
  <si>
    <t>(12)</t>
  </si>
  <si>
    <t>(13)</t>
  </si>
  <si>
    <t>(14)</t>
  </si>
  <si>
    <t>(15)</t>
  </si>
  <si>
    <t>On Cap&amp;OpEx 2016 tab, added column on far left to create column for Line Nos. and added row under headers for column numbers.</t>
  </si>
  <si>
    <t>ASSET</t>
  </si>
  <si>
    <t>BONUS DEPR</t>
  </si>
  <si>
    <t>PROJECT</t>
  </si>
  <si>
    <t>(e)</t>
  </si>
  <si>
    <t>On Class Allocation tab: Added column numbers under each section and changed column 8 headers to 2014 from 2013. Updated the forecasted revenue and customer months from 2014 rate case CN 2014-00372.</t>
  </si>
  <si>
    <t>Removed the If… portion of the formulas in tax depr 2014 tab and tax depr 2015 and tax depr 2016 tab</t>
  </si>
  <si>
    <t>JULY 2017 BOOK DEPRECIATION</t>
  </si>
  <si>
    <t>AUGUST 2017 BOOK DEPRECIATION</t>
  </si>
  <si>
    <t>SEPTEMBER 2017 BOOK DEPRECIATION</t>
  </si>
  <si>
    <t>OCTOBER 2017 BOOK DEPRECIATION</t>
  </si>
  <si>
    <t>DECEMBER 2017 BOOK DEPRECIATION</t>
  </si>
  <si>
    <t>NB INST CUST SERV LINE &amp; RSR</t>
  </si>
  <si>
    <t>TLR414</t>
  </si>
  <si>
    <t>TRANSMISSION LINE REPLACE</t>
  </si>
  <si>
    <t>*NEW PROGRAM</t>
  </si>
  <si>
    <t>CRSS414</t>
  </si>
  <si>
    <t>REPLACE STEEL SERVICE LINES</t>
  </si>
  <si>
    <t>Total 2018</t>
  </si>
  <si>
    <t>Total 2019</t>
  </si>
  <si>
    <t>2018</t>
  </si>
  <si>
    <t>Total COS - 2018</t>
  </si>
  <si>
    <t>2019</t>
  </si>
  <si>
    <t>Total COS - 2019</t>
  </si>
  <si>
    <t>Co Svc</t>
  </si>
  <si>
    <t>Riser</t>
  </si>
  <si>
    <t>Cust Svc</t>
  </si>
  <si>
    <t>Transmission</t>
  </si>
  <si>
    <t>NOVEMBER 2017 BOOK DEPRECIATION</t>
  </si>
  <si>
    <t>(f)</t>
  </si>
  <si>
    <t>2012 20-year additions at MACRS Year 6 tax rate (0.052850)</t>
  </si>
  <si>
    <t>2013 20-year additions at MACRS Year 5 tax rate (0.057130)</t>
  </si>
  <si>
    <t>2014 20-year additions at MACRS Year 4 tax rate (0.061770)</t>
  </si>
  <si>
    <t>2015 20-year additions at MACRS Year 3 tax rate (0.066770)</t>
  </si>
  <si>
    <t>2016 20-year additions at MACRS Year 2 tax rate (0.072190)</t>
  </si>
  <si>
    <t>Total w/o Trans</t>
  </si>
  <si>
    <t>Grand Total</t>
  </si>
  <si>
    <t>Updated to exclude a portion of the Aldyl-A replacement in the Magnolia area</t>
  </si>
  <si>
    <t>2017 20-year additions at MACRS Year 1 tax rate (0.037500) plus repairs</t>
  </si>
  <si>
    <t>2017 20-year additions at MACRS Year 1 tax rate (0.037500) plus Repairs</t>
  </si>
  <si>
    <t>Prorated Accumulated</t>
  </si>
  <si>
    <t>Change</t>
  </si>
  <si>
    <t>ADIT</t>
  </si>
  <si>
    <t>Proration</t>
  </si>
  <si>
    <t>This is the updated budget submitted 10-14-16</t>
  </si>
  <si>
    <t>Adjusted the retirements for prior periods - last rate case included those retirements.  Added prorated calculations in Tax Depreciation to comply with IRS code.</t>
  </si>
  <si>
    <t>Yellow highlight indicates repair</t>
  </si>
  <si>
    <t>Blue indicates mains</t>
  </si>
  <si>
    <t>Firm Transportation Service - FT</t>
  </si>
  <si>
    <t>Total Forecasted Revenue in Case No. 2016-00371</t>
  </si>
  <si>
    <t>Rate Schedule - Transmission</t>
  </si>
  <si>
    <t>Rate Schedule - Distribution</t>
  </si>
  <si>
    <t>Added a tab for a separate Rev Req 2017 calculation.  Tab only has the CWIP from the budget in it.</t>
  </si>
  <si>
    <t>Note (2): Rate Schedule AAGS is included in Rate IGS.</t>
  </si>
  <si>
    <t>Note (1): Rate Schedule VFD is included in Rate RGS.</t>
  </si>
  <si>
    <t>Gas Plant Investment - Transmission CWIP</t>
  </si>
  <si>
    <t>On Class Allocation tab, inserted section for allocating the transmission assets on a per Mcf basis using same revenue allocation as for the customer charge. Zeroed out property taxes on Rev Req tab from July - Dec.  Zeroed out the beginning balances on monthly depreciation tabs starting with July 2017. Created 6 month averages on Rev Req to compensate for half year in calculation. On Tax Depreciation tab, zeroed out prior year tax depr calculations and months of accumulated depr prior to July 2017.</t>
  </si>
  <si>
    <t>Jul - Dec 2017</t>
  </si>
  <si>
    <t>Jul-Dec</t>
  </si>
  <si>
    <t>Proposed GLT Distribution Rate Effective July 1, 2017</t>
  </si>
  <si>
    <t>Proposed GLT Transmission Rate Effective July 1, 2017</t>
  </si>
  <si>
    <t>1/184</t>
  </si>
  <si>
    <t>32/184</t>
  </si>
  <si>
    <t>62/184</t>
  </si>
  <si>
    <t>93/184</t>
  </si>
  <si>
    <t>123/184</t>
  </si>
  <si>
    <t>154/184</t>
  </si>
  <si>
    <t>Main-Distribution Capex</t>
  </si>
  <si>
    <t>Main-Transmission Capex</t>
  </si>
  <si>
    <t>Main-Distribution Retirements</t>
  </si>
  <si>
    <t>Main-Distribution Cost of Removal</t>
  </si>
  <si>
    <t>Note (3): Rate Schedule SGSS is included in Rate CGS.</t>
  </si>
  <si>
    <t>Note (4): Rate Schedule DGGS is included in Rate IGS.</t>
  </si>
  <si>
    <t>Note (5): Rate Schedule LGDS is included in Rate FT.</t>
  </si>
  <si>
    <t>RATES AS OF JULY 1, 2017 ADJUSTED FOR RESET OF GLT ASSETS</t>
  </si>
  <si>
    <t>2017 Forecast Case No. 2016-00383</t>
  </si>
  <si>
    <t>Jul - Dec 2017  Rate Per Mcf</t>
  </si>
  <si>
    <t>Jul - Dec 2017 Mcf</t>
  </si>
  <si>
    <t>Jul - Dec 2017 Number of Bills</t>
  </si>
  <si>
    <t>Jul - Dec 2017  Monthly Rate         Per Bill</t>
  </si>
  <si>
    <t>Capital structure and cost rates pursuant to Case No. 2016-00371</t>
  </si>
  <si>
    <t>2016 True up Monthly Rate         Per Bill</t>
  </si>
  <si>
    <t>2016 - (Over)/Under recovery</t>
  </si>
  <si>
    <t>Jul - Dec 2017  Rate Per ccf</t>
  </si>
  <si>
    <t>2016 True up Monthly Rate Per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</si>
</sst>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0\)"/>
    <numFmt numFmtId="168" formatCode="_(* #,##0.000000_);_(* \(#,##0.000000\);_(* &quot;-&quot;??_);_(@_)"/>
    <numFmt numFmtId="169" formatCode="[$-409]mmmm\-yy;@"/>
    <numFmt numFmtId="170" formatCode="&quot;$&quot;#,##0\ ;\(&quot;$&quot;#,##0\)"/>
    <numFmt numFmtId="171" formatCode="_([$€-2]* #,##0.00_);_([$€-2]* \(#,##0.00\);_([$€-2]* &quot;-&quot;??_)"/>
    <numFmt numFmtId="172" formatCode="#,##0.0000"/>
    <numFmt numFmtId="173" formatCode="&quot;$&quot;#,##0.0000_);\(&quot;$&quot;#,##0.0000\)"/>
    <numFmt numFmtId="174" formatCode="_(* #,##0.00000_);_(* \(#,##0.00000\);_(* &quot;-&quot;??_);_(@_)"/>
  </numFmts>
  <fonts count="113">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0"/>
      <name val="Arial"/>
      <family val="2"/>
    </font>
    <font>
      <b/>
      <sz val="10"/>
      <name val="Arial"/>
      <family val="2"/>
    </font>
    <font>
      <b/>
      <u/>
      <sz val="10"/>
      <name val="Arial"/>
      <family val="2"/>
    </font>
    <font>
      <sz val="8"/>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imes New Roman"/>
      <family val="1"/>
    </font>
    <font>
      <sz val="11"/>
      <color indexed="8"/>
      <name val="Calibri"/>
      <family val="2"/>
    </font>
    <font>
      <sz val="11"/>
      <color theme="1"/>
      <name val="Times New Roman"/>
      <family val="2"/>
    </font>
    <font>
      <sz val="11"/>
      <color indexed="9"/>
      <name val="Calibri"/>
      <family val="2"/>
    </font>
    <font>
      <sz val="11"/>
      <color theme="0"/>
      <name val="Times New Roman"/>
      <family val="2"/>
    </font>
    <font>
      <sz val="11"/>
      <color indexed="20"/>
      <name val="Calibri"/>
      <family val="2"/>
    </font>
    <font>
      <sz val="11"/>
      <color rgb="FF9C0006"/>
      <name val="Times New Roman"/>
      <family val="2"/>
    </font>
    <font>
      <b/>
      <sz val="11"/>
      <color indexed="52"/>
      <name val="Calibri"/>
      <family val="2"/>
    </font>
    <font>
      <b/>
      <sz val="11"/>
      <color rgb="FFFA7D00"/>
      <name val="Times New Roman"/>
      <family val="2"/>
    </font>
    <font>
      <b/>
      <sz val="11"/>
      <color indexed="10"/>
      <name val="Calibri"/>
      <family val="2"/>
    </font>
    <font>
      <b/>
      <sz val="11"/>
      <color indexed="9"/>
      <name val="Calibri"/>
      <family val="2"/>
    </font>
    <font>
      <b/>
      <sz val="11"/>
      <color theme="0"/>
      <name val="Times New Roman"/>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Arial (W1)"/>
    </font>
    <font>
      <i/>
      <sz val="11"/>
      <color indexed="23"/>
      <name val="Calibri"/>
      <family val="2"/>
    </font>
    <font>
      <i/>
      <sz val="11"/>
      <color rgb="FF7F7F7F"/>
      <name val="Times New Roman"/>
      <family val="2"/>
    </font>
    <font>
      <sz val="10"/>
      <name val="Times New Roman"/>
      <family val="1"/>
    </font>
    <font>
      <b/>
      <sz val="14"/>
      <name val="Arial"/>
      <family val="2"/>
    </font>
    <font>
      <sz val="8"/>
      <name val="Arial"/>
      <family val="2"/>
    </font>
    <font>
      <sz val="6"/>
      <name val="Arial"/>
      <family val="2"/>
    </font>
    <font>
      <sz val="11"/>
      <color indexed="17"/>
      <name val="Calibri"/>
      <family val="2"/>
    </font>
    <font>
      <sz val="11"/>
      <color rgb="FF006100"/>
      <name val="Times New Roman"/>
      <family val="2"/>
    </font>
    <font>
      <b/>
      <sz val="15"/>
      <color indexed="56"/>
      <name val="Calibri"/>
      <family val="2"/>
    </font>
    <font>
      <b/>
      <sz val="15"/>
      <color theme="3"/>
      <name val="Times New Roman"/>
      <family val="2"/>
    </font>
    <font>
      <b/>
      <sz val="18"/>
      <name val="Arial"/>
      <family val="2"/>
    </font>
    <font>
      <b/>
      <sz val="15"/>
      <color indexed="62"/>
      <name val="Calibri"/>
      <family val="2"/>
    </font>
    <font>
      <b/>
      <sz val="13"/>
      <color indexed="56"/>
      <name val="Calibri"/>
      <family val="2"/>
    </font>
    <font>
      <b/>
      <sz val="13"/>
      <color theme="3"/>
      <name val="Times New Roman"/>
      <family val="2"/>
    </font>
    <font>
      <b/>
      <sz val="12"/>
      <name val="Arial"/>
      <family val="2"/>
    </font>
    <font>
      <b/>
      <sz val="13"/>
      <color indexed="62"/>
      <name val="Calibri"/>
      <family val="2"/>
    </font>
    <font>
      <b/>
      <sz val="11"/>
      <color indexed="56"/>
      <name val="Calibri"/>
      <family val="2"/>
    </font>
    <font>
      <b/>
      <sz val="11"/>
      <color theme="3"/>
      <name val="Times New Roman"/>
      <family val="2"/>
    </font>
    <font>
      <b/>
      <sz val="11"/>
      <color indexed="62"/>
      <name val="Calibri"/>
      <family val="2"/>
    </font>
    <font>
      <sz val="11"/>
      <color indexed="62"/>
      <name val="Calibri"/>
      <family val="2"/>
    </font>
    <font>
      <sz val="11"/>
      <color rgb="FF3F3F76"/>
      <name val="Times New Roman"/>
      <family val="2"/>
    </font>
    <font>
      <b/>
      <sz val="10"/>
      <color indexed="8"/>
      <name val="Arial"/>
      <family val="2"/>
    </font>
    <font>
      <sz val="11"/>
      <color indexed="52"/>
      <name val="Calibri"/>
      <family val="2"/>
    </font>
    <font>
      <sz val="11"/>
      <color rgb="FFFA7D00"/>
      <name val="Times New Roman"/>
      <family val="2"/>
    </font>
    <font>
      <sz val="11"/>
      <color indexed="10"/>
      <name val="Calibri"/>
      <family val="2"/>
    </font>
    <font>
      <sz val="11"/>
      <color indexed="60"/>
      <name val="Calibri"/>
      <family val="2"/>
    </font>
    <font>
      <sz val="11"/>
      <color rgb="FF9C6500"/>
      <name val="Times New Roman"/>
      <family val="2"/>
    </font>
    <font>
      <sz val="11"/>
      <color indexed="19"/>
      <name val="Calibri"/>
      <family val="2"/>
    </font>
    <font>
      <sz val="10"/>
      <name val="MS Sans Serif"/>
      <family val="2"/>
    </font>
    <font>
      <sz val="11"/>
      <color indexed="8"/>
      <name val="Times New Roman"/>
      <family val="2"/>
    </font>
    <font>
      <b/>
      <sz val="11"/>
      <color indexed="63"/>
      <name val="Calibri"/>
      <family val="2"/>
    </font>
    <font>
      <b/>
      <sz val="11"/>
      <color rgb="FF3F3F3F"/>
      <name val="Times New Roman"/>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b/>
      <sz val="18"/>
      <color indexed="56"/>
      <name val="Cambria"/>
      <family val="2"/>
    </font>
    <font>
      <b/>
      <sz val="18"/>
      <color indexed="62"/>
      <name val="Cambria"/>
      <family val="2"/>
    </font>
    <font>
      <b/>
      <sz val="11"/>
      <color indexed="8"/>
      <name val="Calibri"/>
      <family val="2"/>
    </font>
    <font>
      <b/>
      <sz val="11"/>
      <color theme="1"/>
      <name val="Times New Roman"/>
      <family val="2"/>
    </font>
    <font>
      <sz val="8"/>
      <color indexed="8"/>
      <name val="Wingdings"/>
      <charset val="2"/>
    </font>
    <font>
      <sz val="11"/>
      <color rgb="FFFF0000"/>
      <name val="Times New Roman"/>
      <family val="2"/>
    </font>
    <font>
      <b/>
      <sz val="11"/>
      <name val="Arial"/>
      <family val="2"/>
    </font>
    <font>
      <b/>
      <sz val="11"/>
      <color indexed="56"/>
      <name val="Arial"/>
      <family val="2"/>
    </font>
    <font>
      <sz val="12"/>
      <color theme="1"/>
      <name val="Times New Roman"/>
      <family val="2"/>
    </font>
    <font>
      <sz val="12"/>
      <color theme="1"/>
      <name val="Times New Roman"/>
      <family val="1"/>
    </font>
    <font>
      <b/>
      <sz val="14"/>
      <name val="Times New Roman"/>
      <family val="1"/>
    </font>
    <font>
      <b/>
      <u/>
      <sz val="12"/>
      <name val="Times New Roman"/>
      <family val="1"/>
    </font>
    <font>
      <u/>
      <sz val="12"/>
      <name val="Times New Roman"/>
      <family val="1"/>
    </font>
    <font>
      <b/>
      <sz val="16"/>
      <name val="Times New Roman"/>
      <family val="1"/>
    </font>
    <font>
      <b/>
      <sz val="16"/>
      <name val="Arial"/>
      <family val="2"/>
    </font>
    <font>
      <sz val="16"/>
      <color theme="1"/>
      <name val="Arial"/>
      <family val="2"/>
    </font>
    <font>
      <sz val="16"/>
      <name val="Arial"/>
      <family val="2"/>
    </font>
    <font>
      <b/>
      <u val="singleAccounting"/>
      <sz val="16"/>
      <name val="Times New Roman"/>
      <family val="1"/>
    </font>
    <font>
      <sz val="16"/>
      <name val="Times New Roman"/>
      <family val="1"/>
    </font>
    <font>
      <sz val="16"/>
      <color theme="1"/>
      <name val="Times New Roman"/>
      <family val="1"/>
    </font>
    <font>
      <b/>
      <u/>
      <sz val="16"/>
      <name val="Times New Roman"/>
      <family val="1"/>
    </font>
    <font>
      <b/>
      <u/>
      <sz val="16"/>
      <name val="Arial"/>
      <family val="2"/>
    </font>
    <font>
      <b/>
      <sz val="10"/>
      <name val="Times New Roman"/>
      <family val="1"/>
    </font>
    <font>
      <sz val="10"/>
      <name val="Arial"/>
      <family val="2"/>
    </font>
    <font>
      <b/>
      <u val="singleAccounting"/>
      <sz val="12"/>
      <name val="Times New Roman"/>
      <family val="1"/>
    </font>
    <font>
      <sz val="9"/>
      <color indexed="81"/>
      <name val="Tahoma"/>
      <family val="2"/>
    </font>
    <font>
      <b/>
      <sz val="9"/>
      <color indexed="81"/>
      <name val="Tahoma"/>
      <family val="2"/>
    </font>
    <font>
      <b/>
      <u/>
      <sz val="12"/>
      <name val="Arial"/>
      <family val="2"/>
    </font>
    <font>
      <sz val="12"/>
      <name val="Arial"/>
      <family val="2"/>
    </font>
    <font>
      <sz val="10"/>
      <color rgb="FFFF0000"/>
      <name val="Arial"/>
      <family val="2"/>
    </font>
    <font>
      <sz val="10"/>
      <color rgb="FFFF0000"/>
      <name val="Times New Roman"/>
      <family val="1"/>
    </font>
    <font>
      <strike/>
      <sz val="16"/>
      <name val="Cambria"/>
      <family val="1"/>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12"/>
      </patternFill>
    </fill>
    <fill>
      <patternFill patternType="solid">
        <fgColor indexed="9"/>
        <bgColor indexed="64"/>
      </patternFill>
    </fill>
    <fill>
      <patternFill patternType="solid">
        <fgColor theme="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249977111117893"/>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2"/>
      </top>
      <bottom style="double">
        <color indexed="62"/>
      </bottom>
      <diagonal/>
    </border>
    <border>
      <left/>
      <right/>
      <top style="double">
        <color indexed="64"/>
      </top>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387">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26" fillId="0" borderId="0" applyFont="0" applyFill="0" applyBorder="0" applyAlignment="0" applyProtection="0"/>
    <xf numFmtId="0" fontId="2" fillId="0" borderId="0"/>
    <xf numFmtId="9" fontId="2" fillId="0" borderId="0" applyFont="0" applyFill="0" applyBorder="0" applyAlignment="0" applyProtection="0"/>
    <xf numFmtId="43" fontId="26" fillId="0" borderId="0" applyFont="0" applyFill="0" applyBorder="0" applyAlignment="0" applyProtection="0"/>
    <xf numFmtId="0" fontId="26" fillId="0" borderId="0"/>
    <xf numFmtId="43" fontId="2" fillId="0" borderId="0" applyFont="0" applyFill="0" applyBorder="0" applyAlignment="0" applyProtection="0"/>
    <xf numFmtId="44" fontId="2" fillId="0" borderId="0" applyFont="0" applyFill="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0"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8" fillId="10" borderId="0" applyNumberFormat="0" applyBorder="0" applyAlignment="0" applyProtection="0"/>
    <xf numFmtId="169" fontId="27"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8" fillId="10" borderId="0" applyNumberFormat="0" applyBorder="0" applyAlignment="0" applyProtection="0"/>
    <xf numFmtId="0" fontId="2" fillId="10"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7" fillId="34"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169" fontId="28" fillId="10" borderId="0" applyNumberFormat="0" applyBorder="0" applyAlignment="0" applyProtection="0"/>
    <xf numFmtId="0" fontId="27" fillId="34" borderId="0" applyNumberFormat="0" applyBorder="0" applyAlignment="0" applyProtection="0"/>
    <xf numFmtId="169" fontId="27" fillId="34"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3"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0"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4" borderId="0" applyNumberFormat="0" applyBorder="0" applyAlignment="0" applyProtection="0"/>
    <xf numFmtId="169" fontId="27"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4" borderId="0" applyNumberFormat="0" applyBorder="0" applyAlignment="0" applyProtection="0"/>
    <xf numFmtId="0" fontId="2" fillId="14"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7" fillId="36"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169" fontId="28" fillId="14" borderId="0" applyNumberFormat="0" applyBorder="0" applyAlignment="0" applyProtection="0"/>
    <xf numFmtId="0" fontId="27" fillId="36" borderId="0" applyNumberFormat="0" applyBorder="0" applyAlignment="0" applyProtection="0"/>
    <xf numFmtId="169" fontId="27" fillId="36"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18" borderId="0" applyNumberFormat="0" applyBorder="0" applyAlignment="0" applyProtection="0"/>
    <xf numFmtId="169" fontId="27"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18" borderId="0" applyNumberFormat="0" applyBorder="0" applyAlignment="0" applyProtection="0"/>
    <xf numFmtId="0" fontId="2" fillId="1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7" fillId="3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169" fontId="28" fillId="18"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7"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0"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8" fillId="22" borderId="0" applyNumberFormat="0" applyBorder="0" applyAlignment="0" applyProtection="0"/>
    <xf numFmtId="169" fontId="27"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8" fillId="22" borderId="0" applyNumberFormat="0" applyBorder="0" applyAlignment="0" applyProtection="0"/>
    <xf numFmtId="0" fontId="2" fillId="22"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7" fillId="40"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169" fontId="28" fillId="22" borderId="0" applyNumberFormat="0" applyBorder="0" applyAlignment="0" applyProtection="0"/>
    <xf numFmtId="0" fontId="27" fillId="40" borderId="0" applyNumberFormat="0" applyBorder="0" applyAlignment="0" applyProtection="0"/>
    <xf numFmtId="169" fontId="27" fillId="40"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6" borderId="0" applyNumberFormat="0" applyBorder="0" applyAlignment="0" applyProtection="0"/>
    <xf numFmtId="169" fontId="27"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6" borderId="0" applyNumberFormat="0" applyBorder="0" applyAlignment="0" applyProtection="0"/>
    <xf numFmtId="0" fontId="2" fillId="26"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7" fillId="41"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169" fontId="28" fillId="26"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0" borderId="0" applyNumberFormat="0" applyBorder="0" applyAlignment="0" applyProtection="0"/>
    <xf numFmtId="169" fontId="27"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0" borderId="0" applyNumberFormat="0" applyBorder="0" applyAlignment="0" applyProtection="0"/>
    <xf numFmtId="0" fontId="2" fillId="30"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7" fillId="38"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169" fontId="28" fillId="30"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40"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11" borderId="0" applyNumberFormat="0" applyBorder="0" applyAlignment="0" applyProtection="0"/>
    <xf numFmtId="169" fontId="27"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11" borderId="0" applyNumberFormat="0" applyBorder="0" applyAlignment="0" applyProtection="0"/>
    <xf numFmtId="0" fontId="2" fillId="1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7" fillId="4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169" fontId="28" fillId="11"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0"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5" borderId="0" applyNumberFormat="0" applyBorder="0" applyAlignment="0" applyProtection="0"/>
    <xf numFmtId="169" fontId="27" fillId="3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5" borderId="0" applyNumberFormat="0" applyBorder="0" applyAlignment="0" applyProtection="0"/>
    <xf numFmtId="0" fontId="2" fillId="15"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7" fillId="36"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169" fontId="28" fillId="15" borderId="0" applyNumberFormat="0" applyBorder="0" applyAlignment="0" applyProtection="0"/>
    <xf numFmtId="0"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36"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0" fontId="27" fillId="43"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8" fillId="19" borderId="0" applyNumberFormat="0" applyBorder="0" applyAlignment="0" applyProtection="0"/>
    <xf numFmtId="169" fontId="27"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8" fillId="19" borderId="0" applyNumberFormat="0" applyBorder="0" applyAlignment="0" applyProtection="0"/>
    <xf numFmtId="0" fontId="2" fillId="19"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7" fillId="43"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7" fillId="43"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169" fontId="28" fillId="19" borderId="0" applyNumberFormat="0" applyBorder="0" applyAlignment="0" applyProtection="0"/>
    <xf numFmtId="0" fontId="27" fillId="43" borderId="0" applyNumberFormat="0" applyBorder="0" applyAlignment="0" applyProtection="0"/>
    <xf numFmtId="169" fontId="27" fillId="43"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42"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0"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8" fillId="23" borderId="0" applyNumberFormat="0" applyBorder="0" applyAlignment="0" applyProtection="0"/>
    <xf numFmtId="169" fontId="27" fillId="3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8" fillId="23" borderId="0" applyNumberFormat="0" applyBorder="0" applyAlignment="0" applyProtection="0"/>
    <xf numFmtId="0" fontId="2" fillId="23"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7" fillId="35"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7" fillId="35"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169" fontId="28" fillId="23" borderId="0" applyNumberFormat="0" applyBorder="0" applyAlignment="0" applyProtection="0"/>
    <xf numFmtId="0" fontId="27" fillId="35" borderId="0" applyNumberFormat="0" applyBorder="0" applyAlignment="0" applyProtection="0"/>
    <xf numFmtId="169" fontId="27" fillId="35"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9"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7" borderId="0" applyNumberFormat="0" applyBorder="0" applyAlignment="0" applyProtection="0"/>
    <xf numFmtId="169" fontId="27"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7" borderId="0" applyNumberFormat="0" applyBorder="0" applyAlignment="0" applyProtection="0"/>
    <xf numFmtId="0" fontId="2" fillId="27"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7" fillId="41"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7" fillId="41"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169" fontId="28" fillId="27" borderId="0" applyNumberFormat="0" applyBorder="0" applyAlignment="0" applyProtection="0"/>
    <xf numFmtId="0" fontId="27" fillId="41" borderId="0" applyNumberFormat="0" applyBorder="0" applyAlignment="0" applyProtection="0"/>
    <xf numFmtId="169" fontId="27" fillId="41"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3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1" borderId="0" applyNumberFormat="0" applyBorder="0" applyAlignment="0" applyProtection="0"/>
    <xf numFmtId="169" fontId="27" fillId="3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1" borderId="0" applyNumberFormat="0" applyBorder="0" applyAlignment="0" applyProtection="0"/>
    <xf numFmtId="0" fontId="2" fillId="31"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7" fillId="38"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7" fillId="38"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169" fontId="28" fillId="31" borderId="0" applyNumberFormat="0" applyBorder="0" applyAlignment="0" applyProtection="0"/>
    <xf numFmtId="0" fontId="27" fillId="38" borderId="0" applyNumberFormat="0" applyBorder="0" applyAlignment="0" applyProtection="0"/>
    <xf numFmtId="169" fontId="27" fillId="38"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7" fillId="44"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5" fillId="12" borderId="0" applyNumberFormat="0" applyBorder="0" applyAlignment="0" applyProtection="0"/>
    <xf numFmtId="169" fontId="25" fillId="12" borderId="0" applyNumberFormat="0" applyBorder="0" applyAlignment="0" applyProtection="0"/>
    <xf numFmtId="169" fontId="25"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0"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12" borderId="0" applyNumberFormat="0" applyBorder="0" applyAlignment="0" applyProtection="0"/>
    <xf numFmtId="169" fontId="29" fillId="4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12" borderId="0" applyNumberFormat="0" applyBorder="0" applyAlignment="0" applyProtection="0"/>
    <xf numFmtId="0" fontId="25" fillId="12"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169" fontId="30" fillId="12" borderId="0" applyNumberFormat="0" applyBorder="0" applyAlignment="0" applyProtection="0"/>
    <xf numFmtId="0"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45"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5" fillId="16" borderId="0" applyNumberFormat="0" applyBorder="0" applyAlignment="0" applyProtection="0"/>
    <xf numFmtId="169" fontId="25" fillId="16" borderId="0" applyNumberFormat="0" applyBorder="0" applyAlignment="0" applyProtection="0"/>
    <xf numFmtId="169" fontId="25"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0"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6" borderId="0" applyNumberFormat="0" applyBorder="0" applyAlignment="0" applyProtection="0"/>
    <xf numFmtId="169" fontId="29" fillId="4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6" borderId="0" applyNumberFormat="0" applyBorder="0" applyAlignment="0" applyProtection="0"/>
    <xf numFmtId="0" fontId="25" fillId="1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169" fontId="30" fillId="16" borderId="0" applyNumberFormat="0" applyBorder="0" applyAlignment="0" applyProtection="0"/>
    <xf numFmtId="0"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5" fillId="20" borderId="0" applyNumberFormat="0" applyBorder="0" applyAlignment="0" applyProtection="0"/>
    <xf numFmtId="169" fontId="25" fillId="20" borderId="0" applyNumberFormat="0" applyBorder="0" applyAlignment="0" applyProtection="0"/>
    <xf numFmtId="169" fontId="25"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0"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20" borderId="0" applyNumberFormat="0" applyBorder="0" applyAlignment="0" applyProtection="0"/>
    <xf numFmtId="169" fontId="29" fillId="4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20" borderId="0" applyNumberFormat="0" applyBorder="0" applyAlignment="0" applyProtection="0"/>
    <xf numFmtId="0" fontId="25" fillId="20"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169" fontId="30" fillId="20" borderId="0" applyNumberFormat="0" applyBorder="0" applyAlignment="0" applyProtection="0"/>
    <xf numFmtId="0"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2"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5" fillId="24" borderId="0" applyNumberFormat="0" applyBorder="0" applyAlignment="0" applyProtection="0"/>
    <xf numFmtId="169" fontId="25" fillId="24" borderId="0" applyNumberFormat="0" applyBorder="0" applyAlignment="0" applyProtection="0"/>
    <xf numFmtId="169" fontId="25"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0"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30" fillId="24" borderId="0" applyNumberFormat="0" applyBorder="0" applyAlignment="0" applyProtection="0"/>
    <xf numFmtId="169" fontId="29" fillId="3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30" fillId="24" borderId="0" applyNumberFormat="0" applyBorder="0" applyAlignment="0" applyProtection="0"/>
    <xf numFmtId="0" fontId="25" fillId="24"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169" fontId="30" fillId="24" borderId="0" applyNumberFormat="0" applyBorder="0" applyAlignment="0" applyProtection="0"/>
    <xf numFmtId="0" fontId="29" fillId="35" borderId="0" applyNumberFormat="0" applyBorder="0" applyAlignment="0" applyProtection="0"/>
    <xf numFmtId="169" fontId="29" fillId="35" borderId="0" applyNumberFormat="0" applyBorder="0" applyAlignment="0" applyProtection="0"/>
    <xf numFmtId="169" fontId="29" fillId="35"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5" fillId="28" borderId="0" applyNumberFormat="0" applyBorder="0" applyAlignment="0" applyProtection="0"/>
    <xf numFmtId="169" fontId="25" fillId="28" borderId="0" applyNumberFormat="0" applyBorder="0" applyAlignment="0" applyProtection="0"/>
    <xf numFmtId="169" fontId="25"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0"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28" borderId="0" applyNumberFormat="0" applyBorder="0" applyAlignment="0" applyProtection="0"/>
    <xf numFmtId="169" fontId="29" fillId="41"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28" borderId="0" applyNumberFormat="0" applyBorder="0" applyAlignment="0" applyProtection="0"/>
    <xf numFmtId="0" fontId="25" fillId="28"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169" fontId="30" fillId="28" borderId="0" applyNumberFormat="0" applyBorder="0" applyAlignment="0" applyProtection="0"/>
    <xf numFmtId="0" fontId="29" fillId="41" borderId="0" applyNumberFormat="0" applyBorder="0" applyAlignment="0" applyProtection="0"/>
    <xf numFmtId="169" fontId="29" fillId="41" borderId="0" applyNumberFormat="0" applyBorder="0" applyAlignment="0" applyProtection="0"/>
    <xf numFmtId="169" fontId="29" fillId="41"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5" fillId="32" borderId="0" applyNumberFormat="0" applyBorder="0" applyAlignment="0" applyProtection="0"/>
    <xf numFmtId="169" fontId="25" fillId="32" borderId="0" applyNumberFormat="0" applyBorder="0" applyAlignment="0" applyProtection="0"/>
    <xf numFmtId="169" fontId="25"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0"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30" fillId="32" borderId="0" applyNumberFormat="0" applyBorder="0" applyAlignment="0" applyProtection="0"/>
    <xf numFmtId="169" fontId="29" fillId="36"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30" fillId="32" borderId="0" applyNumberFormat="0" applyBorder="0" applyAlignment="0" applyProtection="0"/>
    <xf numFmtId="0" fontId="25" fillId="32"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169" fontId="30" fillId="32" borderId="0" applyNumberFormat="0" applyBorder="0" applyAlignment="0" applyProtection="0"/>
    <xf numFmtId="0" fontId="29" fillId="36" borderId="0" applyNumberFormat="0" applyBorder="0" applyAlignment="0" applyProtection="0"/>
    <xf numFmtId="169" fontId="29" fillId="36" borderId="0" applyNumberFormat="0" applyBorder="0" applyAlignment="0" applyProtection="0"/>
    <xf numFmtId="169" fontId="29" fillId="36"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49"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5" fillId="9" borderId="0" applyNumberFormat="0" applyBorder="0" applyAlignment="0" applyProtection="0"/>
    <xf numFmtId="169" fontId="25" fillId="9" borderId="0" applyNumberFormat="0" applyBorder="0" applyAlignment="0" applyProtection="0"/>
    <xf numFmtId="169" fontId="25"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0"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30" fillId="9" borderId="0" applyNumberFormat="0" applyBorder="0" applyAlignment="0" applyProtection="0"/>
    <xf numFmtId="169" fontId="29" fillId="5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30" fillId="9" borderId="0" applyNumberFormat="0" applyBorder="0" applyAlignment="0" applyProtection="0"/>
    <xf numFmtId="0" fontId="25" fillId="9"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169" fontId="30" fillId="9" borderId="0" applyNumberFormat="0" applyBorder="0" applyAlignment="0" applyProtection="0"/>
    <xf numFmtId="0" fontId="29" fillId="51" borderId="0" applyNumberFormat="0" applyBorder="0" applyAlignment="0" applyProtection="0"/>
    <xf numFmtId="169" fontId="29" fillId="51" borderId="0" applyNumberFormat="0" applyBorder="0" applyAlignment="0" applyProtection="0"/>
    <xf numFmtId="169" fontId="29" fillId="51"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0"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5" fillId="13" borderId="0" applyNumberFormat="0" applyBorder="0" applyAlignment="0" applyProtection="0"/>
    <xf numFmtId="169" fontId="25" fillId="13" borderId="0" applyNumberFormat="0" applyBorder="0" applyAlignment="0" applyProtection="0"/>
    <xf numFmtId="169" fontId="25"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0"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3" borderId="0" applyNumberFormat="0" applyBorder="0" applyAlignment="0" applyProtection="0"/>
    <xf numFmtId="169" fontId="29" fillId="4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3" borderId="0" applyNumberFormat="0" applyBorder="0" applyAlignment="0" applyProtection="0"/>
    <xf numFmtId="0" fontId="25" fillId="13"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169" fontId="30" fillId="13" borderId="0" applyNumberFormat="0" applyBorder="0" applyAlignment="0" applyProtection="0"/>
    <xf numFmtId="0"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5" fillId="17" borderId="0" applyNumberFormat="0" applyBorder="0" applyAlignment="0" applyProtection="0"/>
    <xf numFmtId="169" fontId="25" fillId="17" borderId="0" applyNumberFormat="0" applyBorder="0" applyAlignment="0" applyProtection="0"/>
    <xf numFmtId="169" fontId="25"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0"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17" borderId="0" applyNumberFormat="0" applyBorder="0" applyAlignment="0" applyProtection="0"/>
    <xf numFmtId="169" fontId="29" fillId="4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17" borderId="0" applyNumberFormat="0" applyBorder="0" applyAlignment="0" applyProtection="0"/>
    <xf numFmtId="0" fontId="25" fillId="17"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169" fontId="30" fillId="17" borderId="0" applyNumberFormat="0" applyBorder="0" applyAlignment="0" applyProtection="0"/>
    <xf numFmtId="0" fontId="29" fillId="44" borderId="0" applyNumberFormat="0" applyBorder="0" applyAlignment="0" applyProtection="0"/>
    <xf numFmtId="169" fontId="29" fillId="44" borderId="0" applyNumberFormat="0" applyBorder="0" applyAlignment="0" applyProtection="0"/>
    <xf numFmtId="169" fontId="29" fillId="44"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53"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5" fillId="21" borderId="0" applyNumberFormat="0" applyBorder="0" applyAlignment="0" applyProtection="0"/>
    <xf numFmtId="169" fontId="25" fillId="21" borderId="0" applyNumberFormat="0" applyBorder="0" applyAlignment="0" applyProtection="0"/>
    <xf numFmtId="169" fontId="25"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0"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30" fillId="21" borderId="0" applyNumberFormat="0" applyBorder="0" applyAlignment="0" applyProtection="0"/>
    <xf numFmtId="169" fontId="29" fillId="5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30" fillId="21" borderId="0" applyNumberFormat="0" applyBorder="0" applyAlignment="0" applyProtection="0"/>
    <xf numFmtId="0" fontId="25" fillId="21"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169" fontId="30" fillId="21" borderId="0" applyNumberFormat="0" applyBorder="0" applyAlignment="0" applyProtection="0"/>
    <xf numFmtId="0" fontId="29" fillId="54" borderId="0" applyNumberFormat="0" applyBorder="0" applyAlignment="0" applyProtection="0"/>
    <xf numFmtId="169" fontId="29" fillId="54" borderId="0" applyNumberFormat="0" applyBorder="0" applyAlignment="0" applyProtection="0"/>
    <xf numFmtId="169" fontId="29" fillId="54"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7"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5" fillId="25" borderId="0" applyNumberFormat="0" applyBorder="0" applyAlignment="0" applyProtection="0"/>
    <xf numFmtId="169" fontId="25" fillId="25" borderId="0" applyNumberFormat="0" applyBorder="0" applyAlignment="0" applyProtection="0"/>
    <xf numFmtId="169" fontId="25"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0"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30" fillId="25" borderId="0" applyNumberFormat="0" applyBorder="0" applyAlignment="0" applyProtection="0"/>
    <xf numFmtId="169" fontId="29" fillId="48"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30" fillId="25" borderId="0" applyNumberFormat="0" applyBorder="0" applyAlignment="0" applyProtection="0"/>
    <xf numFmtId="0" fontId="25" fillId="25"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169" fontId="30" fillId="25" borderId="0" applyNumberFormat="0" applyBorder="0" applyAlignment="0" applyProtection="0"/>
    <xf numFmtId="0"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8"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5" fillId="29" borderId="0" applyNumberFormat="0" applyBorder="0" applyAlignment="0" applyProtection="0"/>
    <xf numFmtId="169" fontId="25" fillId="29" borderId="0" applyNumberFormat="0" applyBorder="0" applyAlignment="0" applyProtection="0"/>
    <xf numFmtId="169" fontId="25"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0"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30" fillId="29" borderId="0" applyNumberFormat="0" applyBorder="0" applyAlignment="0" applyProtection="0"/>
    <xf numFmtId="169" fontId="29" fillId="52"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30" fillId="29" borderId="0" applyNumberFormat="0" applyBorder="0" applyAlignment="0" applyProtection="0"/>
    <xf numFmtId="0" fontId="25" fillId="29"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169" fontId="30" fillId="29" borderId="0" applyNumberFormat="0" applyBorder="0" applyAlignment="0" applyProtection="0"/>
    <xf numFmtId="0" fontId="29" fillId="52" borderId="0" applyNumberFormat="0" applyBorder="0" applyAlignment="0" applyProtection="0"/>
    <xf numFmtId="169" fontId="29" fillId="52" borderId="0" applyNumberFormat="0" applyBorder="0" applyAlignment="0" applyProtection="0"/>
    <xf numFmtId="169" fontId="29" fillId="52"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29" fillId="46"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15" fillId="3" borderId="0" applyNumberFormat="0" applyBorder="0" applyAlignment="0" applyProtection="0"/>
    <xf numFmtId="169" fontId="15" fillId="3" borderId="0" applyNumberFormat="0" applyBorder="0" applyAlignment="0" applyProtection="0"/>
    <xf numFmtId="169" fontId="15"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2" fillId="3" borderId="0" applyNumberFormat="0" applyBorder="0" applyAlignment="0" applyProtection="0"/>
    <xf numFmtId="169" fontId="31" fillId="3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2" fillId="3" borderId="0" applyNumberFormat="0" applyBorder="0" applyAlignment="0" applyProtection="0"/>
    <xf numFmtId="0" fontId="15" fillId="3"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169" fontId="32" fillId="3" borderId="0" applyNumberFormat="0" applyBorder="0" applyAlignment="0" applyProtection="0"/>
    <xf numFmtId="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1" fillId="35" borderId="0" applyNumberFormat="0" applyBorder="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19" fillId="6" borderId="10" applyNumberFormat="0" applyAlignment="0" applyProtection="0"/>
    <xf numFmtId="169" fontId="19" fillId="6" borderId="10" applyNumberFormat="0" applyAlignment="0" applyProtection="0"/>
    <xf numFmtId="169" fontId="19" fillId="6" borderId="10" applyNumberFormat="0" applyAlignment="0" applyProtection="0"/>
    <xf numFmtId="169" fontId="34" fillId="6" borderId="10" applyNumberFormat="0" applyAlignment="0" applyProtection="0"/>
    <xf numFmtId="169" fontId="34" fillId="6" borderId="10" applyNumberFormat="0" applyAlignment="0" applyProtection="0"/>
    <xf numFmtId="0"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4" fillId="6" borderId="10" applyNumberFormat="0" applyAlignment="0" applyProtection="0"/>
    <xf numFmtId="169" fontId="35" fillId="56" borderId="18" applyNumberFormat="0" applyAlignment="0" applyProtection="0"/>
    <xf numFmtId="0" fontId="19" fillId="6" borderId="10" applyNumberFormat="0" applyAlignment="0" applyProtection="0"/>
    <xf numFmtId="0" fontId="19" fillId="6" borderId="10" applyNumberFormat="0" applyAlignment="0" applyProtection="0"/>
    <xf numFmtId="0" fontId="19" fillId="6" borderId="10" applyNumberFormat="0" applyAlignment="0" applyProtection="0"/>
    <xf numFmtId="0" fontId="19" fillId="6" borderId="10" applyNumberFormat="0" applyAlignment="0" applyProtection="0"/>
    <xf numFmtId="0" fontId="19" fillId="6" borderId="10" applyNumberFormat="0" applyAlignment="0" applyProtection="0"/>
    <xf numFmtId="169"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4" fillId="6" borderId="10" applyNumberFormat="0" applyAlignment="0" applyProtection="0"/>
    <xf numFmtId="0" fontId="19" fillId="6" borderId="10" applyNumberFormat="0" applyAlignment="0" applyProtection="0"/>
    <xf numFmtId="169"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4" fillId="6" borderId="10" applyNumberFormat="0" applyAlignment="0" applyProtection="0"/>
    <xf numFmtId="169" fontId="34" fillId="6" borderId="10" applyNumberFormat="0" applyAlignment="0" applyProtection="0"/>
    <xf numFmtId="169" fontId="34" fillId="6" borderId="10" applyNumberFormat="0" applyAlignment="0" applyProtection="0"/>
    <xf numFmtId="169" fontId="34" fillId="6" borderId="10" applyNumberFormat="0" applyAlignment="0" applyProtection="0"/>
    <xf numFmtId="169" fontId="34" fillId="6" borderId="10" applyNumberFormat="0" applyAlignment="0" applyProtection="0"/>
    <xf numFmtId="169" fontId="34" fillId="6" borderId="10" applyNumberFormat="0" applyAlignment="0" applyProtection="0"/>
    <xf numFmtId="0" fontId="35" fillId="56" borderId="18" applyNumberFormat="0" applyAlignment="0" applyProtection="0"/>
    <xf numFmtId="169" fontId="35" fillId="56" borderId="18" applyNumberFormat="0" applyAlignment="0" applyProtection="0"/>
    <xf numFmtId="169" fontId="35" fillId="56"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3" fillId="55" borderId="18"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21" fillId="7" borderId="13" applyNumberFormat="0" applyAlignment="0" applyProtection="0"/>
    <xf numFmtId="169" fontId="21" fillId="7" borderId="13" applyNumberFormat="0" applyAlignment="0" applyProtection="0"/>
    <xf numFmtId="169" fontId="21" fillId="7" borderId="13" applyNumberFormat="0" applyAlignment="0" applyProtection="0"/>
    <xf numFmtId="169" fontId="37" fillId="7" borderId="13" applyNumberFormat="0" applyAlignment="0" applyProtection="0"/>
    <xf numFmtId="169" fontId="37" fillId="7" borderId="13" applyNumberFormat="0" applyAlignment="0" applyProtection="0"/>
    <xf numFmtId="0"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7" fillId="7" borderId="13" applyNumberFormat="0" applyAlignment="0" applyProtection="0"/>
    <xf numFmtId="169" fontId="36" fillId="57" borderId="19" applyNumberFormat="0" applyAlignment="0" applyProtection="0"/>
    <xf numFmtId="0" fontId="21" fillId="7" borderId="13" applyNumberFormat="0" applyAlignment="0" applyProtection="0"/>
    <xf numFmtId="0" fontId="21" fillId="7" borderId="13" applyNumberFormat="0" applyAlignment="0" applyProtection="0"/>
    <xf numFmtId="0" fontId="21" fillId="7" borderId="13" applyNumberFormat="0" applyAlignment="0" applyProtection="0"/>
    <xf numFmtId="0" fontId="21" fillId="7" borderId="13" applyNumberFormat="0" applyAlignment="0" applyProtection="0"/>
    <xf numFmtId="0" fontId="21" fillId="7" borderId="13"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7" fillId="7" borderId="13" applyNumberFormat="0" applyAlignment="0" applyProtection="0"/>
    <xf numFmtId="0" fontId="21" fillId="7" borderId="13"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7" fillId="7" borderId="13" applyNumberFormat="0" applyAlignment="0" applyProtection="0"/>
    <xf numFmtId="169" fontId="37" fillId="7" borderId="13" applyNumberFormat="0" applyAlignment="0" applyProtection="0"/>
    <xf numFmtId="169" fontId="37" fillId="7" borderId="13" applyNumberFormat="0" applyAlignment="0" applyProtection="0"/>
    <xf numFmtId="169" fontId="37" fillId="7" borderId="13" applyNumberFormat="0" applyAlignment="0" applyProtection="0"/>
    <xf numFmtId="169" fontId="37" fillId="7" borderId="13" applyNumberFormat="0" applyAlignment="0" applyProtection="0"/>
    <xf numFmtId="169" fontId="37" fillId="7" borderId="13" applyNumberFormat="0" applyAlignment="0" applyProtection="0"/>
    <xf numFmtId="0"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169" fontId="36" fillId="57" borderId="19" applyNumberFormat="0" applyAlignment="0" applyProtection="0"/>
    <xf numFmtId="0" fontId="38" fillId="58" borderId="0">
      <alignment horizontal="left"/>
    </xf>
    <xf numFmtId="0" fontId="39" fillId="58" borderId="0">
      <alignment horizontal="right"/>
    </xf>
    <xf numFmtId="0" fontId="40" fillId="56" borderId="0">
      <alignment horizontal="center"/>
    </xf>
    <xf numFmtId="0" fontId="39" fillId="58" borderId="0">
      <alignment horizontal="right"/>
    </xf>
    <xf numFmtId="0" fontId="41" fillId="56" borderId="0">
      <alignment horizontal="lef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171" fontId="6" fillId="0" borderId="0" applyFon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23" fillId="0" borderId="0" applyNumberFormat="0" applyFill="0" applyBorder="0" applyAlignment="0" applyProtection="0"/>
    <xf numFmtId="169" fontId="23" fillId="0" borderId="0" applyNumberFormat="0" applyFill="0" applyBorder="0" applyAlignment="0" applyProtection="0"/>
    <xf numFmtId="169" fontId="23"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4" fillId="0" borderId="0" applyNumberFormat="0" applyFill="0" applyBorder="0" applyAlignment="0" applyProtection="0"/>
    <xf numFmtId="169" fontId="4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4" fillId="0" borderId="0" applyNumberFormat="0" applyFill="0" applyBorder="0" applyAlignment="0" applyProtection="0"/>
    <xf numFmtId="0" fontId="2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0"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0" fontId="45" fillId="0" borderId="0" applyProtection="0"/>
    <xf numFmtId="169" fontId="45" fillId="0" borderId="0" applyProtection="0"/>
    <xf numFmtId="169" fontId="45" fillId="0" borderId="0" applyProtection="0"/>
    <xf numFmtId="169" fontId="45" fillId="0" borderId="0" applyProtection="0"/>
    <xf numFmtId="169" fontId="45" fillId="0" borderId="0" applyProtection="0"/>
    <xf numFmtId="169" fontId="45" fillId="0" borderId="0" applyProtection="0"/>
    <xf numFmtId="169" fontId="45" fillId="0" borderId="0" applyProtection="0"/>
    <xf numFmtId="0" fontId="46" fillId="0" borderId="0" applyProtection="0"/>
    <xf numFmtId="169" fontId="46" fillId="0" borderId="0" applyProtection="0"/>
    <xf numFmtId="169" fontId="46" fillId="0" borderId="0" applyProtection="0"/>
    <xf numFmtId="169" fontId="46" fillId="0" borderId="0" applyProtection="0"/>
    <xf numFmtId="169" fontId="46" fillId="0" borderId="0" applyProtection="0"/>
    <xf numFmtId="169" fontId="46" fillId="0" borderId="0" applyProtection="0"/>
    <xf numFmtId="169" fontId="46" fillId="0" borderId="0" applyProtection="0"/>
    <xf numFmtId="0" fontId="47" fillId="0" borderId="0" applyProtection="0"/>
    <xf numFmtId="169" fontId="47" fillId="0" borderId="0" applyProtection="0"/>
    <xf numFmtId="169" fontId="47" fillId="0" borderId="0" applyProtection="0"/>
    <xf numFmtId="169" fontId="47" fillId="0" borderId="0" applyProtection="0"/>
    <xf numFmtId="169" fontId="47" fillId="0" borderId="0" applyProtection="0"/>
    <xf numFmtId="169" fontId="47" fillId="0" borderId="0" applyProtection="0"/>
    <xf numFmtId="169" fontId="47" fillId="0" borderId="0" applyProtection="0"/>
    <xf numFmtId="0" fontId="6" fillId="0" borderId="0" applyProtection="0"/>
    <xf numFmtId="169" fontId="6" fillId="0" borderId="0" applyProtection="0"/>
    <xf numFmtId="169" fontId="6" fillId="0" borderId="0" applyProtection="0"/>
    <xf numFmtId="169" fontId="6" fillId="0" borderId="0" applyProtection="0"/>
    <xf numFmtId="169" fontId="6" fillId="0" borderId="0" applyProtection="0"/>
    <xf numFmtId="169" fontId="6" fillId="0" borderId="0" applyProtection="0"/>
    <xf numFmtId="169" fontId="6" fillId="0" borderId="0" applyProtection="0"/>
    <xf numFmtId="0"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169" fontId="7" fillId="0" borderId="0" applyProtection="0"/>
    <xf numFmtId="0" fontId="48" fillId="0" borderId="0" applyProtection="0"/>
    <xf numFmtId="169" fontId="48" fillId="0" borderId="0" applyProtection="0"/>
    <xf numFmtId="169" fontId="48" fillId="0" borderId="0" applyProtection="0"/>
    <xf numFmtId="169" fontId="48" fillId="0" borderId="0" applyProtection="0"/>
    <xf numFmtId="169" fontId="48" fillId="0" borderId="0" applyProtection="0"/>
    <xf numFmtId="169" fontId="48" fillId="0" borderId="0" applyProtection="0"/>
    <xf numFmtId="169" fontId="48" fillId="0" borderId="0" applyProtection="0"/>
    <xf numFmtId="2" fontId="6" fillId="0" borderId="0" applyFont="0" applyFill="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14" fillId="2" borderId="0" applyNumberFormat="0" applyBorder="0" applyAlignment="0" applyProtection="0"/>
    <xf numFmtId="169" fontId="14" fillId="2" borderId="0" applyNumberFormat="0" applyBorder="0" applyAlignment="0" applyProtection="0"/>
    <xf numFmtId="169" fontId="14"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0"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50" fillId="2" borderId="0" applyNumberFormat="0" applyBorder="0" applyAlignment="0" applyProtection="0"/>
    <xf numFmtId="169" fontId="49" fillId="4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50" fillId="2" borderId="0" applyNumberFormat="0" applyBorder="0" applyAlignment="0" applyProtection="0"/>
    <xf numFmtId="0" fontId="14" fillId="2"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169" fontId="50" fillId="2" borderId="0" applyNumberFormat="0" applyBorder="0" applyAlignment="0" applyProtection="0"/>
    <xf numFmtId="0" fontId="49" fillId="41" borderId="0" applyNumberFormat="0" applyBorder="0" applyAlignment="0" applyProtection="0"/>
    <xf numFmtId="169" fontId="49" fillId="41" borderId="0" applyNumberFormat="0" applyBorder="0" applyAlignment="0" applyProtection="0"/>
    <xf numFmtId="169" fontId="49" fillId="41"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49" fillId="37" borderId="0" applyNumberFormat="0" applyBorder="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11" fillId="0" borderId="7" applyNumberFormat="0" applyFill="0" applyAlignment="0" applyProtection="0"/>
    <xf numFmtId="169" fontId="11" fillId="0" borderId="7" applyNumberFormat="0" applyFill="0" applyAlignment="0" applyProtection="0"/>
    <xf numFmtId="169" fontId="11" fillId="0" borderId="7" applyNumberFormat="0" applyFill="0" applyAlignment="0" applyProtection="0"/>
    <xf numFmtId="169" fontId="52" fillId="0" borderId="7" applyNumberFormat="0" applyFill="0" applyAlignment="0" applyProtection="0"/>
    <xf numFmtId="169" fontId="52" fillId="0" borderId="7" applyNumberFormat="0" applyFill="0" applyAlignment="0" applyProtection="0"/>
    <xf numFmtId="0" fontId="53" fillId="0" borderId="0" applyNumberFormat="0" applyFill="0" applyBorder="0" applyAlignment="0" applyProtection="0"/>
    <xf numFmtId="169" fontId="54" fillId="0" borderId="21" applyNumberFormat="0" applyFill="0" applyAlignment="0" applyProtection="0"/>
    <xf numFmtId="169" fontId="54" fillId="0" borderId="21" applyNumberFormat="0" applyFill="0" applyAlignment="0" applyProtection="0"/>
    <xf numFmtId="169" fontId="52" fillId="0" borderId="7" applyNumberFormat="0" applyFill="0" applyAlignment="0" applyProtection="0"/>
    <xf numFmtId="169" fontId="54" fillId="0" borderId="21"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2" fillId="0" borderId="7" applyNumberFormat="0" applyFill="0" applyAlignment="0" applyProtection="0"/>
    <xf numFmtId="0" fontId="11" fillId="0" borderId="7"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4" fillId="0" borderId="21" applyNumberFormat="0" applyFill="0" applyAlignment="0" applyProtection="0"/>
    <xf numFmtId="169" fontId="52" fillId="0" borderId="7" applyNumberFormat="0" applyFill="0" applyAlignment="0" applyProtection="0"/>
    <xf numFmtId="169" fontId="52" fillId="0" borderId="7" applyNumberFormat="0" applyFill="0" applyAlignment="0" applyProtection="0"/>
    <xf numFmtId="169" fontId="52" fillId="0" borderId="7" applyNumberFormat="0" applyFill="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69" fontId="52" fillId="0" borderId="7" applyNumberFormat="0" applyFill="0" applyAlignment="0" applyProtection="0"/>
    <xf numFmtId="169" fontId="52" fillId="0" borderId="7" applyNumberFormat="0" applyFill="0" applyAlignment="0" applyProtection="0"/>
    <xf numFmtId="169" fontId="52" fillId="0" borderId="7" applyNumberFormat="0" applyFill="0" applyAlignment="0" applyProtection="0"/>
    <xf numFmtId="0" fontId="53" fillId="0" borderId="0" applyNumberFormat="0" applyFill="0" applyBorder="0" applyAlignment="0" applyProtection="0"/>
    <xf numFmtId="169" fontId="54" fillId="0" borderId="21" applyNumberFormat="0" applyFill="0" applyAlignment="0" applyProtection="0"/>
    <xf numFmtId="169" fontId="54" fillId="0" borderId="21"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1" fillId="0" borderId="20"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12" fillId="0" borderId="8" applyNumberFormat="0" applyFill="0" applyAlignment="0" applyProtection="0"/>
    <xf numFmtId="169" fontId="12" fillId="0" borderId="8" applyNumberFormat="0" applyFill="0" applyAlignment="0" applyProtection="0"/>
    <xf numFmtId="169" fontId="12" fillId="0" borderId="8" applyNumberFormat="0" applyFill="0" applyAlignment="0" applyProtection="0"/>
    <xf numFmtId="169" fontId="56" fillId="0" borderId="8" applyNumberFormat="0" applyFill="0" applyAlignment="0" applyProtection="0"/>
    <xf numFmtId="169" fontId="56" fillId="0" borderId="8" applyNumberFormat="0" applyFill="0" applyAlignment="0" applyProtection="0"/>
    <xf numFmtId="0" fontId="57" fillId="0" borderId="0" applyNumberFormat="0" applyFill="0" applyBorder="0" applyAlignment="0" applyProtection="0"/>
    <xf numFmtId="169" fontId="58" fillId="0" borderId="23" applyNumberFormat="0" applyFill="0" applyAlignment="0" applyProtection="0"/>
    <xf numFmtId="169" fontId="58" fillId="0" borderId="23" applyNumberFormat="0" applyFill="0" applyAlignment="0" applyProtection="0"/>
    <xf numFmtId="169" fontId="56" fillId="0" borderId="8" applyNumberFormat="0" applyFill="0" applyAlignment="0" applyProtection="0"/>
    <xf numFmtId="169" fontId="58" fillId="0" borderId="23"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6" fillId="0" borderId="8" applyNumberFormat="0" applyFill="0" applyAlignment="0" applyProtection="0"/>
    <xf numFmtId="0" fontId="12" fillId="0" borderId="8"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8" fillId="0" borderId="23" applyNumberFormat="0" applyFill="0" applyAlignment="0" applyProtection="0"/>
    <xf numFmtId="169" fontId="56" fillId="0" borderId="8" applyNumberFormat="0" applyFill="0" applyAlignment="0" applyProtection="0"/>
    <xf numFmtId="169" fontId="56" fillId="0" borderId="8" applyNumberFormat="0" applyFill="0" applyAlignment="0" applyProtection="0"/>
    <xf numFmtId="169" fontId="56" fillId="0" borderId="8" applyNumberFormat="0" applyFill="0" applyAlignment="0" applyProtection="0"/>
    <xf numFmtId="169" fontId="57" fillId="0" borderId="0" applyNumberFormat="0" applyFill="0" applyBorder="0" applyAlignment="0" applyProtection="0"/>
    <xf numFmtId="169" fontId="57" fillId="0" borderId="0" applyNumberFormat="0" applyFill="0" applyBorder="0" applyAlignment="0" applyProtection="0"/>
    <xf numFmtId="169" fontId="56" fillId="0" borderId="8" applyNumberFormat="0" applyFill="0" applyAlignment="0" applyProtection="0"/>
    <xf numFmtId="169" fontId="56" fillId="0" borderId="8" applyNumberFormat="0" applyFill="0" applyAlignment="0" applyProtection="0"/>
    <xf numFmtId="169" fontId="56" fillId="0" borderId="8" applyNumberFormat="0" applyFill="0" applyAlignment="0" applyProtection="0"/>
    <xf numFmtId="0" fontId="57" fillId="0" borderId="0" applyNumberFormat="0" applyFill="0" applyBorder="0" applyAlignment="0" applyProtection="0"/>
    <xf numFmtId="169" fontId="58" fillId="0" borderId="23" applyNumberFormat="0" applyFill="0" applyAlignment="0" applyProtection="0"/>
    <xf numFmtId="169" fontId="58" fillId="0" borderId="23"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5" fillId="0" borderId="22"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13" fillId="0" borderId="9" applyNumberFormat="0" applyFill="0" applyAlignment="0" applyProtection="0"/>
    <xf numFmtId="169" fontId="13" fillId="0" borderId="9" applyNumberFormat="0" applyFill="0" applyAlignment="0" applyProtection="0"/>
    <xf numFmtId="169" fontId="13"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0"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0" fillId="0" borderId="9" applyNumberFormat="0" applyFill="0" applyAlignment="0" applyProtection="0"/>
    <xf numFmtId="169" fontId="61" fillId="0" borderId="25"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0" fillId="0" borderId="9" applyNumberFormat="0" applyFill="0" applyAlignment="0" applyProtection="0"/>
    <xf numFmtId="0" fontId="13" fillId="0" borderId="9"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169" fontId="60" fillId="0" borderId="9" applyNumberFormat="0" applyFill="0" applyAlignment="0" applyProtection="0"/>
    <xf numFmtId="0" fontId="61" fillId="0" borderId="25" applyNumberFormat="0" applyFill="0" applyAlignment="0" applyProtection="0"/>
    <xf numFmtId="169" fontId="61" fillId="0" borderId="25" applyNumberFormat="0" applyFill="0" applyAlignment="0" applyProtection="0"/>
    <xf numFmtId="169" fontId="61" fillId="0" borderId="25"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24" applyNumberFormat="0" applyFill="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13" fillId="0" borderId="0" applyNumberFormat="0" applyFill="0" applyBorder="0" applyAlignment="0" applyProtection="0"/>
    <xf numFmtId="169" fontId="13" fillId="0" borderId="0" applyNumberFormat="0" applyFill="0" applyBorder="0" applyAlignment="0" applyProtection="0"/>
    <xf numFmtId="169" fontId="13"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0"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0" fillId="0" borderId="0" applyNumberFormat="0" applyFill="0" applyBorder="0" applyAlignment="0" applyProtection="0"/>
    <xf numFmtId="169" fontId="6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0" fillId="0" borderId="0" applyNumberFormat="0" applyFill="0" applyBorder="0" applyAlignment="0" applyProtection="0"/>
    <xf numFmtId="0" fontId="13"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0" fontId="61" fillId="0" borderId="0" applyNumberFormat="0" applyFill="0" applyBorder="0" applyAlignment="0" applyProtection="0"/>
    <xf numFmtId="169" fontId="61" fillId="0" borderId="0" applyNumberFormat="0" applyFill="0" applyBorder="0" applyAlignment="0" applyProtection="0"/>
    <xf numFmtId="169" fontId="61"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59" fillId="0" borderId="0" applyNumberFormat="0" applyFill="0" applyBorder="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17" fillId="5" borderId="10" applyNumberFormat="0" applyAlignment="0" applyProtection="0"/>
    <xf numFmtId="169" fontId="17" fillId="5" borderId="10" applyNumberFormat="0" applyAlignment="0" applyProtection="0"/>
    <xf numFmtId="169" fontId="17" fillId="5" borderId="10" applyNumberFormat="0" applyAlignment="0" applyProtection="0"/>
    <xf numFmtId="169" fontId="63" fillId="5" borderId="10" applyNumberFormat="0" applyAlignment="0" applyProtection="0"/>
    <xf numFmtId="169" fontId="63" fillId="5" borderId="10" applyNumberFormat="0" applyAlignment="0" applyProtection="0"/>
    <xf numFmtId="0"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3" fillId="5" borderId="10" applyNumberFormat="0" applyAlignment="0" applyProtection="0"/>
    <xf numFmtId="169" fontId="62" fillId="43" borderId="18" applyNumberFormat="0" applyAlignment="0" applyProtection="0"/>
    <xf numFmtId="0" fontId="17" fillId="5" borderId="10" applyNumberFormat="0" applyAlignment="0" applyProtection="0"/>
    <xf numFmtId="0" fontId="17" fillId="5" borderId="10" applyNumberFormat="0" applyAlignment="0" applyProtection="0"/>
    <xf numFmtId="0" fontId="17" fillId="5" borderId="10" applyNumberFormat="0" applyAlignment="0" applyProtection="0"/>
    <xf numFmtId="0" fontId="17" fillId="5" borderId="10" applyNumberFormat="0" applyAlignment="0" applyProtection="0"/>
    <xf numFmtId="0" fontId="17" fillId="5" borderId="10" applyNumberFormat="0" applyAlignment="0" applyProtection="0"/>
    <xf numFmtId="169"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3" fillId="5" borderId="10" applyNumberFormat="0" applyAlignment="0" applyProtection="0"/>
    <xf numFmtId="0" fontId="17" fillId="5" borderId="10" applyNumberFormat="0" applyAlignment="0" applyProtection="0"/>
    <xf numFmtId="169"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3" fillId="5" borderId="10" applyNumberFormat="0" applyAlignment="0" applyProtection="0"/>
    <xf numFmtId="169" fontId="63" fillId="5" borderId="10" applyNumberFormat="0" applyAlignment="0" applyProtection="0"/>
    <xf numFmtId="169" fontId="63" fillId="5" borderId="10" applyNumberFormat="0" applyAlignment="0" applyProtection="0"/>
    <xf numFmtId="169" fontId="63" fillId="5" borderId="10" applyNumberFormat="0" applyAlignment="0" applyProtection="0"/>
    <xf numFmtId="169" fontId="63" fillId="5" borderId="10" applyNumberFormat="0" applyAlignment="0" applyProtection="0"/>
    <xf numFmtId="169" fontId="63" fillId="5" borderId="10" applyNumberFormat="0" applyAlignment="0" applyProtection="0"/>
    <xf numFmtId="0" fontId="62" fillId="43" borderId="18" applyNumberFormat="0" applyAlignment="0" applyProtection="0"/>
    <xf numFmtId="169" fontId="62" fillId="43" borderId="18" applyNumberFormat="0" applyAlignment="0" applyProtection="0"/>
    <xf numFmtId="169" fontId="62" fillId="43"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169" fontId="62" fillId="40" borderId="18" applyNumberFormat="0" applyAlignment="0" applyProtection="0"/>
    <xf numFmtId="0" fontId="38" fillId="58" borderId="0">
      <alignment horizontal="left"/>
    </xf>
    <xf numFmtId="0" fontId="64" fillId="56" borderId="0">
      <alignment horizontal="left"/>
    </xf>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20" fillId="0" borderId="12" applyNumberFormat="0" applyFill="0" applyAlignment="0" applyProtection="0"/>
    <xf numFmtId="169" fontId="20" fillId="0" borderId="12" applyNumberFormat="0" applyFill="0" applyAlignment="0" applyProtection="0"/>
    <xf numFmtId="169" fontId="20"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0"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6" fillId="0" borderId="12" applyNumberFormat="0" applyFill="0" applyAlignment="0" applyProtection="0"/>
    <xf numFmtId="169" fontId="67" fillId="0" borderId="27"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6" fillId="0" borderId="12" applyNumberFormat="0" applyFill="0" applyAlignment="0" applyProtection="0"/>
    <xf numFmtId="0" fontId="20" fillId="0" borderId="12"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169" fontId="66" fillId="0" borderId="12" applyNumberFormat="0" applyFill="0" applyAlignment="0" applyProtection="0"/>
    <xf numFmtId="0" fontId="67" fillId="0" borderId="27" applyNumberFormat="0" applyFill="0" applyAlignment="0" applyProtection="0"/>
    <xf numFmtId="169" fontId="67" fillId="0" borderId="27" applyNumberFormat="0" applyFill="0" applyAlignment="0" applyProtection="0"/>
    <xf numFmtId="169" fontId="67" fillId="0" borderId="27"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5" fillId="0" borderId="26" applyNumberFormat="0" applyFill="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16" fillId="4" borderId="0" applyNumberFormat="0" applyBorder="0" applyAlignment="0" applyProtection="0"/>
    <xf numFmtId="169" fontId="16" fillId="4" borderId="0" applyNumberFormat="0" applyBorder="0" applyAlignment="0" applyProtection="0"/>
    <xf numFmtId="169" fontId="16"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0"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69" fillId="4" borderId="0" applyNumberFormat="0" applyBorder="0" applyAlignment="0" applyProtection="0"/>
    <xf numFmtId="169" fontId="70" fillId="4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69" fillId="4" borderId="0" applyNumberFormat="0" applyBorder="0" applyAlignment="0" applyProtection="0"/>
    <xf numFmtId="0" fontId="16" fillId="4"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169" fontId="69" fillId="4" borderId="0" applyNumberFormat="0" applyBorder="0" applyAlignment="0" applyProtection="0"/>
    <xf numFmtId="0" fontId="70" fillId="43" borderId="0" applyNumberFormat="0" applyBorder="0" applyAlignment="0" applyProtection="0"/>
    <xf numFmtId="169" fontId="70" fillId="43" borderId="0" applyNumberFormat="0" applyBorder="0" applyAlignment="0" applyProtection="0"/>
    <xf numFmtId="169" fontId="70"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8" fillId="43" borderId="0" applyNumberFormat="0" applyBorder="0" applyAlignment="0" applyProtection="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41" fontId="5" fillId="0" borderId="0"/>
    <xf numFmtId="0" fontId="2" fillId="0" borderId="0"/>
    <xf numFmtId="0" fontId="2" fillId="0" borderId="0"/>
    <xf numFmtId="0" fontId="2" fillId="0" borderId="0"/>
    <xf numFmtId="0" fontId="2" fillId="0" borderId="0"/>
    <xf numFmtId="169" fontId="6" fillId="0" borderId="0"/>
    <xf numFmtId="0" fontId="2" fillId="0" borderId="0"/>
    <xf numFmtId="0" fontId="2" fillId="0" borderId="0"/>
    <xf numFmtId="169" fontId="6" fillId="0" borderId="0"/>
    <xf numFmtId="169" fontId="6" fillId="0" borderId="0"/>
    <xf numFmtId="169" fontId="6" fillId="0" borderId="0"/>
    <xf numFmtId="169" fontId="6" fillId="0" borderId="0"/>
    <xf numFmtId="41" fontId="5" fillId="0" borderId="0"/>
    <xf numFmtId="41" fontId="5" fillId="0" borderId="0"/>
    <xf numFmtId="41" fontId="5" fillId="0" borderId="0"/>
    <xf numFmtId="41" fontId="5"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 fillId="0" borderId="0"/>
    <xf numFmtId="169" fontId="2" fillId="0" borderId="0"/>
    <xf numFmtId="169" fontId="2" fillId="0" borderId="0"/>
    <xf numFmtId="169" fontId="2" fillId="0" borderId="0"/>
    <xf numFmtId="169" fontId="2"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8" fillId="0" borderId="0"/>
    <xf numFmtId="169" fontId="6"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71" fillId="0" borderId="0"/>
    <xf numFmtId="169" fontId="28" fillId="0" borderId="0"/>
    <xf numFmtId="41" fontId="5" fillId="0" borderId="0"/>
    <xf numFmtId="41" fontId="5" fillId="0" borderId="0"/>
    <xf numFmtId="41" fontId="5" fillId="0" borderId="0"/>
    <xf numFmtId="41" fontId="5" fillId="0" borderId="0"/>
    <xf numFmtId="41" fontId="5" fillId="0" borderId="0"/>
    <xf numFmtId="169" fontId="28" fillId="0" borderId="0"/>
    <xf numFmtId="169" fontId="28" fillId="0" borderId="0"/>
    <xf numFmtId="169" fontId="6" fillId="0" borderId="0"/>
    <xf numFmtId="0" fontId="42" fillId="0" borderId="0"/>
    <xf numFmtId="41" fontId="5" fillId="0" borderId="0"/>
    <xf numFmtId="41" fontId="5" fillId="0" borderId="0"/>
    <xf numFmtId="41" fontId="5" fillId="0" borderId="0"/>
    <xf numFmtId="41" fontId="5" fillId="0" borderId="0"/>
    <xf numFmtId="41" fontId="5" fillId="0" borderId="0"/>
    <xf numFmtId="41" fontId="5" fillId="0" borderId="0"/>
    <xf numFmtId="169" fontId="28"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72" fillId="38" borderId="28" applyNumberFormat="0" applyFont="0" applyAlignment="0" applyProtection="0"/>
    <xf numFmtId="169" fontId="72" fillId="38" borderId="28" applyNumberFormat="0" applyFont="0" applyAlignment="0" applyProtection="0"/>
    <xf numFmtId="169" fontId="72" fillId="38" borderId="28"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72"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27" fillId="8" borderId="14" applyNumberFormat="0" applyFont="0" applyAlignment="0" applyProtection="0"/>
    <xf numFmtId="169" fontId="72" fillId="8" borderId="14" applyNumberFormat="0" applyFont="0" applyAlignment="0" applyProtection="0"/>
    <xf numFmtId="0" fontId="5" fillId="38" borderId="28" applyNumberFormat="0" applyFont="0" applyAlignment="0" applyProtection="0"/>
    <xf numFmtId="169" fontId="72" fillId="8" borderId="14" applyNumberFormat="0" applyFont="0" applyAlignment="0" applyProtection="0"/>
    <xf numFmtId="0" fontId="27" fillId="8" borderId="14" applyNumberFormat="0" applyFont="0" applyAlignment="0" applyProtection="0"/>
    <xf numFmtId="0" fontId="27"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0" fontId="5" fillId="38" borderId="28"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72" fillId="8" borderId="14"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45" fillId="38" borderId="28" applyNumberFormat="0" applyFon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18" fillId="6" borderId="11" applyNumberFormat="0" applyAlignment="0" applyProtection="0"/>
    <xf numFmtId="169" fontId="18" fillId="6" borderId="11" applyNumberFormat="0" applyAlignment="0" applyProtection="0"/>
    <xf numFmtId="169" fontId="18" fillId="6" borderId="11" applyNumberFormat="0" applyAlignment="0" applyProtection="0"/>
    <xf numFmtId="169" fontId="74" fillId="6" borderId="11" applyNumberFormat="0" applyAlignment="0" applyProtection="0"/>
    <xf numFmtId="169" fontId="74" fillId="6" borderId="11" applyNumberFormat="0" applyAlignment="0" applyProtection="0"/>
    <xf numFmtId="0"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4" fillId="6" borderId="11" applyNumberFormat="0" applyAlignment="0" applyProtection="0"/>
    <xf numFmtId="169" fontId="73" fillId="56" borderId="29" applyNumberFormat="0" applyAlignment="0" applyProtection="0"/>
    <xf numFmtId="0" fontId="18" fillId="6" borderId="11" applyNumberFormat="0" applyAlignment="0" applyProtection="0"/>
    <xf numFmtId="0" fontId="18" fillId="6" borderId="11" applyNumberFormat="0" applyAlignment="0" applyProtection="0"/>
    <xf numFmtId="0" fontId="18" fillId="6" borderId="11" applyNumberFormat="0" applyAlignment="0" applyProtection="0"/>
    <xf numFmtId="0" fontId="18" fillId="6" borderId="11" applyNumberFormat="0" applyAlignment="0" applyProtection="0"/>
    <xf numFmtId="0" fontId="18" fillId="6" borderId="11" applyNumberFormat="0" applyAlignment="0" applyProtection="0"/>
    <xf numFmtId="169"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4" fillId="6" borderId="11" applyNumberFormat="0" applyAlignment="0" applyProtection="0"/>
    <xf numFmtId="0" fontId="18" fillId="6" borderId="11" applyNumberFormat="0" applyAlignment="0" applyProtection="0"/>
    <xf numFmtId="169"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4" fillId="6" borderId="11" applyNumberFormat="0" applyAlignment="0" applyProtection="0"/>
    <xf numFmtId="169" fontId="74" fillId="6" borderId="11" applyNumberFormat="0" applyAlignment="0" applyProtection="0"/>
    <xf numFmtId="169" fontId="74" fillId="6" borderId="11" applyNumberFormat="0" applyAlignment="0" applyProtection="0"/>
    <xf numFmtId="169" fontId="74" fillId="6" borderId="11" applyNumberFormat="0" applyAlignment="0" applyProtection="0"/>
    <xf numFmtId="169" fontId="74" fillId="6" borderId="11" applyNumberFormat="0" applyAlignment="0" applyProtection="0"/>
    <xf numFmtId="169" fontId="74" fillId="6" borderId="11" applyNumberFormat="0" applyAlignment="0" applyProtection="0"/>
    <xf numFmtId="0" fontId="73" fillId="56" borderId="29" applyNumberFormat="0" applyAlignment="0" applyProtection="0"/>
    <xf numFmtId="169" fontId="73" fillId="56" borderId="29" applyNumberFormat="0" applyAlignment="0" applyProtection="0"/>
    <xf numFmtId="169" fontId="73" fillId="56"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169" fontId="73" fillId="55" borderId="29" applyNumberFormat="0" applyAlignment="0" applyProtection="0"/>
    <xf numFmtId="4" fontId="75" fillId="59" borderId="0">
      <alignment horizontal="right"/>
    </xf>
    <xf numFmtId="0" fontId="76" fillId="59" borderId="0">
      <alignment horizontal="center" vertical="center"/>
    </xf>
    <xf numFmtId="169" fontId="76" fillId="59" borderId="0">
      <alignment horizontal="center" vertical="center"/>
    </xf>
    <xf numFmtId="169" fontId="76" fillId="59" borderId="0">
      <alignment horizontal="center" vertical="center"/>
    </xf>
    <xf numFmtId="169" fontId="76" fillId="59" borderId="0">
      <alignment horizontal="center" vertical="center"/>
    </xf>
    <xf numFmtId="169" fontId="76" fillId="59" borderId="0">
      <alignment horizontal="center" vertical="center"/>
    </xf>
    <xf numFmtId="169" fontId="76" fillId="59" borderId="0">
      <alignment horizontal="center" vertical="center"/>
    </xf>
    <xf numFmtId="169" fontId="76" fillId="59" borderId="0">
      <alignment horizontal="center" vertical="center"/>
    </xf>
    <xf numFmtId="0" fontId="64" fillId="59" borderId="30"/>
    <xf numFmtId="169" fontId="64" fillId="59" borderId="30"/>
    <xf numFmtId="169" fontId="64" fillId="59" borderId="30"/>
    <xf numFmtId="169" fontId="64" fillId="59" borderId="30"/>
    <xf numFmtId="169" fontId="64" fillId="59" borderId="30"/>
    <xf numFmtId="169" fontId="64" fillId="59" borderId="30"/>
    <xf numFmtId="169" fontId="64" fillId="59" borderId="30"/>
    <xf numFmtId="0"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169" fontId="76" fillId="59" borderId="0" applyBorder="0">
      <alignment horizontal="centerContinuous"/>
    </xf>
    <xf numFmtId="0"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169" fontId="77" fillId="59" borderId="0" applyBorder="0">
      <alignment horizontal="centerContinuous"/>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4" fillId="43" borderId="0">
      <alignment horizontal="center"/>
    </xf>
    <xf numFmtId="49" fontId="78" fillId="56" borderId="0">
      <alignment horizontal="center"/>
    </xf>
    <xf numFmtId="0" fontId="39" fillId="58" borderId="0">
      <alignment horizontal="center"/>
    </xf>
    <xf numFmtId="0" fontId="39" fillId="58" borderId="0">
      <alignment horizontal="centerContinuous"/>
    </xf>
    <xf numFmtId="0" fontId="79" fillId="56" borderId="0">
      <alignment horizontal="left"/>
    </xf>
    <xf numFmtId="49" fontId="79" fillId="56" borderId="0">
      <alignment horizontal="center"/>
    </xf>
    <xf numFmtId="0" fontId="38" fillId="58" borderId="0">
      <alignment horizontal="left"/>
    </xf>
    <xf numFmtId="49" fontId="79" fillId="56" borderId="0">
      <alignment horizontal="left"/>
    </xf>
    <xf numFmtId="0" fontId="38" fillId="58" borderId="0">
      <alignment horizontal="centerContinuous"/>
    </xf>
    <xf numFmtId="0" fontId="38" fillId="58" borderId="0">
      <alignment horizontal="right"/>
    </xf>
    <xf numFmtId="49" fontId="64" fillId="56" borderId="0">
      <alignment horizontal="left"/>
    </xf>
    <xf numFmtId="0" fontId="39" fillId="58" borderId="0">
      <alignment horizontal="right"/>
    </xf>
    <xf numFmtId="0" fontId="79" fillId="40" borderId="0">
      <alignment horizontal="center"/>
    </xf>
    <xf numFmtId="0" fontId="80" fillId="40"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82" fillId="0" borderId="0" applyNumberFormat="0" applyFill="0" applyBorder="0" applyAlignment="0" applyProtection="0"/>
    <xf numFmtId="169" fontId="82" fillId="0" borderId="0" applyNumberFormat="0" applyFill="0" applyBorder="0" applyAlignment="0" applyProtection="0"/>
    <xf numFmtId="169" fontId="10"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10"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8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2" fillId="0" borderId="0" applyNumberFormat="0" applyFill="0" applyBorder="0" applyAlignment="0" applyProtection="0"/>
    <xf numFmtId="169" fontId="82" fillId="0" borderId="0" applyNumberFormat="0" applyFill="0" applyBorder="0" applyAlignment="0" applyProtection="0"/>
    <xf numFmtId="169" fontId="82"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24" fillId="0" borderId="15" applyNumberFormat="0" applyFill="0" applyAlignment="0" applyProtection="0"/>
    <xf numFmtId="169" fontId="24" fillId="0" borderId="15" applyNumberFormat="0" applyFill="0" applyAlignment="0" applyProtection="0"/>
    <xf numFmtId="169" fontId="24" fillId="0" borderId="15" applyNumberFormat="0" applyFill="0" applyAlignment="0" applyProtection="0"/>
    <xf numFmtId="169" fontId="84" fillId="0" borderId="15" applyNumberFormat="0" applyFill="0" applyAlignment="0" applyProtection="0"/>
    <xf numFmtId="169" fontId="84" fillId="0" borderId="15" applyNumberFormat="0" applyFill="0" applyAlignment="0" applyProtection="0"/>
    <xf numFmtId="0" fontId="6" fillId="0" borderId="32" applyNumberFormat="0" applyFon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4" fillId="0" borderId="15" applyNumberFormat="0" applyFill="0" applyAlignment="0" applyProtection="0"/>
    <xf numFmtId="169" fontId="83" fillId="0" borderId="33"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4" fillId="0" borderId="15" applyNumberFormat="0" applyFill="0" applyAlignment="0" applyProtection="0"/>
    <xf numFmtId="0" fontId="24" fillId="0" borderId="15"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4" fillId="0" borderId="15" applyNumberFormat="0" applyFill="0" applyAlignment="0" applyProtection="0"/>
    <xf numFmtId="169" fontId="84" fillId="0" borderId="15" applyNumberFormat="0" applyFill="0" applyAlignment="0" applyProtection="0"/>
    <xf numFmtId="169" fontId="84" fillId="0" borderId="15" applyNumberFormat="0" applyFill="0" applyAlignment="0" applyProtection="0"/>
    <xf numFmtId="169" fontId="6" fillId="0" borderId="32" applyNumberFormat="0" applyFont="0" applyFill="0" applyAlignment="0" applyProtection="0"/>
    <xf numFmtId="169" fontId="6" fillId="0" borderId="32" applyNumberFormat="0" applyFont="0" applyFill="0" applyAlignment="0" applyProtection="0"/>
    <xf numFmtId="169" fontId="84" fillId="0" borderId="15" applyNumberFormat="0" applyFill="0" applyAlignment="0" applyProtection="0"/>
    <xf numFmtId="169" fontId="84" fillId="0" borderId="15" applyNumberFormat="0" applyFill="0" applyAlignment="0" applyProtection="0"/>
    <xf numFmtId="169" fontId="84" fillId="0" borderId="15" applyNumberFormat="0" applyFill="0" applyAlignment="0" applyProtection="0"/>
    <xf numFmtId="0" fontId="6" fillId="0" borderId="32" applyNumberFormat="0" applyFont="0" applyFill="0" applyAlignment="0" applyProtection="0"/>
    <xf numFmtId="169" fontId="83" fillId="0" borderId="33" applyNumberFormat="0" applyFill="0" applyAlignment="0" applyProtection="0"/>
    <xf numFmtId="169" fontId="83" fillId="0" borderId="33"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169" fontId="83" fillId="0" borderId="31" applyNumberFormat="0" applyFill="0" applyAlignment="0" applyProtection="0"/>
    <xf numFmtId="0" fontId="85" fillId="56" borderId="0">
      <alignment horizontal="center"/>
    </xf>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22" fillId="0" borderId="0" applyNumberFormat="0" applyFill="0" applyBorder="0" applyAlignment="0" applyProtection="0"/>
    <xf numFmtId="169" fontId="22" fillId="0" borderId="0" applyNumberFormat="0" applyFill="0" applyBorder="0" applyAlignment="0" applyProtection="0"/>
    <xf numFmtId="169" fontId="22"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0"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86" fillId="0" borderId="0" applyNumberFormat="0" applyFill="0" applyBorder="0" applyAlignment="0" applyProtection="0"/>
    <xf numFmtId="169" fontId="6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86" fillId="0" borderId="0" applyNumberFormat="0" applyFill="0" applyBorder="0" applyAlignment="0" applyProtection="0"/>
    <xf numFmtId="0" fontId="22"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0"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169" fontId="67" fillId="0" borderId="0" applyNumberFormat="0" applyFill="0" applyBorder="0" applyAlignment="0" applyProtection="0"/>
    <xf numFmtId="0" fontId="89" fillId="0" borderId="0"/>
    <xf numFmtId="44" fontId="89" fillId="0" borderId="0" applyFont="0" applyFill="0" applyBorder="0" applyAlignment="0" applyProtection="0"/>
    <xf numFmtId="9" fontId="104" fillId="0" borderId="0" applyFont="0" applyFill="0" applyBorder="0" applyAlignment="0" applyProtection="0"/>
    <xf numFmtId="0" fontId="1" fillId="0" borderId="0"/>
  </cellStyleXfs>
  <cellXfs count="569">
    <xf numFmtId="0" fontId="0" fillId="0" borderId="0" xfId="0"/>
    <xf numFmtId="10" fontId="5" fillId="0" borderId="0" xfId="3" applyNumberFormat="1" applyFont="1" applyFill="1" applyAlignment="1">
      <alignment horizontal="center"/>
    </xf>
    <xf numFmtId="0" fontId="6" fillId="0" borderId="0" xfId="0" applyFont="1"/>
    <xf numFmtId="0" fontId="0" fillId="0" borderId="0" xfId="0" applyAlignment="1">
      <alignment horizontal="center"/>
    </xf>
    <xf numFmtId="0" fontId="7" fillId="0" borderId="0" xfId="0" applyFont="1"/>
    <xf numFmtId="37" fontId="9" fillId="0" borderId="0" xfId="0" applyNumberFormat="1" applyFont="1" applyFill="1"/>
    <xf numFmtId="10" fontId="0" fillId="0" borderId="0" xfId="0" applyNumberFormat="1" applyFill="1"/>
    <xf numFmtId="10" fontId="9" fillId="0" borderId="0" xfId="0" applyNumberFormat="1" applyFont="1" applyFill="1"/>
    <xf numFmtId="37" fontId="0" fillId="0" borderId="0" xfId="0" applyNumberFormat="1" applyFill="1"/>
    <xf numFmtId="0" fontId="6" fillId="0" borderId="0" xfId="0" quotePrefix="1" applyFont="1" applyAlignment="1">
      <alignment horizontal="left"/>
    </xf>
    <xf numFmtId="0" fontId="7" fillId="0" borderId="0" xfId="0" applyFont="1" applyAlignment="1">
      <alignment horizontal="center"/>
    </xf>
    <xf numFmtId="0" fontId="0" fillId="0" borderId="37" xfId="0" applyBorder="1"/>
    <xf numFmtId="165" fontId="0" fillId="0" borderId="37" xfId="2" applyNumberFormat="1" applyFont="1" applyBorder="1"/>
    <xf numFmtId="0" fontId="7" fillId="0" borderId="35" xfId="0" quotePrefix="1"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165" fontId="0" fillId="60" borderId="37" xfId="2" applyNumberFormat="1" applyFont="1" applyFill="1" applyBorder="1"/>
    <xf numFmtId="6" fontId="46" fillId="0" borderId="0" xfId="0" applyNumberFormat="1" applyFont="1" applyAlignment="1">
      <alignment horizontal="center"/>
    </xf>
    <xf numFmtId="165" fontId="0" fillId="0" borderId="34" xfId="2" applyNumberFormat="1" applyFont="1" applyBorder="1"/>
    <xf numFmtId="166" fontId="47" fillId="0" borderId="37" xfId="3" applyNumberFormat="1" applyFont="1" applyBorder="1"/>
    <xf numFmtId="0" fontId="7" fillId="0" borderId="0" xfId="0" applyFont="1" applyAlignment="1">
      <alignment horizontal="left"/>
    </xf>
    <xf numFmtId="165" fontId="0" fillId="0" borderId="0" xfId="0" applyNumberFormat="1"/>
    <xf numFmtId="0" fontId="0" fillId="61" borderId="38" xfId="0" applyFill="1" applyBorder="1" applyAlignment="1">
      <alignment horizontal="center"/>
    </xf>
    <xf numFmtId="0" fontId="0" fillId="61" borderId="6" xfId="0" applyFill="1" applyBorder="1"/>
    <xf numFmtId="0" fontId="0" fillId="61" borderId="39" xfId="0" applyFill="1" applyBorder="1"/>
    <xf numFmtId="0" fontId="0" fillId="61" borderId="0" xfId="0" applyFill="1" applyBorder="1"/>
    <xf numFmtId="0" fontId="0" fillId="61" borderId="30" xfId="0" applyFill="1" applyBorder="1"/>
    <xf numFmtId="0" fontId="0" fillId="61" borderId="40" xfId="0" applyFill="1" applyBorder="1" applyAlignment="1">
      <alignment horizontal="center"/>
    </xf>
    <xf numFmtId="0" fontId="0" fillId="61" borderId="41" xfId="0" applyFill="1" applyBorder="1" applyAlignment="1">
      <alignment horizontal="center"/>
    </xf>
    <xf numFmtId="0" fontId="0" fillId="61" borderId="1" xfId="0" applyFill="1" applyBorder="1"/>
    <xf numFmtId="0" fontId="0" fillId="61" borderId="42" xfId="0" applyFill="1" applyBorder="1"/>
    <xf numFmtId="0" fontId="87" fillId="61" borderId="0" xfId="0" quotePrefix="1" applyFont="1" applyFill="1" applyBorder="1" applyAlignment="1">
      <alignment horizontal="left"/>
    </xf>
    <xf numFmtId="0" fontId="87" fillId="61" borderId="0" xfId="0" applyFont="1" applyFill="1" applyBorder="1"/>
    <xf numFmtId="0" fontId="87" fillId="61" borderId="40" xfId="0" applyFont="1" applyFill="1" applyBorder="1" applyAlignment="1">
      <alignment horizontal="left"/>
    </xf>
    <xf numFmtId="0" fontId="8" fillId="61" borderId="6" xfId="0" applyFont="1" applyFill="1" applyBorder="1" applyAlignment="1">
      <alignment horizontal="center"/>
    </xf>
    <xf numFmtId="165" fontId="0" fillId="0" borderId="37" xfId="2" applyNumberFormat="1" applyFont="1" applyBorder="1" applyProtection="1"/>
    <xf numFmtId="0" fontId="0" fillId="60" borderId="37" xfId="0" applyFill="1" applyBorder="1" applyProtection="1"/>
    <xf numFmtId="165" fontId="0" fillId="60" borderId="37" xfId="2" applyNumberFormat="1" applyFont="1" applyFill="1" applyBorder="1" applyProtection="1"/>
    <xf numFmtId="37" fontId="88" fillId="61" borderId="0" xfId="1478" applyNumberFormat="1" applyFont="1" applyFill="1" applyBorder="1" applyAlignment="1" applyProtection="1">
      <alignment horizontal="right"/>
      <protection locked="0"/>
    </xf>
    <xf numFmtId="3" fontId="0" fillId="0" borderId="0" xfId="0" applyNumberFormat="1"/>
    <xf numFmtId="6" fontId="46" fillId="62" borderId="0" xfId="0" applyNumberFormat="1" applyFont="1" applyFill="1" applyAlignment="1">
      <alignment horizontal="center"/>
    </xf>
    <xf numFmtId="165" fontId="24" fillId="63" borderId="46" xfId="2" applyNumberFormat="1" applyFont="1" applyFill="1" applyBorder="1" applyAlignment="1">
      <alignment horizontal="center" vertical="center" wrapText="1"/>
    </xf>
    <xf numFmtId="165" fontId="24" fillId="64" borderId="45" xfId="2" applyNumberFormat="1" applyFont="1" applyFill="1" applyBorder="1" applyAlignment="1">
      <alignment horizontal="center" vertical="center" wrapText="1"/>
    </xf>
    <xf numFmtId="165" fontId="24" fillId="64" borderId="46" xfId="2" applyNumberFormat="1" applyFont="1" applyFill="1" applyBorder="1" applyAlignment="1">
      <alignment horizontal="center" vertical="center" wrapText="1"/>
    </xf>
    <xf numFmtId="165" fontId="24" fillId="64" borderId="47" xfId="2" applyNumberFormat="1" applyFont="1" applyFill="1" applyBorder="1" applyAlignment="1">
      <alignment horizontal="center" vertical="center" wrapText="1"/>
    </xf>
    <xf numFmtId="165" fontId="24" fillId="64" borderId="48" xfId="2" applyNumberFormat="1" applyFont="1" applyFill="1" applyBorder="1" applyAlignment="1">
      <alignment horizontal="center" vertical="center" wrapText="1"/>
    </xf>
    <xf numFmtId="165" fontId="24" fillId="65" borderId="46" xfId="2" applyNumberFormat="1" applyFont="1" applyFill="1" applyBorder="1" applyAlignment="1">
      <alignment horizontal="center" vertical="center" wrapText="1"/>
    </xf>
    <xf numFmtId="165" fontId="0" fillId="0" borderId="36" xfId="2" applyNumberFormat="1" applyFont="1" applyBorder="1"/>
    <xf numFmtId="165" fontId="0" fillId="0" borderId="49" xfId="2" applyNumberFormat="1" applyFont="1" applyBorder="1"/>
    <xf numFmtId="165" fontId="0" fillId="0" borderId="50" xfId="2" applyNumberFormat="1" applyFont="1" applyBorder="1"/>
    <xf numFmtId="165" fontId="0" fillId="0" borderId="42" xfId="2" applyNumberFormat="1" applyFont="1" applyBorder="1"/>
    <xf numFmtId="165" fontId="0" fillId="65" borderId="36" xfId="2" applyNumberFormat="1" applyFont="1" applyFill="1" applyBorder="1"/>
    <xf numFmtId="165" fontId="0" fillId="0" borderId="51" xfId="2" applyNumberFormat="1" applyFont="1" applyBorder="1"/>
    <xf numFmtId="165" fontId="0" fillId="0" borderId="52" xfId="2" applyNumberFormat="1" applyFont="1" applyBorder="1"/>
    <xf numFmtId="165" fontId="0" fillId="0" borderId="17" xfId="2" applyNumberFormat="1" applyFont="1" applyBorder="1"/>
    <xf numFmtId="165" fontId="0" fillId="65" borderId="34" xfId="2" applyNumberFormat="1" applyFont="1" applyFill="1" applyBorder="1"/>
    <xf numFmtId="165" fontId="0" fillId="0" borderId="54" xfId="2" applyNumberFormat="1" applyFont="1" applyBorder="1"/>
    <xf numFmtId="165" fontId="0" fillId="0" borderId="53" xfId="2" applyNumberFormat="1" applyFont="1" applyBorder="1"/>
    <xf numFmtId="165" fontId="0" fillId="0" borderId="55" xfId="2" applyNumberFormat="1" applyFont="1" applyBorder="1"/>
    <xf numFmtId="165" fontId="0" fillId="0" borderId="56" xfId="2" applyNumberFormat="1" applyFont="1" applyBorder="1"/>
    <xf numFmtId="165" fontId="0" fillId="65" borderId="54" xfId="2" applyNumberFormat="1" applyFont="1" applyFill="1" applyBorder="1"/>
    <xf numFmtId="0" fontId="7" fillId="0" borderId="0" xfId="0" applyFont="1" applyAlignment="1">
      <alignment horizontal="center"/>
    </xf>
    <xf numFmtId="0" fontId="0" fillId="61" borderId="6" xfId="0" applyFill="1" applyBorder="1" applyAlignment="1">
      <alignment horizontal="center"/>
    </xf>
    <xf numFmtId="0" fontId="87" fillId="61" borderId="0" xfId="0" applyFont="1" applyFill="1" applyBorder="1" applyAlignment="1">
      <alignment horizontal="left"/>
    </xf>
    <xf numFmtId="0" fontId="0" fillId="61" borderId="0" xfId="0" applyFill="1" applyBorder="1" applyAlignment="1">
      <alignment horizontal="center"/>
    </xf>
    <xf numFmtId="0" fontId="0" fillId="61" borderId="1" xfId="0" applyFill="1" applyBorder="1" applyAlignment="1">
      <alignment horizontal="center"/>
    </xf>
    <xf numFmtId="0" fontId="0" fillId="0" borderId="0" xfId="0" quotePrefix="1" applyAlignment="1">
      <alignment horizontal="left"/>
    </xf>
    <xf numFmtId="0" fontId="5" fillId="0" borderId="0" xfId="0" applyFont="1"/>
    <xf numFmtId="0" fontId="4" fillId="0" borderId="0" xfId="0" applyFont="1" applyAlignment="1">
      <alignment horizontal="left"/>
    </xf>
    <xf numFmtId="164" fontId="5" fillId="0" borderId="0" xfId="1" applyNumberFormat="1" applyFont="1"/>
    <xf numFmtId="0" fontId="4" fillId="0" borderId="0" xfId="0" applyFont="1" applyAlignment="1">
      <alignment horizontal="center"/>
    </xf>
    <xf numFmtId="0" fontId="7" fillId="0" borderId="0" xfId="0" applyFont="1" applyAlignment="1">
      <alignment horizontal="center"/>
    </xf>
    <xf numFmtId="165" fontId="0" fillId="0" borderId="0" xfId="2" applyNumberFormat="1" applyFont="1" applyBorder="1"/>
    <xf numFmtId="0" fontId="4" fillId="0" borderId="0" xfId="0" applyFont="1"/>
    <xf numFmtId="0" fontId="5" fillId="0" borderId="0" xfId="0" applyFont="1" applyAlignment="1">
      <alignment horizontal="center"/>
    </xf>
    <xf numFmtId="0" fontId="92" fillId="0" borderId="0" xfId="0" applyFont="1" applyAlignment="1">
      <alignment horizontal="center"/>
    </xf>
    <xf numFmtId="167" fontId="4" fillId="0" borderId="0" xfId="0" applyNumberFormat="1" applyFont="1" applyAlignment="1">
      <alignment horizontal="center"/>
    </xf>
    <xf numFmtId="0" fontId="5" fillId="0" borderId="0" xfId="0" quotePrefix="1" applyFont="1" applyAlignment="1">
      <alignment horizontal="left"/>
    </xf>
    <xf numFmtId="0" fontId="4" fillId="0" borderId="0" xfId="0" quotePrefix="1" applyFont="1" applyAlignment="1">
      <alignment horizontal="center"/>
    </xf>
    <xf numFmtId="0" fontId="92" fillId="0" borderId="0" xfId="0" quotePrefix="1" applyFont="1" applyAlignment="1">
      <alignment horizontal="left"/>
    </xf>
    <xf numFmtId="164" fontId="5" fillId="0" borderId="0" xfId="0" applyNumberFormat="1" applyFont="1"/>
    <xf numFmtId="164" fontId="5" fillId="0" borderId="6" xfId="0" applyNumberFormat="1" applyFont="1" applyBorder="1"/>
    <xf numFmtId="0" fontId="92" fillId="0" borderId="0" xfId="0" applyFont="1"/>
    <xf numFmtId="164" fontId="5" fillId="0" borderId="3" xfId="0" applyNumberFormat="1" applyFont="1" applyBorder="1"/>
    <xf numFmtId="0" fontId="4" fillId="0" borderId="0" xfId="0" applyFont="1" applyAlignment="1">
      <alignment horizontal="center"/>
    </xf>
    <xf numFmtId="0" fontId="95" fillId="0" borderId="0" xfId="0" applyFont="1" applyAlignment="1">
      <alignment horizontal="left"/>
    </xf>
    <xf numFmtId="0" fontId="96" fillId="0" borderId="0" xfId="6" applyFont="1"/>
    <xf numFmtId="0" fontId="97" fillId="0" borderId="0" xfId="0" applyFont="1" applyAlignment="1">
      <alignment horizontal="center"/>
    </xf>
    <xf numFmtId="164" fontId="98" fillId="0" borderId="0" xfId="5" applyNumberFormat="1" applyFont="1" applyAlignment="1">
      <alignment horizontal="center" wrapText="1"/>
    </xf>
    <xf numFmtId="164" fontId="99" fillId="0" borderId="0" xfId="5" applyNumberFormat="1" applyFont="1" applyAlignment="1">
      <alignment horizontal="right"/>
    </xf>
    <xf numFmtId="164" fontId="99" fillId="0" borderId="0" xfId="5" applyNumberFormat="1" applyFont="1" applyAlignment="1">
      <alignment horizontal="center"/>
    </xf>
    <xf numFmtId="164" fontId="98" fillId="0" borderId="0" xfId="5" quotePrefix="1" applyNumberFormat="1" applyFont="1" applyAlignment="1">
      <alignment horizontal="center" wrapText="1"/>
    </xf>
    <xf numFmtId="0" fontId="94" fillId="0" borderId="0" xfId="0" applyFont="1" applyAlignment="1">
      <alignment horizontal="center"/>
    </xf>
    <xf numFmtId="164" fontId="94" fillId="0" borderId="0" xfId="5" quotePrefix="1" applyNumberFormat="1" applyFont="1" applyAlignment="1">
      <alignment horizontal="center" wrapText="1"/>
    </xf>
    <xf numFmtId="164" fontId="94" fillId="0" borderId="0" xfId="5" applyNumberFormat="1" applyFont="1" applyAlignment="1">
      <alignment horizontal="center" wrapText="1"/>
    </xf>
    <xf numFmtId="164" fontId="99" fillId="0" borderId="0" xfId="5" applyNumberFormat="1" applyFont="1" applyAlignment="1">
      <alignment horizontal="center" wrapText="1"/>
    </xf>
    <xf numFmtId="0" fontId="94" fillId="0" borderId="0" xfId="0" applyFont="1" applyAlignment="1">
      <alignment horizontal="left"/>
    </xf>
    <xf numFmtId="0" fontId="99" fillId="0" borderId="0" xfId="0" applyFont="1" applyAlignment="1">
      <alignment horizontal="center"/>
    </xf>
    <xf numFmtId="164" fontId="99" fillId="0" borderId="0" xfId="5" applyNumberFormat="1" applyFont="1" applyAlignment="1">
      <alignment horizontal="left"/>
    </xf>
    <xf numFmtId="5" fontId="99" fillId="0" borderId="0" xfId="5" applyNumberFormat="1" applyFont="1"/>
    <xf numFmtId="164" fontId="99" fillId="0" borderId="0" xfId="5" applyNumberFormat="1" applyFont="1"/>
    <xf numFmtId="10" fontId="99" fillId="0" borderId="0" xfId="7" applyNumberFormat="1" applyFont="1"/>
    <xf numFmtId="164" fontId="99" fillId="0" borderId="0" xfId="8" applyNumberFormat="1" applyFont="1"/>
    <xf numFmtId="7" fontId="99" fillId="0" borderId="0" xfId="5" applyNumberFormat="1" applyFont="1"/>
    <xf numFmtId="5" fontId="99" fillId="0" borderId="1" xfId="5" applyNumberFormat="1" applyFont="1" applyBorder="1"/>
    <xf numFmtId="164" fontId="99" fillId="0" borderId="1" xfId="5" applyNumberFormat="1" applyFont="1" applyBorder="1"/>
    <xf numFmtId="0" fontId="100" fillId="0" borderId="0" xfId="6" applyFont="1"/>
    <xf numFmtId="5" fontId="99" fillId="0" borderId="3" xfId="5" applyNumberFormat="1" applyFont="1" applyBorder="1"/>
    <xf numFmtId="164" fontId="99" fillId="0" borderId="0" xfId="5" applyNumberFormat="1" applyFont="1" applyBorder="1"/>
    <xf numFmtId="10" fontId="99" fillId="0" borderId="3" xfId="7" applyNumberFormat="1" applyFont="1" applyBorder="1"/>
    <xf numFmtId="164" fontId="99" fillId="0" borderId="3" xfId="5" applyNumberFormat="1" applyFont="1" applyBorder="1"/>
    <xf numFmtId="10" fontId="100" fillId="0" borderId="0" xfId="7" applyNumberFormat="1" applyFont="1"/>
    <xf numFmtId="7" fontId="99" fillId="0" borderId="1" xfId="5" applyNumberFormat="1" applyFont="1" applyBorder="1"/>
    <xf numFmtId="0" fontId="97" fillId="0" borderId="0" xfId="0" applyFont="1"/>
    <xf numFmtId="0" fontId="95" fillId="0" borderId="0" xfId="0" applyFont="1"/>
    <xf numFmtId="0" fontId="99" fillId="0" borderId="0" xfId="0" applyFont="1"/>
    <xf numFmtId="37" fontId="94" fillId="0" borderId="0" xfId="0" applyNumberFormat="1" applyFont="1"/>
    <xf numFmtId="0" fontId="99" fillId="0" borderId="0" xfId="0" applyFont="1" applyFill="1" applyBorder="1"/>
    <xf numFmtId="0" fontId="94" fillId="0" borderId="0" xfId="0" applyFont="1" applyFill="1" applyBorder="1"/>
    <xf numFmtId="6" fontId="94" fillId="0" borderId="0" xfId="0" applyNumberFormat="1" applyFont="1" applyFill="1" applyBorder="1" applyAlignment="1">
      <alignment horizontal="center"/>
    </xf>
    <xf numFmtId="0" fontId="94" fillId="0" borderId="0" xfId="0" applyFont="1" applyBorder="1" applyAlignment="1">
      <alignment horizontal="center"/>
    </xf>
    <xf numFmtId="0" fontId="94" fillId="0" borderId="0" xfId="0" applyFont="1" applyFill="1" applyBorder="1" applyAlignment="1">
      <alignment horizontal="center"/>
    </xf>
    <xf numFmtId="0" fontId="94" fillId="0" borderId="0" xfId="0" quotePrefix="1" applyFont="1" applyFill="1" applyBorder="1" applyAlignment="1">
      <alignment horizontal="center"/>
    </xf>
    <xf numFmtId="0" fontId="101" fillId="0" borderId="0" xfId="0" applyFont="1" applyAlignment="1">
      <alignment horizontal="center"/>
    </xf>
    <xf numFmtId="0" fontId="101" fillId="0" borderId="0" xfId="0" applyFont="1" applyBorder="1" applyAlignment="1">
      <alignment horizontal="center"/>
    </xf>
    <xf numFmtId="0" fontId="101" fillId="0" borderId="0" xfId="0" quotePrefix="1" applyFont="1" applyBorder="1" applyAlignment="1">
      <alignment horizontal="center"/>
    </xf>
    <xf numFmtId="167" fontId="94" fillId="0" borderId="0" xfId="0" applyNumberFormat="1" applyFont="1" applyAlignment="1">
      <alignment horizontal="center"/>
    </xf>
    <xf numFmtId="165" fontId="99" fillId="0" borderId="0" xfId="2" applyNumberFormat="1" applyFont="1" applyFill="1" applyBorder="1"/>
    <xf numFmtId="165" fontId="99" fillId="0" borderId="0" xfId="2" applyNumberFormat="1" applyFont="1" applyFill="1" applyBorder="1" applyProtection="1"/>
    <xf numFmtId="0" fontId="101" fillId="0" borderId="0" xfId="0" applyFont="1" applyAlignment="1">
      <alignment horizontal="left"/>
    </xf>
    <xf numFmtId="0" fontId="99" fillId="0" borderId="0" xfId="0" quotePrefix="1" applyFont="1" applyAlignment="1">
      <alignment horizontal="left"/>
    </xf>
    <xf numFmtId="164" fontId="99" fillId="0" borderId="0" xfId="1" applyNumberFormat="1" applyFont="1"/>
    <xf numFmtId="164" fontId="99" fillId="0" borderId="1" xfId="1" applyNumberFormat="1" applyFont="1" applyBorder="1"/>
    <xf numFmtId="10" fontId="99" fillId="0" borderId="1" xfId="0" applyNumberFormat="1" applyFont="1" applyBorder="1"/>
    <xf numFmtId="164" fontId="99" fillId="0" borderId="1" xfId="0" applyNumberFormat="1" applyFont="1" applyBorder="1"/>
    <xf numFmtId="164" fontId="99" fillId="0" borderId="4" xfId="0" applyNumberFormat="1" applyFont="1" applyBorder="1"/>
    <xf numFmtId="166" fontId="99" fillId="0" borderId="0" xfId="3" applyNumberFormat="1" applyFont="1"/>
    <xf numFmtId="0" fontId="102" fillId="0" borderId="0" xfId="0" quotePrefix="1" applyFont="1" applyAlignment="1">
      <alignment horizontal="left"/>
    </xf>
    <xf numFmtId="0" fontId="97" fillId="0" borderId="0" xfId="0" quotePrefix="1" applyFont="1" applyAlignment="1">
      <alignment horizontal="left"/>
    </xf>
    <xf numFmtId="44" fontId="97" fillId="0" borderId="0" xfId="2" applyFont="1"/>
    <xf numFmtId="164" fontId="97" fillId="0" borderId="0" xfId="0" applyNumberFormat="1" applyFont="1"/>
    <xf numFmtId="0" fontId="97" fillId="0" borderId="0" xfId="0" applyFont="1" applyAlignment="1">
      <alignment horizontal="right"/>
    </xf>
    <xf numFmtId="0" fontId="97" fillId="0" borderId="0" xfId="0" applyFont="1" applyAlignment="1">
      <alignment horizontal="left"/>
    </xf>
    <xf numFmtId="0" fontId="95" fillId="0" borderId="0" xfId="0" quotePrefix="1" applyFont="1" applyAlignment="1">
      <alignment horizontal="left"/>
    </xf>
    <xf numFmtId="6" fontId="95" fillId="0" borderId="0" xfId="0" applyNumberFormat="1" applyFont="1" applyFill="1" applyBorder="1" applyAlignment="1">
      <alignment horizontal="center"/>
    </xf>
    <xf numFmtId="0" fontId="95" fillId="0" borderId="0" xfId="0" applyFont="1" applyFill="1" applyBorder="1"/>
    <xf numFmtId="0" fontId="95" fillId="0" borderId="0" xfId="0" applyFont="1" applyAlignment="1">
      <alignment horizontal="center"/>
    </xf>
    <xf numFmtId="0" fontId="95" fillId="0" borderId="0" xfId="0" applyFont="1" applyBorder="1" applyAlignment="1">
      <alignment horizontal="center"/>
    </xf>
    <xf numFmtId="0" fontId="95" fillId="0" borderId="0" xfId="0" applyFont="1" applyFill="1" applyBorder="1" applyAlignment="1">
      <alignment horizontal="center"/>
    </xf>
    <xf numFmtId="0" fontId="95" fillId="0" borderId="0" xfId="0" quotePrefix="1" applyFont="1" applyFill="1" applyBorder="1" applyAlignment="1">
      <alignment horizontal="center"/>
    </xf>
    <xf numFmtId="0" fontId="102" fillId="0" borderId="0" xfId="0" applyFont="1" applyAlignment="1">
      <alignment horizontal="center"/>
    </xf>
    <xf numFmtId="0" fontId="102" fillId="0" borderId="0" xfId="0" applyFont="1" applyBorder="1" applyAlignment="1">
      <alignment horizontal="center"/>
    </xf>
    <xf numFmtId="0" fontId="102" fillId="0" borderId="0" xfId="0" quotePrefix="1" applyFont="1" applyBorder="1" applyAlignment="1">
      <alignment horizontal="center"/>
    </xf>
    <xf numFmtId="167" fontId="95" fillId="0" borderId="0" xfId="0" applyNumberFormat="1" applyFont="1" applyAlignment="1">
      <alignment horizontal="center"/>
    </xf>
    <xf numFmtId="0" fontId="97" fillId="0" borderId="0" xfId="0" applyFont="1" applyFill="1" applyBorder="1"/>
    <xf numFmtId="165" fontId="97" fillId="0" borderId="0" xfId="2" applyNumberFormat="1" applyFont="1" applyFill="1" applyBorder="1"/>
    <xf numFmtId="165" fontId="97" fillId="0" borderId="0" xfId="2" applyNumberFormat="1" applyFont="1" applyFill="1" applyBorder="1" applyProtection="1"/>
    <xf numFmtId="0" fontId="102" fillId="0" borderId="0" xfId="0" applyFont="1" applyAlignment="1">
      <alignment horizontal="left"/>
    </xf>
    <xf numFmtId="164" fontId="97" fillId="0" borderId="0" xfId="1" applyNumberFormat="1" applyFont="1"/>
    <xf numFmtId="164" fontId="97" fillId="0" borderId="1" xfId="1" applyNumberFormat="1" applyFont="1" applyBorder="1"/>
    <xf numFmtId="10" fontId="97" fillId="0" borderId="1" xfId="0" applyNumberFormat="1" applyFont="1" applyBorder="1"/>
    <xf numFmtId="164" fontId="97" fillId="0" borderId="1" xfId="0" applyNumberFormat="1" applyFont="1" applyBorder="1"/>
    <xf numFmtId="164" fontId="97" fillId="0" borderId="4" xfId="0" applyNumberFormat="1" applyFont="1" applyBorder="1"/>
    <xf numFmtId="166" fontId="97" fillId="0" borderId="0" xfId="3" applyNumberFormat="1" applyFont="1"/>
    <xf numFmtId="164" fontId="97" fillId="0" borderId="0" xfId="5" applyNumberFormat="1" applyFont="1" applyAlignment="1">
      <alignment horizontal="left"/>
    </xf>
    <xf numFmtId="0" fontId="45" fillId="0" borderId="0" xfId="0" applyFont="1"/>
    <xf numFmtId="0" fontId="103" fillId="0" borderId="0" xfId="0" applyFont="1"/>
    <xf numFmtId="0" fontId="103" fillId="0" borderId="0" xfId="0" applyFont="1" applyAlignment="1">
      <alignment horizontal="center"/>
    </xf>
    <xf numFmtId="0" fontId="103" fillId="0" borderId="1" xfId="0" applyFont="1" applyBorder="1" applyAlignment="1">
      <alignment horizontal="center"/>
    </xf>
    <xf numFmtId="167" fontId="45" fillId="0" borderId="0" xfId="0" applyNumberFormat="1" applyFont="1" applyAlignment="1">
      <alignment horizontal="center"/>
    </xf>
    <xf numFmtId="167" fontId="45" fillId="0" borderId="0" xfId="0" applyNumberFormat="1" applyFont="1"/>
    <xf numFmtId="0" fontId="45" fillId="0" borderId="0" xfId="0" applyFont="1" applyAlignment="1">
      <alignment horizontal="center"/>
    </xf>
    <xf numFmtId="164" fontId="45" fillId="0" borderId="0" xfId="0" applyNumberFormat="1" applyFont="1"/>
    <xf numFmtId="168" fontId="45" fillId="0" borderId="0" xfId="0" applyNumberFormat="1" applyFont="1"/>
    <xf numFmtId="0" fontId="91" fillId="0" borderId="0" xfId="0" applyFont="1" applyAlignment="1"/>
    <xf numFmtId="5" fontId="90" fillId="0" borderId="0" xfId="0" applyNumberFormat="1" applyFont="1"/>
    <xf numFmtId="5" fontId="90" fillId="0" borderId="0" xfId="0" applyNumberFormat="1" applyFont="1" applyBorder="1"/>
    <xf numFmtId="5" fontId="90" fillId="0" borderId="1" xfId="0" applyNumberFormat="1" applyFont="1" applyBorder="1"/>
    <xf numFmtId="0" fontId="4" fillId="0" borderId="5" xfId="0" applyFont="1" applyBorder="1" applyAlignment="1">
      <alignment horizontal="center"/>
    </xf>
    <xf numFmtId="0" fontId="4" fillId="0" borderId="0" xfId="0" applyFont="1" applyBorder="1" applyAlignment="1">
      <alignment horizontal="center"/>
    </xf>
    <xf numFmtId="0" fontId="4" fillId="0" borderId="0" xfId="0" quotePrefix="1" applyFont="1" applyAlignment="1">
      <alignment horizontal="center"/>
    </xf>
    <xf numFmtId="0" fontId="4" fillId="0" borderId="0" xfId="0" quotePrefix="1" applyFont="1" applyAlignment="1">
      <alignment horizontal="center"/>
    </xf>
    <xf numFmtId="164" fontId="94" fillId="0" borderId="0" xfId="5" applyNumberFormat="1" applyFont="1" applyAlignment="1">
      <alignment horizontal="left"/>
    </xf>
    <xf numFmtId="0" fontId="0" fillId="0" borderId="49" xfId="0" applyBorder="1" applyAlignment="1">
      <alignment horizontal="center"/>
    </xf>
    <xf numFmtId="0" fontId="0" fillId="0" borderId="51" xfId="0" applyBorder="1" applyAlignment="1">
      <alignment horizontal="center"/>
    </xf>
    <xf numFmtId="0" fontId="0" fillId="0" borderId="17" xfId="0" applyBorder="1" applyAlignment="1">
      <alignment horizontal="center"/>
    </xf>
    <xf numFmtId="0" fontId="24" fillId="63" borderId="45" xfId="0" applyFont="1" applyFill="1" applyBorder="1" applyAlignment="1">
      <alignment horizontal="center" vertical="center" wrapText="1"/>
    </xf>
    <xf numFmtId="165" fontId="24" fillId="63" borderId="46" xfId="2" quotePrefix="1" applyNumberFormat="1" applyFont="1" applyFill="1" applyBorder="1" applyAlignment="1">
      <alignment horizontal="center" vertical="center" wrapText="1"/>
    </xf>
    <xf numFmtId="0" fontId="94" fillId="0" borderId="0" xfId="0" applyFont="1" applyAlignment="1">
      <alignment horizontal="center"/>
    </xf>
    <xf numFmtId="10" fontId="99" fillId="0" borderId="1" xfId="7" applyNumberFormat="1" applyFont="1" applyBorder="1"/>
    <xf numFmtId="0" fontId="91" fillId="0" borderId="0" xfId="0" applyFont="1" applyAlignment="1">
      <alignment horizontal="center"/>
    </xf>
    <xf numFmtId="5" fontId="0" fillId="0" borderId="0" xfId="0" applyNumberFormat="1"/>
    <xf numFmtId="0" fontId="7" fillId="0" borderId="1" xfId="0" applyFont="1" applyBorder="1" applyAlignment="1">
      <alignment horizontal="center"/>
    </xf>
    <xf numFmtId="3" fontId="7" fillId="0" borderId="1" xfId="0" applyNumberFormat="1" applyFont="1" applyBorder="1" applyAlignment="1">
      <alignment horizontal="center"/>
    </xf>
    <xf numFmtId="0" fontId="7" fillId="0" borderId="1" xfId="0" applyFont="1" applyBorder="1"/>
    <xf numFmtId="0" fontId="8" fillId="0" borderId="0" xfId="0" applyFont="1"/>
    <xf numFmtId="3" fontId="7" fillId="0" borderId="0" xfId="0" applyNumberFormat="1" applyFont="1"/>
    <xf numFmtId="0" fontId="3" fillId="0" borderId="0" xfId="0" applyFont="1"/>
    <xf numFmtId="0" fontId="0" fillId="66" borderId="0" xfId="0" applyFill="1"/>
    <xf numFmtId="3" fontId="0" fillId="66" borderId="0" xfId="0" applyNumberFormat="1" applyFill="1"/>
    <xf numFmtId="0" fontId="7" fillId="66" borderId="0" xfId="0" applyFont="1" applyFill="1"/>
    <xf numFmtId="0" fontId="24" fillId="0" borderId="0" xfId="2386" applyFont="1"/>
    <xf numFmtId="0" fontId="1" fillId="0" borderId="0" xfId="2386"/>
    <xf numFmtId="0" fontId="1" fillId="0" borderId="34" xfId="2386" applyBorder="1" applyAlignment="1" applyProtection="1">
      <alignment horizontal="center"/>
      <protection locked="0"/>
    </xf>
    <xf numFmtId="0" fontId="1" fillId="0" borderId="0" xfId="2386" applyProtection="1">
      <protection locked="0"/>
    </xf>
    <xf numFmtId="0" fontId="1" fillId="0" borderId="0" xfId="2386" applyFill="1" applyProtection="1">
      <protection locked="0"/>
    </xf>
    <xf numFmtId="3" fontId="1" fillId="0" borderId="0" xfId="2386" applyNumberFormat="1" applyProtection="1">
      <protection locked="0"/>
    </xf>
    <xf numFmtId="0" fontId="24" fillId="0" borderId="0" xfId="2386" applyFont="1" applyProtection="1">
      <protection locked="0"/>
    </xf>
    <xf numFmtId="3" fontId="24" fillId="0" borderId="0" xfId="2386" applyNumberFormat="1" applyFont="1"/>
    <xf numFmtId="3" fontId="1" fillId="0" borderId="0" xfId="2386" applyNumberFormat="1"/>
    <xf numFmtId="172" fontId="1" fillId="0" borderId="0" xfId="2386" applyNumberFormat="1"/>
    <xf numFmtId="0" fontId="1" fillId="0" borderId="34" xfId="2386" quotePrefix="1" applyBorder="1" applyAlignment="1" applyProtection="1">
      <alignment horizontal="center"/>
      <protection locked="0"/>
    </xf>
    <xf numFmtId="0" fontId="24" fillId="0" borderId="0" xfId="2386" quotePrefix="1" applyFont="1" applyAlignment="1" applyProtection="1">
      <alignment horizontal="left"/>
      <protection locked="0"/>
    </xf>
    <xf numFmtId="3" fontId="24" fillId="0" borderId="0" xfId="2386" applyNumberFormat="1" applyFont="1" applyProtection="1">
      <protection locked="0"/>
    </xf>
    <xf numFmtId="3" fontId="1" fillId="0" borderId="0" xfId="2386" applyNumberFormat="1" applyFont="1"/>
    <xf numFmtId="3" fontId="1" fillId="0" borderId="0" xfId="2386" applyNumberFormat="1" applyBorder="1"/>
    <xf numFmtId="3" fontId="24" fillId="0" borderId="0" xfId="2386" applyNumberFormat="1" applyFont="1" applyBorder="1"/>
    <xf numFmtId="7" fontId="100" fillId="0" borderId="0" xfId="6" applyNumberFormat="1" applyFont="1"/>
    <xf numFmtId="0" fontId="5" fillId="0" borderId="0" xfId="0" applyFont="1" applyFill="1"/>
    <xf numFmtId="164" fontId="45" fillId="0" borderId="0" xfId="0" applyNumberFormat="1" applyFont="1" applyFill="1"/>
    <xf numFmtId="3" fontId="0" fillId="0" borderId="1" xfId="0" applyNumberFormat="1" applyBorder="1"/>
    <xf numFmtId="0" fontId="7" fillId="0" borderId="0" xfId="6" applyFont="1"/>
    <xf numFmtId="0" fontId="0" fillId="0" borderId="0" xfId="0" applyFill="1"/>
    <xf numFmtId="0" fontId="7" fillId="0" borderId="0" xfId="0" applyFont="1" applyFill="1"/>
    <xf numFmtId="0" fontId="99" fillId="0" borderId="0" xfId="0" applyFont="1" applyFill="1" applyAlignment="1">
      <alignment horizontal="left"/>
    </xf>
    <xf numFmtId="0" fontId="99" fillId="0" borderId="0" xfId="0" applyFont="1" applyFill="1"/>
    <xf numFmtId="0" fontId="99" fillId="0" borderId="0" xfId="0" applyFont="1" applyFill="1" applyAlignment="1">
      <alignment horizontal="center"/>
    </xf>
    <xf numFmtId="3" fontId="0" fillId="67" borderId="0" xfId="0" applyNumberFormat="1" applyFill="1"/>
    <xf numFmtId="5" fontId="90" fillId="0" borderId="0" xfId="0" applyNumberFormat="1" applyFont="1" applyFill="1"/>
    <xf numFmtId="5" fontId="90" fillId="0" borderId="1" xfId="0" applyNumberFormat="1" applyFont="1" applyFill="1" applyBorder="1"/>
    <xf numFmtId="5" fontId="90" fillId="0" borderId="0" xfId="0" applyNumberFormat="1" applyFont="1" applyFill="1" applyBorder="1"/>
    <xf numFmtId="164" fontId="99" fillId="0" borderId="0" xfId="1" applyNumberFormat="1" applyFont="1" applyFill="1"/>
    <xf numFmtId="164" fontId="99" fillId="0" borderId="1" xfId="1" applyNumberFormat="1" applyFont="1" applyFill="1" applyBorder="1"/>
    <xf numFmtId="10" fontId="99" fillId="0" borderId="1" xfId="0" applyNumberFormat="1" applyFont="1" applyFill="1" applyBorder="1"/>
    <xf numFmtId="164" fontId="99" fillId="0" borderId="1" xfId="0" applyNumberFormat="1" applyFont="1" applyFill="1" applyBorder="1"/>
    <xf numFmtId="164" fontId="99" fillId="0" borderId="4" xfId="0" applyNumberFormat="1" applyFont="1" applyFill="1" applyBorder="1"/>
    <xf numFmtId="165" fontId="5" fillId="0" borderId="3" xfId="5" applyNumberFormat="1" applyFont="1" applyFill="1" applyBorder="1"/>
    <xf numFmtId="0" fontId="0" fillId="0" borderId="0" xfId="0" applyFill="1" applyAlignment="1">
      <alignment horizontal="center"/>
    </xf>
    <xf numFmtId="0" fontId="91" fillId="0" borderId="0" xfId="0" applyFont="1" applyFill="1" applyAlignment="1"/>
    <xf numFmtId="165" fontId="0" fillId="0" borderId="0" xfId="2" applyNumberFormat="1" applyFont="1" applyFill="1" applyBorder="1"/>
    <xf numFmtId="0" fontId="7" fillId="0" borderId="0" xfId="0" applyFont="1" applyFill="1" applyAlignment="1">
      <alignment horizontal="lef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5" fontId="0" fillId="0" borderId="0" xfId="0" applyNumberFormat="1" applyFill="1"/>
    <xf numFmtId="164" fontId="99" fillId="0" borderId="0" xfId="1" applyNumberFormat="1" applyFont="1" applyFill="1" applyBorder="1"/>
    <xf numFmtId="0" fontId="108" fillId="0" borderId="0" xfId="0" applyFont="1" applyAlignment="1">
      <alignment horizontal="center"/>
    </xf>
    <xf numFmtId="0" fontId="0" fillId="0" borderId="0" xfId="0" applyAlignment="1">
      <alignment wrapText="1"/>
    </xf>
    <xf numFmtId="14" fontId="0" fillId="0" borderId="0" xfId="0" applyNumberForma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103" fillId="0" borderId="0" xfId="0" applyFont="1" applyFill="1" applyBorder="1" applyAlignment="1">
      <alignment horizontal="center" wrapText="1"/>
    </xf>
    <xf numFmtId="0" fontId="103" fillId="0" borderId="0" xfId="0" applyFont="1" applyFill="1" applyBorder="1" applyAlignment="1">
      <alignment horizontal="center"/>
    </xf>
    <xf numFmtId="0" fontId="45" fillId="0" borderId="0" xfId="0" applyFont="1" applyFill="1" applyBorder="1"/>
    <xf numFmtId="167" fontId="45" fillId="0" borderId="0" xfId="0" applyNumberFormat="1" applyFont="1" applyFill="1" applyBorder="1"/>
    <xf numFmtId="164" fontId="45" fillId="0" borderId="0" xfId="0" applyNumberFormat="1" applyFont="1" applyFill="1" applyBorder="1"/>
    <xf numFmtId="0" fontId="45" fillId="0" borderId="0" xfId="0" applyFont="1" applyFill="1"/>
    <xf numFmtId="0" fontId="103" fillId="0" borderId="0" xfId="0" applyFont="1" applyFill="1"/>
    <xf numFmtId="0" fontId="103" fillId="0" borderId="0" xfId="0" applyFont="1" applyFill="1" applyAlignment="1">
      <alignment horizontal="center"/>
    </xf>
    <xf numFmtId="0" fontId="103" fillId="0" borderId="0" xfId="0" applyFont="1" applyFill="1" applyAlignment="1">
      <alignment horizontal="center" wrapText="1"/>
    </xf>
    <xf numFmtId="0" fontId="103" fillId="0" borderId="1" xfId="0" quotePrefix="1" applyFont="1" applyFill="1" applyBorder="1" applyAlignment="1">
      <alignment horizontal="center"/>
    </xf>
    <xf numFmtId="167" fontId="45" fillId="0" borderId="0" xfId="0" applyNumberFormat="1" applyFont="1" applyFill="1" applyAlignment="1">
      <alignment horizontal="center"/>
    </xf>
    <xf numFmtId="167" fontId="45" fillId="0" borderId="0" xfId="0" applyNumberFormat="1" applyFont="1" applyFill="1"/>
    <xf numFmtId="0" fontId="45" fillId="0" borderId="0" xfId="0" applyFont="1" applyFill="1" applyAlignment="1">
      <alignment horizontal="center"/>
    </xf>
    <xf numFmtId="0" fontId="45" fillId="0" borderId="0" xfId="0" quotePrefix="1" applyFont="1" applyFill="1"/>
    <xf numFmtId="168" fontId="45" fillId="0" borderId="0" xfId="0" applyNumberFormat="1" applyFont="1" applyFill="1"/>
    <xf numFmtId="43" fontId="45" fillId="0" borderId="0" xfId="0" applyNumberFormat="1" applyFont="1" applyFill="1"/>
    <xf numFmtId="0" fontId="5" fillId="0" borderId="0" xfId="0" applyFont="1" applyFill="1" applyAlignment="1">
      <alignment horizontal="right"/>
    </xf>
    <xf numFmtId="3" fontId="0" fillId="0" borderId="0" xfId="0" applyNumberFormat="1" applyFill="1" applyBorder="1"/>
    <xf numFmtId="0" fontId="4" fillId="0" borderId="0" xfId="0" quotePrefix="1" applyFont="1" applyFill="1" applyBorder="1" applyAlignment="1">
      <alignment horizontal="center"/>
    </xf>
    <xf numFmtId="0" fontId="3" fillId="0" borderId="0" xfId="0" applyFont="1" applyFill="1" applyAlignment="1">
      <alignment wrapText="1"/>
    </xf>
    <xf numFmtId="0" fontId="99" fillId="0" borderId="0" xfId="0" applyFont="1" applyFill="1" applyBorder="1" applyAlignment="1">
      <alignment horizontal="center"/>
    </xf>
    <xf numFmtId="0" fontId="99" fillId="0" borderId="1" xfId="0" applyFont="1" applyFill="1" applyBorder="1" applyAlignment="1">
      <alignment horizontal="center"/>
    </xf>
    <xf numFmtId="0" fontId="5" fillId="0" borderId="0" xfId="0" applyFont="1" applyFill="1" applyAlignment="1">
      <alignment horizontal="center"/>
    </xf>
    <xf numFmtId="0" fontId="96" fillId="0" borderId="0" xfId="6" applyFont="1" applyFill="1"/>
    <xf numFmtId="0" fontId="94" fillId="0" borderId="0" xfId="0" quotePrefix="1" applyFont="1" applyFill="1" applyAlignment="1">
      <alignment horizontal="center"/>
    </xf>
    <xf numFmtId="0" fontId="94" fillId="0" borderId="0" xfId="0" applyFont="1" applyFill="1" applyAlignment="1">
      <alignment horizontal="center"/>
    </xf>
    <xf numFmtId="0" fontId="95" fillId="0" borderId="0" xfId="0" applyFont="1" applyFill="1" applyAlignment="1">
      <alignment horizontal="left"/>
    </xf>
    <xf numFmtId="164" fontId="105" fillId="0" borderId="0" xfId="5" applyNumberFormat="1" applyFont="1" applyFill="1" applyAlignment="1">
      <alignment horizontal="center" wrapText="1"/>
    </xf>
    <xf numFmtId="164" fontId="5" fillId="0" borderId="0" xfId="5" applyNumberFormat="1" applyFont="1" applyFill="1" applyAlignment="1">
      <alignment horizontal="right"/>
    </xf>
    <xf numFmtId="164" fontId="5" fillId="0" borderId="0" xfId="5" applyNumberFormat="1" applyFont="1" applyFill="1" applyAlignment="1">
      <alignment horizontal="center"/>
    </xf>
    <xf numFmtId="164" fontId="105" fillId="0" borderId="0" xfId="5" quotePrefix="1" applyNumberFormat="1" applyFont="1" applyFill="1" applyAlignment="1">
      <alignment horizontal="center" wrapText="1"/>
    </xf>
    <xf numFmtId="0" fontId="90" fillId="0" borderId="0" xfId="6" applyFont="1" applyFill="1"/>
    <xf numFmtId="164" fontId="105" fillId="0" borderId="0" xfId="1501" quotePrefix="1" applyNumberFormat="1" applyFont="1" applyFill="1" applyAlignment="1">
      <alignment horizontal="center" wrapText="1"/>
    </xf>
    <xf numFmtId="169" fontId="90" fillId="0" borderId="0" xfId="2025" applyFont="1" applyFill="1"/>
    <xf numFmtId="0" fontId="90" fillId="0" borderId="0" xfId="6" applyFont="1" applyFill="1" applyAlignment="1">
      <alignment horizontal="center"/>
    </xf>
    <xf numFmtId="164" fontId="4" fillId="0" borderId="0" xfId="5" quotePrefix="1" applyNumberFormat="1" applyFont="1" applyFill="1" applyAlignment="1">
      <alignment horizontal="center" vertical="center" wrapText="1"/>
    </xf>
    <xf numFmtId="164" fontId="4" fillId="0" borderId="0" xfId="5" quotePrefix="1" applyNumberFormat="1" applyFont="1" applyFill="1" applyAlignment="1">
      <alignment horizontal="center" wrapText="1"/>
    </xf>
    <xf numFmtId="164" fontId="4" fillId="0" borderId="0" xfId="5" applyNumberFormat="1" applyFont="1" applyFill="1" applyAlignment="1">
      <alignment horizontal="center" wrapText="1"/>
    </xf>
    <xf numFmtId="164" fontId="5" fillId="0" borderId="0" xfId="5" applyNumberFormat="1" applyFont="1" applyFill="1" applyAlignment="1">
      <alignment horizontal="center" wrapText="1"/>
    </xf>
    <xf numFmtId="164" fontId="5" fillId="0" borderId="0" xfId="1501" applyNumberFormat="1" applyFont="1" applyFill="1" applyAlignment="1">
      <alignment horizontal="center" wrapText="1"/>
    </xf>
    <xf numFmtId="0" fontId="109" fillId="0" borderId="0" xfId="0" applyFont="1" applyFill="1"/>
    <xf numFmtId="164" fontId="5" fillId="0" borderId="0" xfId="5" applyNumberFormat="1" applyFont="1" applyFill="1" applyAlignment="1">
      <alignment horizontal="left"/>
    </xf>
    <xf numFmtId="5" fontId="5" fillId="0" borderId="0" xfId="5" applyNumberFormat="1" applyFont="1" applyFill="1"/>
    <xf numFmtId="164" fontId="5" fillId="0" borderId="0" xfId="5" applyNumberFormat="1" applyFont="1" applyFill="1"/>
    <xf numFmtId="10" fontId="5" fillId="0" borderId="0" xfId="7" applyNumberFormat="1" applyFont="1" applyFill="1"/>
    <xf numFmtId="164" fontId="5" fillId="0" borderId="0" xfId="8" applyNumberFormat="1" applyFont="1" applyFill="1"/>
    <xf numFmtId="7" fontId="5" fillId="0" borderId="0" xfId="5" applyNumberFormat="1" applyFont="1" applyFill="1"/>
    <xf numFmtId="7" fontId="5" fillId="0" borderId="0" xfId="1501" applyNumberFormat="1" applyFont="1" applyFill="1"/>
    <xf numFmtId="5" fontId="5" fillId="0" borderId="1" xfId="5" applyNumberFormat="1" applyFont="1" applyFill="1" applyBorder="1"/>
    <xf numFmtId="10" fontId="5" fillId="0" borderId="1" xfId="7" applyNumberFormat="1" applyFont="1" applyFill="1" applyBorder="1"/>
    <xf numFmtId="164" fontId="5" fillId="0" borderId="1" xfId="5" applyNumberFormat="1" applyFont="1" applyFill="1" applyBorder="1"/>
    <xf numFmtId="164" fontId="4" fillId="0" borderId="0" xfId="5" applyNumberFormat="1" applyFont="1" applyFill="1" applyAlignment="1">
      <alignment horizontal="left"/>
    </xf>
    <xf numFmtId="5" fontId="5" fillId="0" borderId="3" xfId="5" applyNumberFormat="1" applyFont="1" applyFill="1" applyBorder="1"/>
    <xf numFmtId="164" fontId="5" fillId="0" borderId="0" xfId="5" applyNumberFormat="1" applyFont="1" applyFill="1" applyBorder="1"/>
    <xf numFmtId="10" fontId="5" fillId="0" borderId="3" xfId="7" applyNumberFormat="1" applyFont="1" applyFill="1" applyBorder="1"/>
    <xf numFmtId="164" fontId="5" fillId="0" borderId="3" xfId="5" applyNumberFormat="1" applyFont="1" applyFill="1" applyBorder="1"/>
    <xf numFmtId="169" fontId="4" fillId="0" borderId="0" xfId="1987" applyFont="1" applyFill="1" applyAlignment="1">
      <alignment horizontal="left"/>
    </xf>
    <xf numFmtId="164" fontId="4" fillId="0" borderId="0" xfId="1501" quotePrefix="1" applyNumberFormat="1" applyFont="1" applyFill="1" applyAlignment="1">
      <alignment horizontal="center" wrapText="1"/>
    </xf>
    <xf numFmtId="164" fontId="5" fillId="0" borderId="0" xfId="1501" applyNumberFormat="1" applyFont="1" applyFill="1" applyAlignment="1">
      <alignment horizontal="right"/>
    </xf>
    <xf numFmtId="164" fontId="4" fillId="0" borderId="0" xfId="1501" applyNumberFormat="1" applyFont="1" applyFill="1" applyAlignment="1">
      <alignment horizontal="center" wrapText="1"/>
    </xf>
    <xf numFmtId="164" fontId="5" fillId="0" borderId="0" xfId="1501" applyNumberFormat="1" applyFont="1" applyFill="1" applyAlignment="1">
      <alignment horizontal="center"/>
    </xf>
    <xf numFmtId="164" fontId="5" fillId="0" borderId="0" xfId="1501" applyNumberFormat="1" applyFont="1" applyFill="1" applyAlignment="1">
      <alignment horizontal="left"/>
    </xf>
    <xf numFmtId="5" fontId="5" fillId="0" borderId="0" xfId="1501" applyNumberFormat="1" applyFont="1" applyFill="1"/>
    <xf numFmtId="164" fontId="5" fillId="0" borderId="0" xfId="1501" applyNumberFormat="1" applyFont="1" applyFill="1"/>
    <xf numFmtId="10" fontId="5" fillId="0" borderId="0" xfId="2229" applyNumberFormat="1" applyFont="1" applyFill="1"/>
    <xf numFmtId="5" fontId="5" fillId="0" borderId="1" xfId="1501" applyNumberFormat="1" applyFont="1" applyFill="1" applyBorder="1"/>
    <xf numFmtId="10" fontId="5" fillId="0" borderId="1" xfId="2229" applyNumberFormat="1" applyFont="1" applyFill="1" applyBorder="1"/>
    <xf numFmtId="7" fontId="5" fillId="0" borderId="1" xfId="1501" applyNumberFormat="1" applyFont="1" applyFill="1" applyBorder="1"/>
    <xf numFmtId="164" fontId="5" fillId="0" borderId="1" xfId="1501" applyNumberFormat="1" applyFont="1" applyFill="1" applyBorder="1"/>
    <xf numFmtId="164" fontId="4" fillId="0" borderId="0" xfId="1501" applyNumberFormat="1" applyFont="1" applyFill="1" applyAlignment="1">
      <alignment horizontal="left"/>
    </xf>
    <xf numFmtId="5" fontId="5" fillId="0" borderId="3" xfId="1501" applyNumberFormat="1" applyFont="1" applyFill="1" applyBorder="1"/>
    <xf numFmtId="164" fontId="5" fillId="0" borderId="0" xfId="1501" applyNumberFormat="1" applyFont="1" applyFill="1" applyBorder="1"/>
    <xf numFmtId="10" fontId="5" fillId="0" borderId="3" xfId="2229" applyNumberFormat="1" applyFont="1" applyFill="1" applyBorder="1"/>
    <xf numFmtId="165" fontId="5" fillId="0" borderId="3" xfId="1501" applyNumberFormat="1" applyFont="1" applyFill="1" applyBorder="1"/>
    <xf numFmtId="164" fontId="5" fillId="0" borderId="3" xfId="1501" applyNumberFormat="1" applyFont="1" applyFill="1" applyBorder="1"/>
    <xf numFmtId="169" fontId="5" fillId="0" borderId="0" xfId="1987" applyFont="1" applyFill="1" applyAlignment="1">
      <alignment horizontal="center"/>
    </xf>
    <xf numFmtId="169" fontId="90" fillId="0" borderId="0" xfId="2025" applyFont="1" applyFill="1" applyAlignment="1">
      <alignment horizontal="right"/>
    </xf>
    <xf numFmtId="165" fontId="5" fillId="0" borderId="0" xfId="1501" applyNumberFormat="1" applyFont="1" applyFill="1" applyBorder="1"/>
    <xf numFmtId="0" fontId="97" fillId="0" borderId="0" xfId="0" applyFont="1" applyFill="1" applyAlignment="1">
      <alignment horizontal="center"/>
    </xf>
    <xf numFmtId="0" fontId="4" fillId="0" borderId="0" xfId="0" quotePrefix="1" applyFont="1" applyFill="1" applyAlignment="1">
      <alignment horizontal="center"/>
    </xf>
    <xf numFmtId="0" fontId="92" fillId="0" borderId="0" xfId="0" applyFont="1" applyFill="1" applyAlignment="1">
      <alignment horizontal="center"/>
    </xf>
    <xf numFmtId="167" fontId="4" fillId="0" borderId="0" xfId="0" applyNumberFormat="1" applyFont="1" applyFill="1" applyAlignment="1">
      <alignment horizontal="center"/>
    </xf>
    <xf numFmtId="0" fontId="3" fillId="0" borderId="0" xfId="0" quotePrefix="1" applyFont="1" applyFill="1" applyAlignment="1">
      <alignment horizontal="left"/>
    </xf>
    <xf numFmtId="10" fontId="5" fillId="0" borderId="0" xfId="0" applyNumberFormat="1" applyFont="1" applyFill="1"/>
    <xf numFmtId="10" fontId="5" fillId="0" borderId="0" xfId="3" applyNumberFormat="1" applyFont="1" applyFill="1"/>
    <xf numFmtId="0" fontId="5" fillId="0" borderId="0" xfId="0" quotePrefix="1" applyFont="1" applyFill="1" applyAlignment="1">
      <alignment horizontal="left"/>
    </xf>
    <xf numFmtId="10" fontId="93" fillId="0" borderId="0" xfId="0" applyNumberFormat="1" applyFont="1" applyFill="1"/>
    <xf numFmtId="10" fontId="93" fillId="0" borderId="0" xfId="3" applyNumberFormat="1" applyFont="1" applyFill="1"/>
    <xf numFmtId="0" fontId="97" fillId="0" borderId="0" xfId="0" applyFont="1" applyFill="1"/>
    <xf numFmtId="37" fontId="94" fillId="0" borderId="0" xfId="0" applyNumberFormat="1" applyFont="1" applyFill="1"/>
    <xf numFmtId="0" fontId="101" fillId="0" borderId="0" xfId="0" applyFont="1" applyFill="1" applyAlignment="1">
      <alignment horizontal="center"/>
    </xf>
    <xf numFmtId="0" fontId="101" fillId="0" borderId="0" xfId="0" quotePrefix="1" applyFont="1" applyFill="1" applyBorder="1" applyAlignment="1">
      <alignment horizontal="center"/>
    </xf>
    <xf numFmtId="167" fontId="94" fillId="0" borderId="0" xfId="0" applyNumberFormat="1" applyFont="1" applyFill="1" applyAlignment="1">
      <alignment horizontal="center"/>
    </xf>
    <xf numFmtId="0" fontId="101" fillId="0" borderId="0" xfId="0" applyFont="1" applyFill="1" applyAlignment="1">
      <alignment horizontal="left"/>
    </xf>
    <xf numFmtId="0" fontId="99" fillId="0" borderId="0" xfId="0" quotePrefix="1" applyFont="1" applyFill="1" applyAlignment="1">
      <alignment horizontal="left"/>
    </xf>
    <xf numFmtId="0" fontId="99" fillId="0" borderId="0" xfId="0" quotePrefix="1" applyFont="1" applyFill="1" applyAlignment="1">
      <alignment horizontal="center"/>
    </xf>
    <xf numFmtId="164" fontId="99" fillId="0" borderId="0" xfId="0" applyNumberFormat="1" applyFont="1" applyFill="1"/>
    <xf numFmtId="166" fontId="99" fillId="0" borderId="0" xfId="3" applyNumberFormat="1" applyFont="1" applyFill="1"/>
    <xf numFmtId="0" fontId="102" fillId="0" borderId="0" xfId="0" quotePrefix="1" applyFont="1" applyFill="1" applyAlignment="1">
      <alignment horizontal="left"/>
    </xf>
    <xf numFmtId="0" fontId="97" fillId="0" borderId="0" xfId="0" quotePrefix="1" applyFont="1" applyFill="1" applyAlignment="1">
      <alignment horizontal="left"/>
    </xf>
    <xf numFmtId="44" fontId="97" fillId="0" borderId="0" xfId="2" applyFont="1" applyFill="1"/>
    <xf numFmtId="164" fontId="97" fillId="0" borderId="0" xfId="0" applyNumberFormat="1" applyFont="1" applyFill="1"/>
    <xf numFmtId="0" fontId="97" fillId="0" borderId="0" xfId="0" applyFont="1" applyFill="1" applyAlignment="1">
      <alignment horizontal="right"/>
    </xf>
    <xf numFmtId="0" fontId="97" fillId="0" borderId="0" xfId="0" applyFont="1" applyFill="1" applyAlignment="1">
      <alignment horizontal="left"/>
    </xf>
    <xf numFmtId="5" fontId="97" fillId="0" borderId="0" xfId="0" applyNumberFormat="1" applyFont="1" applyFill="1"/>
    <xf numFmtId="0" fontId="95" fillId="0" borderId="0" xfId="0" applyFont="1" applyFill="1"/>
    <xf numFmtId="0" fontId="95" fillId="0" borderId="0" xfId="0" quotePrefix="1" applyFont="1" applyFill="1" applyAlignment="1">
      <alignment horizontal="left"/>
    </xf>
    <xf numFmtId="0" fontId="95" fillId="0" borderId="0" xfId="0" applyFont="1" applyFill="1" applyAlignment="1">
      <alignment horizontal="center"/>
    </xf>
    <xf numFmtId="0" fontId="102" fillId="0" borderId="0" xfId="0" applyFont="1" applyFill="1" applyAlignment="1">
      <alignment horizontal="center"/>
    </xf>
    <xf numFmtId="0" fontId="102" fillId="0" borderId="0" xfId="0" quotePrefix="1" applyFont="1" applyFill="1" applyBorder="1" applyAlignment="1">
      <alignment horizontal="center"/>
    </xf>
    <xf numFmtId="0" fontId="102" fillId="0" borderId="0" xfId="0" applyFont="1" applyFill="1" applyBorder="1" applyAlignment="1">
      <alignment horizontal="center"/>
    </xf>
    <xf numFmtId="167" fontId="95" fillId="0" borderId="0" xfId="0" applyNumberFormat="1" applyFont="1" applyFill="1" applyAlignment="1">
      <alignment horizontal="center"/>
    </xf>
    <xf numFmtId="0" fontId="102" fillId="0" borderId="0" xfId="0" applyFont="1" applyFill="1" applyAlignment="1">
      <alignment horizontal="left"/>
    </xf>
    <xf numFmtId="164" fontId="97" fillId="0" borderId="0" xfId="1" applyNumberFormat="1" applyFont="1" applyFill="1"/>
    <xf numFmtId="164" fontId="97" fillId="0" borderId="1" xfId="1" applyNumberFormat="1" applyFont="1" applyFill="1" applyBorder="1"/>
    <xf numFmtId="10" fontId="97" fillId="0" borderId="1" xfId="0" applyNumberFormat="1" applyFont="1" applyFill="1" applyBorder="1"/>
    <xf numFmtId="164" fontId="97" fillId="0" borderId="1" xfId="0" applyNumberFormat="1" applyFont="1" applyFill="1" applyBorder="1"/>
    <xf numFmtId="164" fontId="97" fillId="0" borderId="4" xfId="0" applyNumberFormat="1" applyFont="1" applyFill="1" applyBorder="1"/>
    <xf numFmtId="166" fontId="97" fillId="0" borderId="0" xfId="3" applyNumberFormat="1" applyFont="1" applyFill="1"/>
    <xf numFmtId="164" fontId="97" fillId="0" borderId="0" xfId="5" applyNumberFormat="1" applyFont="1" applyFill="1" applyAlignment="1">
      <alignment horizontal="left"/>
    </xf>
    <xf numFmtId="0" fontId="103" fillId="0" borderId="1" xfId="0" applyFont="1" applyFill="1" applyBorder="1" applyAlignment="1">
      <alignment horizontal="center"/>
    </xf>
    <xf numFmtId="0" fontId="0" fillId="68" borderId="0" xfId="0" applyFill="1"/>
    <xf numFmtId="3" fontId="0" fillId="66" borderId="1" xfId="0" applyNumberFormat="1" applyFill="1" applyBorder="1"/>
    <xf numFmtId="3" fontId="7" fillId="0" borderId="0" xfId="6" applyNumberFormat="1" applyFont="1"/>
    <xf numFmtId="0" fontId="0" fillId="67" borderId="0" xfId="0" applyFill="1"/>
    <xf numFmtId="3" fontId="0" fillId="67" borderId="1" xfId="0" applyNumberFormat="1" applyFill="1" applyBorder="1"/>
    <xf numFmtId="5" fontId="0" fillId="0" borderId="0" xfId="0" applyNumberFormat="1" applyFill="1" applyBorder="1"/>
    <xf numFmtId="0" fontId="4" fillId="0" borderId="0" xfId="0" quotePrefix="1" applyFont="1" applyAlignment="1">
      <alignment horizontal="center"/>
    </xf>
    <xf numFmtId="0" fontId="110" fillId="0" borderId="0" xfId="0" applyFont="1"/>
    <xf numFmtId="0" fontId="0" fillId="0" borderId="0" xfId="0" applyAlignment="1">
      <alignment horizontal="right"/>
    </xf>
    <xf numFmtId="0" fontId="0" fillId="0" borderId="1" xfId="0" applyBorder="1" applyAlignment="1">
      <alignment horizontal="right"/>
    </xf>
    <xf numFmtId="0" fontId="0" fillId="67" borderId="0" xfId="0" applyFill="1" applyAlignment="1">
      <alignment horizontal="right"/>
    </xf>
    <xf numFmtId="0" fontId="0" fillId="0" borderId="0" xfId="0" applyFill="1" applyBorder="1" applyAlignment="1">
      <alignment horizontal="right"/>
    </xf>
    <xf numFmtId="0" fontId="0" fillId="67" borderId="0" xfId="0" applyFill="1" applyBorder="1"/>
    <xf numFmtId="3" fontId="0" fillId="67" borderId="0" xfId="0" applyNumberFormat="1" applyFill="1" applyBorder="1"/>
    <xf numFmtId="164" fontId="99" fillId="0" borderId="0" xfId="0" applyNumberFormat="1" applyFont="1" applyFill="1" applyBorder="1" applyAlignment="1">
      <alignment horizontal="center"/>
    </xf>
    <xf numFmtId="0" fontId="94" fillId="0" borderId="0" xfId="0" applyFont="1" applyFill="1" applyAlignment="1">
      <alignment horizontal="center"/>
    </xf>
    <xf numFmtId="0" fontId="103" fillId="0" borderId="1" xfId="0" applyFont="1" applyFill="1" applyBorder="1" applyAlignment="1">
      <alignment horizontal="center"/>
    </xf>
    <xf numFmtId="0" fontId="94" fillId="0" borderId="0" xfId="0" applyFont="1" applyFill="1" applyBorder="1" applyAlignment="1">
      <alignment horizontal="center"/>
    </xf>
    <xf numFmtId="164" fontId="45" fillId="0" borderId="0" xfId="0" quotePrefix="1" applyNumberFormat="1" applyFont="1" applyFill="1" applyAlignment="1">
      <alignment horizontal="center"/>
    </xf>
    <xf numFmtId="0" fontId="0" fillId="0" borderId="1" xfId="0" applyBorder="1"/>
    <xf numFmtId="0" fontId="0" fillId="0" borderId="0" xfId="0" applyBorder="1"/>
    <xf numFmtId="0" fontId="0" fillId="0" borderId="34" xfId="0" applyBorder="1" applyAlignment="1">
      <alignment horizontal="center"/>
    </xf>
    <xf numFmtId="165" fontId="0" fillId="0" borderId="0" xfId="2" applyNumberFormat="1" applyFont="1"/>
    <xf numFmtId="165" fontId="0" fillId="0" borderId="1" xfId="2" applyNumberFormat="1" applyFont="1" applyBorder="1"/>
    <xf numFmtId="3" fontId="0" fillId="68" borderId="0" xfId="0" applyNumberFormat="1" applyFill="1"/>
    <xf numFmtId="9" fontId="0" fillId="0" borderId="0" xfId="3" applyFont="1"/>
    <xf numFmtId="3" fontId="110" fillId="66" borderId="1" xfId="0" applyNumberFormat="1" applyFont="1" applyFill="1" applyBorder="1"/>
    <xf numFmtId="0" fontId="91" fillId="0" borderId="0" xfId="0" applyFont="1" applyFill="1" applyAlignment="1">
      <alignment horizontal="center"/>
    </xf>
    <xf numFmtId="0" fontId="91" fillId="0" borderId="0" xfId="0" quotePrefix="1" applyFont="1" applyFill="1" applyAlignment="1">
      <alignment horizontal="center"/>
    </xf>
    <xf numFmtId="0" fontId="94" fillId="0" borderId="0" xfId="0" applyFont="1" applyFill="1" applyAlignment="1">
      <alignment horizontal="center"/>
    </xf>
    <xf numFmtId="0" fontId="94" fillId="0" borderId="0" xfId="0" applyFont="1" applyFill="1" applyBorder="1" applyAlignment="1">
      <alignment horizontal="center"/>
    </xf>
    <xf numFmtId="43" fontId="97" fillId="0" borderId="0" xfId="0" applyNumberFormat="1" applyFont="1" applyFill="1"/>
    <xf numFmtId="5" fontId="5" fillId="0" borderId="0" xfId="5" applyNumberFormat="1" applyFont="1" applyFill="1" applyBorder="1"/>
    <xf numFmtId="0" fontId="90" fillId="0" borderId="0" xfId="6" applyFont="1" applyFill="1" applyBorder="1"/>
    <xf numFmtId="0" fontId="109" fillId="0" borderId="0" xfId="0" applyFont="1" applyFill="1" applyBorder="1"/>
    <xf numFmtId="173" fontId="5" fillId="0" borderId="0" xfId="5" applyNumberFormat="1" applyFont="1" applyFill="1"/>
    <xf numFmtId="0" fontId="96" fillId="0" borderId="0" xfId="6" applyFont="1" applyFill="1" applyBorder="1"/>
    <xf numFmtId="5" fontId="90" fillId="0" borderId="4" xfId="6" applyNumberFormat="1" applyFont="1" applyFill="1" applyBorder="1"/>
    <xf numFmtId="10" fontId="90" fillId="0" borderId="4" xfId="6" applyNumberFormat="1" applyFont="1" applyFill="1" applyBorder="1"/>
    <xf numFmtId="164" fontId="90" fillId="0" borderId="4" xfId="6" applyNumberFormat="1" applyFont="1" applyFill="1" applyBorder="1"/>
    <xf numFmtId="0" fontId="95" fillId="0" borderId="0" xfId="0" quotePrefix="1" applyFont="1" applyFill="1" applyBorder="1" applyAlignment="1">
      <alignment horizontal="center" vertical="center"/>
    </xf>
    <xf numFmtId="0" fontId="94" fillId="0" borderId="0" xfId="0" applyFont="1" applyFill="1" applyBorder="1" applyAlignment="1">
      <alignment horizontal="center"/>
    </xf>
    <xf numFmtId="0" fontId="94" fillId="63" borderId="0" xfId="0" applyFont="1" applyFill="1" applyBorder="1" applyAlignment="1">
      <alignment horizontal="center"/>
    </xf>
    <xf numFmtId="0" fontId="101" fillId="63" borderId="0" xfId="0" quotePrefix="1" applyFont="1" applyFill="1" applyBorder="1" applyAlignment="1">
      <alignment horizontal="center"/>
    </xf>
    <xf numFmtId="164" fontId="99" fillId="63" borderId="1" xfId="1" applyNumberFormat="1" applyFont="1" applyFill="1" applyBorder="1"/>
    <xf numFmtId="0" fontId="99" fillId="63" borderId="0" xfId="0" applyFont="1" applyFill="1" applyBorder="1" applyAlignment="1">
      <alignment horizontal="center"/>
    </xf>
    <xf numFmtId="0" fontId="99" fillId="63" borderId="1" xfId="0" applyFont="1" applyFill="1" applyBorder="1" applyAlignment="1">
      <alignment horizontal="center"/>
    </xf>
    <xf numFmtId="164" fontId="99" fillId="63" borderId="0" xfId="0" applyNumberFormat="1" applyFont="1" applyFill="1" applyBorder="1" applyAlignment="1">
      <alignment horizontal="center"/>
    </xf>
    <xf numFmtId="164" fontId="99" fillId="63" borderId="0" xfId="1" applyNumberFormat="1" applyFont="1" applyFill="1" applyBorder="1"/>
    <xf numFmtId="10" fontId="99" fillId="63" borderId="1" xfId="0" applyNumberFormat="1" applyFont="1" applyFill="1" applyBorder="1"/>
    <xf numFmtId="164" fontId="99" fillId="63" borderId="1" xfId="0" applyNumberFormat="1" applyFont="1" applyFill="1" applyBorder="1"/>
    <xf numFmtId="0" fontId="94" fillId="63" borderId="40" xfId="0" applyFont="1" applyFill="1" applyBorder="1" applyAlignment="1">
      <alignment horizontal="center"/>
    </xf>
    <xf numFmtId="0" fontId="94" fillId="63" borderId="30" xfId="0" applyFont="1" applyFill="1" applyBorder="1" applyAlignment="1">
      <alignment horizontal="center"/>
    </xf>
    <xf numFmtId="0" fontId="101" fillId="63" borderId="40" xfId="0" quotePrefix="1" applyFont="1" applyFill="1" applyBorder="1" applyAlignment="1">
      <alignment horizontal="center"/>
    </xf>
    <xf numFmtId="0" fontId="101" fillId="63" borderId="30" xfId="0" quotePrefix="1" applyFont="1" applyFill="1" applyBorder="1" applyAlignment="1">
      <alignment horizontal="center"/>
    </xf>
    <xf numFmtId="167" fontId="94" fillId="63" borderId="40" xfId="0" applyNumberFormat="1" applyFont="1" applyFill="1" applyBorder="1" applyAlignment="1">
      <alignment horizontal="center"/>
    </xf>
    <xf numFmtId="167" fontId="94" fillId="63" borderId="0" xfId="0" applyNumberFormat="1" applyFont="1" applyFill="1" applyBorder="1" applyAlignment="1">
      <alignment horizontal="center"/>
    </xf>
    <xf numFmtId="167" fontId="94" fillId="63" borderId="30" xfId="0" applyNumberFormat="1" applyFont="1" applyFill="1" applyBorder="1" applyAlignment="1">
      <alignment horizontal="center"/>
    </xf>
    <xf numFmtId="0" fontId="99" fillId="63" borderId="40" xfId="0" applyFont="1" applyFill="1" applyBorder="1"/>
    <xf numFmtId="0" fontId="99" fillId="63" borderId="0" xfId="0" applyFont="1" applyFill="1" applyBorder="1"/>
    <xf numFmtId="0" fontId="99" fillId="63" borderId="30" xfId="0" applyFont="1" applyFill="1" applyBorder="1"/>
    <xf numFmtId="164" fontId="99" fillId="63" borderId="40" xfId="1" applyNumberFormat="1" applyFont="1" applyFill="1" applyBorder="1"/>
    <xf numFmtId="164" fontId="99" fillId="63" borderId="30" xfId="1" applyNumberFormat="1" applyFont="1" applyFill="1" applyBorder="1"/>
    <xf numFmtId="164" fontId="99" fillId="63" borderId="41" xfId="1" applyNumberFormat="1" applyFont="1" applyFill="1" applyBorder="1"/>
    <xf numFmtId="164" fontId="99" fillId="63" borderId="42" xfId="1" applyNumberFormat="1" applyFont="1" applyFill="1" applyBorder="1"/>
    <xf numFmtId="10" fontId="99" fillId="63" borderId="41" xfId="0" applyNumberFormat="1" applyFont="1" applyFill="1" applyBorder="1"/>
    <xf numFmtId="10" fontId="99" fillId="63" borderId="42" xfId="0" applyNumberFormat="1" applyFont="1" applyFill="1" applyBorder="1"/>
    <xf numFmtId="43" fontId="99" fillId="63" borderId="40" xfId="0" applyNumberFormat="1" applyFont="1" applyFill="1" applyBorder="1"/>
    <xf numFmtId="164" fontId="99" fillId="63" borderId="41" xfId="0" applyNumberFormat="1" applyFont="1" applyFill="1" applyBorder="1"/>
    <xf numFmtId="164" fontId="99" fillId="63" borderId="42" xfId="0" applyNumberFormat="1" applyFont="1" applyFill="1" applyBorder="1"/>
    <xf numFmtId="164" fontId="99" fillId="63" borderId="16" xfId="0" applyNumberFormat="1" applyFont="1" applyFill="1" applyBorder="1"/>
    <xf numFmtId="164" fontId="99" fillId="63" borderId="2" xfId="0" applyNumberFormat="1" applyFont="1" applyFill="1" applyBorder="1"/>
    <xf numFmtId="164" fontId="99" fillId="63" borderId="17" xfId="0" applyNumberFormat="1" applyFont="1" applyFill="1" applyBorder="1"/>
    <xf numFmtId="0" fontId="94" fillId="0" borderId="40" xfId="0" applyFont="1" applyFill="1" applyBorder="1" applyAlignment="1">
      <alignment horizontal="center"/>
    </xf>
    <xf numFmtId="0" fontId="94" fillId="0" borderId="30" xfId="0" applyFont="1" applyFill="1" applyBorder="1" applyAlignment="1">
      <alignment horizontal="center"/>
    </xf>
    <xf numFmtId="0" fontId="101" fillId="0" borderId="40" xfId="0" quotePrefix="1" applyFont="1" applyFill="1" applyBorder="1" applyAlignment="1">
      <alignment horizontal="center"/>
    </xf>
    <xf numFmtId="0" fontId="101" fillId="0" borderId="30" xfId="0" quotePrefix="1" applyFont="1" applyFill="1" applyBorder="1" applyAlignment="1">
      <alignment horizontal="center"/>
    </xf>
    <xf numFmtId="167" fontId="94" fillId="0" borderId="40" xfId="0" applyNumberFormat="1" applyFont="1" applyFill="1" applyBorder="1" applyAlignment="1">
      <alignment horizontal="center"/>
    </xf>
    <xf numFmtId="167" fontId="94" fillId="0" borderId="0" xfId="0" applyNumberFormat="1" applyFont="1" applyFill="1" applyBorder="1" applyAlignment="1">
      <alignment horizontal="center"/>
    </xf>
    <xf numFmtId="167" fontId="94" fillId="0" borderId="30" xfId="0" applyNumberFormat="1" applyFont="1" applyFill="1" applyBorder="1" applyAlignment="1">
      <alignment horizontal="center"/>
    </xf>
    <xf numFmtId="0" fontId="99" fillId="0" borderId="40" xfId="0" applyFont="1" applyFill="1" applyBorder="1"/>
    <xf numFmtId="0" fontId="99" fillId="0" borderId="30" xfId="0" applyFont="1" applyFill="1" applyBorder="1"/>
    <xf numFmtId="164" fontId="99" fillId="0" borderId="40" xfId="1" applyNumberFormat="1" applyFont="1" applyFill="1" applyBorder="1"/>
    <xf numFmtId="164" fontId="99" fillId="0" borderId="30" xfId="1" applyNumberFormat="1" applyFont="1" applyFill="1" applyBorder="1"/>
    <xf numFmtId="164" fontId="99" fillId="0" borderId="41" xfId="1" applyNumberFormat="1" applyFont="1" applyFill="1" applyBorder="1"/>
    <xf numFmtId="164" fontId="99" fillId="0" borderId="42" xfId="1" applyNumberFormat="1" applyFont="1" applyFill="1" applyBorder="1"/>
    <xf numFmtId="10" fontId="99" fillId="0" borderId="41" xfId="0" applyNumberFormat="1" applyFont="1" applyFill="1" applyBorder="1"/>
    <xf numFmtId="10" fontId="99" fillId="0" borderId="42" xfId="0" applyNumberFormat="1" applyFont="1" applyFill="1" applyBorder="1"/>
    <xf numFmtId="164" fontId="99" fillId="0" borderId="41" xfId="0" applyNumberFormat="1" applyFont="1" applyFill="1" applyBorder="1"/>
    <xf numFmtId="164" fontId="99" fillId="0" borderId="16" xfId="0" applyNumberFormat="1" applyFont="1" applyFill="1" applyBorder="1"/>
    <xf numFmtId="164" fontId="99" fillId="0" borderId="2" xfId="0" applyNumberFormat="1" applyFont="1" applyFill="1" applyBorder="1"/>
    <xf numFmtId="164" fontId="99" fillId="0" borderId="17" xfId="0" applyNumberFormat="1" applyFont="1" applyFill="1" applyBorder="1"/>
    <xf numFmtId="164" fontId="99" fillId="0" borderId="42" xfId="0" applyNumberFormat="1" applyFont="1" applyFill="1" applyBorder="1"/>
    <xf numFmtId="0" fontId="112" fillId="0" borderId="0" xfId="0" applyFont="1" applyFill="1" applyAlignment="1">
      <alignment horizontal="left"/>
    </xf>
    <xf numFmtId="0" fontId="112" fillId="0" borderId="0" xfId="0" applyFont="1" applyFill="1"/>
    <xf numFmtId="164" fontId="112" fillId="0" borderId="0" xfId="0" applyNumberFormat="1" applyFont="1" applyFill="1"/>
    <xf numFmtId="0" fontId="94" fillId="0" borderId="38" xfId="0" applyFont="1" applyFill="1" applyBorder="1" applyAlignment="1">
      <alignment horizontal="center"/>
    </xf>
    <xf numFmtId="0" fontId="99" fillId="0" borderId="6" xfId="0" applyFont="1" applyFill="1" applyBorder="1" applyAlignment="1">
      <alignment horizontal="center"/>
    </xf>
    <xf numFmtId="0" fontId="94" fillId="0" borderId="6" xfId="0" applyFont="1" applyFill="1" applyBorder="1" applyAlignment="1">
      <alignment horizontal="center"/>
    </xf>
    <xf numFmtId="0" fontId="94" fillId="0" borderId="39" xfId="0" applyFont="1" applyFill="1" applyBorder="1" applyAlignment="1">
      <alignment horizontal="center"/>
    </xf>
    <xf numFmtId="0" fontId="94" fillId="69" borderId="38" xfId="0" applyFont="1" applyFill="1" applyBorder="1" applyAlignment="1">
      <alignment horizontal="center"/>
    </xf>
    <xf numFmtId="0" fontId="99" fillId="69" borderId="6" xfId="0" applyFont="1" applyFill="1" applyBorder="1" applyAlignment="1">
      <alignment horizontal="center"/>
    </xf>
    <xf numFmtId="0" fontId="94" fillId="69" borderId="6" xfId="0" applyFont="1" applyFill="1" applyBorder="1" applyAlignment="1">
      <alignment horizontal="center"/>
    </xf>
    <xf numFmtId="0" fontId="94" fillId="69" borderId="39" xfId="0" applyFont="1" applyFill="1" applyBorder="1" applyAlignment="1">
      <alignment horizontal="center"/>
    </xf>
    <xf numFmtId="0" fontId="101" fillId="69" borderId="40" xfId="0" quotePrefix="1" applyFont="1" applyFill="1" applyBorder="1" applyAlignment="1">
      <alignment horizontal="center"/>
    </xf>
    <xf numFmtId="0" fontId="99" fillId="69" borderId="0" xfId="0" applyFont="1" applyFill="1" applyBorder="1" applyAlignment="1">
      <alignment horizontal="center"/>
    </xf>
    <xf numFmtId="0" fontId="101" fillId="69" borderId="0" xfId="0" quotePrefix="1" applyFont="1" applyFill="1" applyBorder="1" applyAlignment="1">
      <alignment horizontal="center"/>
    </xf>
    <xf numFmtId="0" fontId="94" fillId="69" borderId="0" xfId="0" applyFont="1" applyFill="1" applyBorder="1" applyAlignment="1">
      <alignment horizontal="center"/>
    </xf>
    <xf numFmtId="0" fontId="101" fillId="69" borderId="30" xfId="0" quotePrefix="1" applyFont="1" applyFill="1" applyBorder="1" applyAlignment="1">
      <alignment horizontal="center"/>
    </xf>
    <xf numFmtId="167" fontId="94" fillId="69" borderId="40" xfId="0" applyNumberFormat="1" applyFont="1" applyFill="1" applyBorder="1" applyAlignment="1">
      <alignment horizontal="center"/>
    </xf>
    <xf numFmtId="167" fontId="94" fillId="69" borderId="0" xfId="0" applyNumberFormat="1" applyFont="1" applyFill="1" applyBorder="1" applyAlignment="1">
      <alignment horizontal="center"/>
    </xf>
    <xf numFmtId="167" fontId="94" fillId="69" borderId="30" xfId="0" applyNumberFormat="1" applyFont="1" applyFill="1" applyBorder="1" applyAlignment="1">
      <alignment horizontal="center"/>
    </xf>
    <xf numFmtId="0" fontId="99" fillId="69" borderId="40" xfId="0" applyFont="1" applyFill="1" applyBorder="1"/>
    <xf numFmtId="0" fontId="99" fillId="69" borderId="0" xfId="0" applyFont="1" applyFill="1" applyBorder="1"/>
    <xf numFmtId="0" fontId="99" fillId="69" borderId="30" xfId="0" applyFont="1" applyFill="1" applyBorder="1"/>
    <xf numFmtId="164" fontId="99" fillId="69" borderId="40" xfId="1" applyNumberFormat="1" applyFont="1" applyFill="1" applyBorder="1"/>
    <xf numFmtId="164" fontId="99" fillId="69" borderId="0" xfId="1" applyNumberFormat="1" applyFont="1" applyFill="1" applyBorder="1"/>
    <xf numFmtId="164" fontId="99" fillId="69" borderId="30" xfId="1" applyNumberFormat="1" applyFont="1" applyFill="1" applyBorder="1"/>
    <xf numFmtId="164" fontId="99" fillId="69" borderId="41" xfId="1" applyNumberFormat="1" applyFont="1" applyFill="1" applyBorder="1"/>
    <xf numFmtId="164" fontId="99" fillId="69" borderId="1" xfId="1" applyNumberFormat="1" applyFont="1" applyFill="1" applyBorder="1"/>
    <xf numFmtId="0" fontId="99" fillId="69" borderId="1" xfId="0" applyFont="1" applyFill="1" applyBorder="1" applyAlignment="1">
      <alignment horizontal="center"/>
    </xf>
    <xf numFmtId="164" fontId="99" fillId="69" borderId="0" xfId="0" applyNumberFormat="1" applyFont="1" applyFill="1" applyBorder="1" applyAlignment="1">
      <alignment horizontal="center"/>
    </xf>
    <xf numFmtId="164" fontId="99" fillId="69" borderId="42" xfId="1" applyNumberFormat="1" applyFont="1" applyFill="1" applyBorder="1"/>
    <xf numFmtId="10" fontId="99" fillId="69" borderId="41" xfId="0" applyNumberFormat="1" applyFont="1" applyFill="1" applyBorder="1"/>
    <xf numFmtId="10" fontId="99" fillId="69" borderId="1" xfId="0" applyNumberFormat="1" applyFont="1" applyFill="1" applyBorder="1"/>
    <xf numFmtId="10" fontId="99" fillId="69" borderId="42" xfId="0" applyNumberFormat="1" applyFont="1" applyFill="1" applyBorder="1"/>
    <xf numFmtId="43" fontId="99" fillId="69" borderId="40" xfId="0" applyNumberFormat="1" applyFont="1" applyFill="1" applyBorder="1"/>
    <xf numFmtId="164" fontId="99" fillId="69" borderId="41" xfId="0" applyNumberFormat="1" applyFont="1" applyFill="1" applyBorder="1"/>
    <xf numFmtId="164" fontId="99" fillId="69" borderId="1" xfId="0" applyNumberFormat="1" applyFont="1" applyFill="1" applyBorder="1"/>
    <xf numFmtId="164" fontId="99" fillId="69" borderId="42" xfId="0" applyNumberFormat="1" applyFont="1" applyFill="1" applyBorder="1"/>
    <xf numFmtId="164" fontId="99" fillId="69" borderId="16" xfId="0" applyNumberFormat="1" applyFont="1" applyFill="1" applyBorder="1"/>
    <xf numFmtId="164" fontId="99" fillId="69" borderId="2" xfId="0" applyNumberFormat="1" applyFont="1" applyFill="1" applyBorder="1"/>
    <xf numFmtId="164" fontId="99" fillId="69" borderId="17" xfId="0" applyNumberFormat="1" applyFont="1" applyFill="1" applyBorder="1"/>
    <xf numFmtId="164" fontId="90" fillId="0" borderId="0" xfId="1" applyNumberFormat="1" applyFont="1" applyFill="1"/>
    <xf numFmtId="164" fontId="90" fillId="0" borderId="1" xfId="1" applyNumberFormat="1" applyFont="1" applyFill="1" applyBorder="1"/>
    <xf numFmtId="0" fontId="45" fillId="0" borderId="0" xfId="0" applyFont="1" applyFill="1" applyBorder="1" applyAlignment="1">
      <alignment horizontal="right"/>
    </xf>
    <xf numFmtId="0" fontId="111" fillId="0" borderId="0" xfId="0" applyFont="1" applyFill="1" applyBorder="1"/>
    <xf numFmtId="43" fontId="103" fillId="0" borderId="0" xfId="0" applyNumberFormat="1" applyFont="1" applyFill="1" applyAlignment="1">
      <alignment horizontal="center"/>
    </xf>
    <xf numFmtId="164" fontId="45" fillId="0" borderId="0" xfId="1" applyNumberFormat="1" applyFont="1" applyFill="1"/>
    <xf numFmtId="0" fontId="99" fillId="0" borderId="0" xfId="0" quotePrefix="1" applyFont="1" applyFill="1" applyBorder="1" applyAlignment="1">
      <alignment horizontal="center"/>
    </xf>
    <xf numFmtId="0" fontId="99" fillId="0" borderId="0" xfId="0" applyFont="1" applyFill="1" applyBorder="1" applyAlignment="1">
      <alignment horizontal="left"/>
    </xf>
    <xf numFmtId="0" fontId="97" fillId="0" borderId="0" xfId="0" applyFont="1" applyFill="1" applyBorder="1" applyAlignment="1">
      <alignment horizontal="center"/>
    </xf>
    <xf numFmtId="0" fontId="102" fillId="0" borderId="0" xfId="0" quotePrefix="1" applyFont="1" applyFill="1" applyBorder="1" applyAlignment="1">
      <alignment horizontal="left"/>
    </xf>
    <xf numFmtId="0" fontId="97" fillId="0" borderId="0" xfId="0" quotePrefix="1" applyFont="1" applyFill="1" applyBorder="1" applyAlignment="1">
      <alignment horizontal="left"/>
    </xf>
    <xf numFmtId="44" fontId="97" fillId="0" borderId="0" xfId="2" applyFont="1" applyFill="1" applyBorder="1"/>
    <xf numFmtId="164" fontId="97" fillId="0" borderId="0" xfId="0" applyNumberFormat="1" applyFont="1" applyFill="1" applyBorder="1"/>
    <xf numFmtId="0" fontId="97" fillId="0" borderId="0" xfId="0" applyFont="1" applyFill="1" applyBorder="1" applyAlignment="1">
      <alignment horizontal="right"/>
    </xf>
    <xf numFmtId="0" fontId="97" fillId="0" borderId="0" xfId="0" applyFont="1" applyFill="1" applyBorder="1" applyAlignment="1">
      <alignment horizontal="left"/>
    </xf>
    <xf numFmtId="5" fontId="97" fillId="0" borderId="0" xfId="0" applyNumberFormat="1" applyFont="1" applyFill="1" applyBorder="1"/>
    <xf numFmtId="0" fontId="95" fillId="0" borderId="0" xfId="0" quotePrefix="1" applyFont="1" applyFill="1" applyBorder="1" applyAlignment="1">
      <alignment horizontal="left"/>
    </xf>
    <xf numFmtId="167" fontId="95" fillId="0" borderId="0" xfId="0" applyNumberFormat="1" applyFont="1" applyFill="1" applyBorder="1" applyAlignment="1">
      <alignment horizontal="center"/>
    </xf>
    <xf numFmtId="0" fontId="102" fillId="0" borderId="0" xfId="0" applyFont="1" applyFill="1" applyBorder="1" applyAlignment="1">
      <alignment horizontal="left"/>
    </xf>
    <xf numFmtId="164" fontId="97" fillId="0" borderId="0" xfId="1" applyNumberFormat="1" applyFont="1" applyFill="1" applyBorder="1"/>
    <xf numFmtId="10" fontId="97" fillId="0" borderId="0" xfId="0" applyNumberFormat="1" applyFont="1" applyFill="1" applyBorder="1"/>
    <xf numFmtId="166" fontId="97" fillId="0" borderId="0" xfId="3" applyNumberFormat="1" applyFont="1" applyFill="1" applyBorder="1"/>
    <xf numFmtId="164" fontId="97" fillId="0" borderId="0" xfId="5" applyNumberFormat="1" applyFont="1" applyFill="1" applyBorder="1" applyAlignment="1">
      <alignment horizontal="left"/>
    </xf>
    <xf numFmtId="0" fontId="94" fillId="0" borderId="0" xfId="0" quotePrefix="1" applyFont="1" applyFill="1" applyAlignment="1"/>
    <xf numFmtId="164" fontId="105" fillId="0" borderId="0" xfId="1501" quotePrefix="1" applyNumberFormat="1" applyFont="1" applyAlignment="1">
      <alignment horizontal="center" wrapText="1"/>
    </xf>
    <xf numFmtId="174" fontId="96" fillId="0" borderId="0" xfId="6" applyNumberFormat="1" applyFont="1" applyFill="1"/>
    <xf numFmtId="174" fontId="94" fillId="0" borderId="0" xfId="0" applyNumberFormat="1" applyFont="1" applyFill="1" applyAlignment="1">
      <alignment horizontal="center"/>
    </xf>
    <xf numFmtId="174" fontId="90" fillId="0" borderId="0" xfId="6" applyNumberFormat="1" applyFont="1" applyFill="1"/>
    <xf numFmtId="174" fontId="0" fillId="0" borderId="0" xfId="0" applyNumberFormat="1" applyFill="1"/>
    <xf numFmtId="174" fontId="105" fillId="0" borderId="0" xfId="5" quotePrefix="1" applyNumberFormat="1" applyFont="1" applyFill="1" applyAlignment="1">
      <alignment horizontal="center" wrapText="1"/>
    </xf>
    <xf numFmtId="174" fontId="90" fillId="0" borderId="0" xfId="6" applyNumberFormat="1" applyFont="1" applyFill="1" applyAlignment="1">
      <alignment horizontal="center"/>
    </xf>
    <xf numFmtId="174" fontId="5" fillId="0" borderId="0" xfId="5" applyNumberFormat="1" applyFont="1" applyFill="1"/>
    <xf numFmtId="174" fontId="90" fillId="0" borderId="0" xfId="2025" applyNumberFormat="1" applyFont="1" applyFill="1"/>
    <xf numFmtId="0" fontId="91" fillId="0" borderId="0" xfId="0" applyFont="1" applyFill="1" applyAlignment="1">
      <alignment horizontal="center"/>
    </xf>
    <xf numFmtId="0" fontId="91" fillId="0" borderId="0" xfId="0" quotePrefix="1" applyFont="1" applyFill="1" applyAlignment="1">
      <alignment horizontal="center"/>
    </xf>
    <xf numFmtId="0" fontId="94" fillId="0" borderId="0" xfId="0" applyFont="1" applyAlignment="1">
      <alignment horizontal="center"/>
    </xf>
    <xf numFmtId="0" fontId="94" fillId="0" borderId="0" xfId="0" quotePrefix="1" applyFont="1" applyAlignment="1">
      <alignment horizontal="center"/>
    </xf>
    <xf numFmtId="0" fontId="94" fillId="0" borderId="0" xfId="0" quotePrefix="1" applyFont="1" applyFill="1" applyBorder="1" applyAlignment="1">
      <alignment horizontal="center" vertical="center"/>
    </xf>
    <xf numFmtId="0" fontId="95" fillId="0" borderId="0" xfId="0" quotePrefix="1" applyFont="1" applyFill="1" applyBorder="1" applyAlignment="1">
      <alignment horizontal="center" vertical="center"/>
    </xf>
    <xf numFmtId="0" fontId="94" fillId="0" borderId="0" xfId="0" applyFont="1" applyFill="1" applyAlignment="1">
      <alignment horizontal="center"/>
    </xf>
    <xf numFmtId="0" fontId="94" fillId="63" borderId="16" xfId="0" applyFont="1" applyFill="1" applyBorder="1" applyAlignment="1">
      <alignment horizontal="center"/>
    </xf>
    <xf numFmtId="0" fontId="94" fillId="63" borderId="2" xfId="0" applyFont="1" applyFill="1" applyBorder="1" applyAlignment="1">
      <alignment horizontal="center"/>
    </xf>
    <xf numFmtId="0" fontId="94" fillId="63" borderId="17" xfId="0" applyFont="1" applyFill="1" applyBorder="1" applyAlignment="1">
      <alignment horizontal="center"/>
    </xf>
    <xf numFmtId="0" fontId="94" fillId="0" borderId="16" xfId="0" applyFont="1" applyFill="1" applyBorder="1" applyAlignment="1">
      <alignment horizontal="center"/>
    </xf>
    <xf numFmtId="0" fontId="94" fillId="0" borderId="2" xfId="0" applyFont="1" applyFill="1" applyBorder="1" applyAlignment="1">
      <alignment horizontal="center"/>
    </xf>
    <xf numFmtId="0" fontId="94" fillId="0" borderId="17" xfId="0" applyFont="1" applyFill="1" applyBorder="1" applyAlignment="1">
      <alignment horizontal="center"/>
    </xf>
    <xf numFmtId="0" fontId="99" fillId="69" borderId="16" xfId="0" applyFont="1" applyFill="1" applyBorder="1" applyAlignment="1">
      <alignment horizontal="center"/>
    </xf>
    <xf numFmtId="0" fontId="99" fillId="69" borderId="2" xfId="0" applyFont="1" applyFill="1" applyBorder="1" applyAlignment="1">
      <alignment horizontal="center"/>
    </xf>
    <xf numFmtId="0" fontId="99" fillId="69" borderId="17" xfId="0" applyFont="1" applyFill="1" applyBorder="1" applyAlignment="1">
      <alignment horizontal="center"/>
    </xf>
    <xf numFmtId="0" fontId="94" fillId="0" borderId="0" xfId="0" quotePrefix="1" applyFont="1" applyFill="1" applyAlignment="1">
      <alignment horizontal="center"/>
    </xf>
    <xf numFmtId="0" fontId="0" fillId="0" borderId="16"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91" fillId="0" borderId="0" xfId="0" applyFont="1" applyAlignment="1">
      <alignment horizontal="center"/>
    </xf>
    <xf numFmtId="0" fontId="91" fillId="0" borderId="0" xfId="0" quotePrefix="1" applyFont="1" applyAlignment="1">
      <alignment horizontal="center"/>
    </xf>
    <xf numFmtId="0" fontId="4" fillId="0" borderId="0" xfId="0" quotePrefix="1" applyFont="1" applyAlignment="1">
      <alignment horizontal="center"/>
    </xf>
    <xf numFmtId="0" fontId="103" fillId="0" borderId="1" xfId="0" applyFont="1" applyFill="1" applyBorder="1" applyAlignment="1">
      <alignment horizontal="center"/>
    </xf>
    <xf numFmtId="0" fontId="7" fillId="0" borderId="16" xfId="0" quotePrefix="1" applyFont="1" applyBorder="1" applyAlignment="1">
      <alignment horizontal="center" vertical="center"/>
    </xf>
    <xf numFmtId="0" fontId="7" fillId="0" borderId="2" xfId="0" quotePrefix="1" applyFont="1" applyBorder="1" applyAlignment="1">
      <alignment horizontal="center" vertical="center"/>
    </xf>
    <xf numFmtId="165" fontId="21" fillId="60" borderId="43" xfId="2" applyNumberFormat="1" applyFont="1" applyFill="1" applyBorder="1" applyAlignment="1">
      <alignment horizontal="center"/>
    </xf>
    <xf numFmtId="165" fontId="21" fillId="60" borderId="44" xfId="2" applyNumberFormat="1" applyFont="1" applyFill="1" applyBorder="1" applyAlignment="1">
      <alignment horizontal="center"/>
    </xf>
    <xf numFmtId="0" fontId="103" fillId="0" borderId="1" xfId="0" applyFont="1" applyBorder="1" applyAlignment="1">
      <alignment horizontal="center"/>
    </xf>
  </cellXfs>
  <cellStyles count="2387">
    <cellStyle name="20% - Accent1 10" xfId="12"/>
    <cellStyle name="20% - Accent1 11" xfId="13"/>
    <cellStyle name="20% - Accent1 12" xfId="14"/>
    <cellStyle name="20% - Accent1 13" xfId="15"/>
    <cellStyle name="20% - Accent1 14" xfId="16"/>
    <cellStyle name="20% - Accent1 15" xfId="17"/>
    <cellStyle name="20% - Accent1 15 2" xfId="18"/>
    <cellStyle name="20% - Accent1 15 3" xfId="19"/>
    <cellStyle name="20% - Accent1 15 4" xfId="20"/>
    <cellStyle name="20% - Accent1 15 5" xfId="21"/>
    <cellStyle name="20% - Accent1 16" xfId="22"/>
    <cellStyle name="20% - Accent1 16 2" xfId="23"/>
    <cellStyle name="20% - Accent1 16 3" xfId="24"/>
    <cellStyle name="20% - Accent1 16 4" xfId="25"/>
    <cellStyle name="20% - Accent1 16 5" xfId="26"/>
    <cellStyle name="20% - Accent1 17" xfId="27"/>
    <cellStyle name="20% - Accent1 17 2" xfId="28"/>
    <cellStyle name="20% - Accent1 17 3" xfId="29"/>
    <cellStyle name="20% - Accent1 17 4" xfId="30"/>
    <cellStyle name="20% - Accent1 17 5" xfId="31"/>
    <cellStyle name="20% - Accent1 18" xfId="32"/>
    <cellStyle name="20% - Accent1 19" xfId="33"/>
    <cellStyle name="20% - Accent1 2" xfId="34"/>
    <cellStyle name="20% - Accent1 2 10" xfId="35"/>
    <cellStyle name="20% - Accent1 2 2" xfId="36"/>
    <cellStyle name="20% - Accent1 2 2 2" xfId="37"/>
    <cellStyle name="20% - Accent1 2 2 2 2" xfId="38"/>
    <cellStyle name="20% - Accent1 2 2 2 2 2" xfId="39"/>
    <cellStyle name="20% - Accent1 2 2 2 2 3" xfId="40"/>
    <cellStyle name="20% - Accent1 2 2 2 3" xfId="41"/>
    <cellStyle name="20% - Accent1 2 2 2 4" xfId="42"/>
    <cellStyle name="20% - Accent1 2 2 2 5" xfId="43"/>
    <cellStyle name="20% - Accent1 2 2 2 6" xfId="44"/>
    <cellStyle name="20% - Accent1 2 2 3" xfId="45"/>
    <cellStyle name="20% - Accent1 2 2 4" xfId="46"/>
    <cellStyle name="20% - Accent1 2 2 5" xfId="47"/>
    <cellStyle name="20% - Accent1 2 2 6" xfId="48"/>
    <cellStyle name="20% - Accent1 2 3" xfId="49"/>
    <cellStyle name="20% - Accent1 2 4" xfId="50"/>
    <cellStyle name="20% - Accent1 2 5" xfId="51"/>
    <cellStyle name="20% - Accent1 2 6" xfId="52"/>
    <cellStyle name="20% - Accent1 2 7" xfId="53"/>
    <cellStyle name="20% - Accent1 2 8" xfId="54"/>
    <cellStyle name="20% - Accent1 2 9" xfId="55"/>
    <cellStyle name="20% - Accent1 20" xfId="56"/>
    <cellStyle name="20% - Accent1 21" xfId="57"/>
    <cellStyle name="20% - Accent1 22" xfId="58"/>
    <cellStyle name="20% - Accent1 23" xfId="59"/>
    <cellStyle name="20% - Accent1 24" xfId="60"/>
    <cellStyle name="20% - Accent1 25" xfId="61"/>
    <cellStyle name="20% - Accent1 26" xfId="62"/>
    <cellStyle name="20% - Accent1 27" xfId="63"/>
    <cellStyle name="20% - Accent1 28" xfId="64"/>
    <cellStyle name="20% - Accent1 29" xfId="65"/>
    <cellStyle name="20% - Accent1 3" xfId="66"/>
    <cellStyle name="20% - Accent1 30" xfId="67"/>
    <cellStyle name="20% - Accent1 31" xfId="68"/>
    <cellStyle name="20% - Accent1 32" xfId="69"/>
    <cellStyle name="20% - Accent1 33" xfId="70"/>
    <cellStyle name="20% - Accent1 34" xfId="71"/>
    <cellStyle name="20% - Accent1 35" xfId="72"/>
    <cellStyle name="20% - Accent1 36" xfId="73"/>
    <cellStyle name="20% - Accent1 4" xfId="74"/>
    <cellStyle name="20% - Accent1 5" xfId="75"/>
    <cellStyle name="20% - Accent1 6" xfId="76"/>
    <cellStyle name="20% - Accent1 7" xfId="77"/>
    <cellStyle name="20% - Accent1 8" xfId="78"/>
    <cellStyle name="20% - Accent1 9" xfId="79"/>
    <cellStyle name="20% - Accent2 10" xfId="80"/>
    <cellStyle name="20% - Accent2 11" xfId="81"/>
    <cellStyle name="20% - Accent2 12" xfId="82"/>
    <cellStyle name="20% - Accent2 13" xfId="83"/>
    <cellStyle name="20% - Accent2 14" xfId="84"/>
    <cellStyle name="20% - Accent2 15" xfId="85"/>
    <cellStyle name="20% - Accent2 15 2" xfId="86"/>
    <cellStyle name="20% - Accent2 15 3" xfId="87"/>
    <cellStyle name="20% - Accent2 15 4" xfId="88"/>
    <cellStyle name="20% - Accent2 15 5" xfId="89"/>
    <cellStyle name="20% - Accent2 16" xfId="90"/>
    <cellStyle name="20% - Accent2 16 2" xfId="91"/>
    <cellStyle name="20% - Accent2 16 3" xfId="92"/>
    <cellStyle name="20% - Accent2 16 4" xfId="93"/>
    <cellStyle name="20% - Accent2 16 5" xfId="94"/>
    <cellStyle name="20% - Accent2 17" xfId="95"/>
    <cellStyle name="20% - Accent2 17 2" xfId="96"/>
    <cellStyle name="20% - Accent2 17 3" xfId="97"/>
    <cellStyle name="20% - Accent2 17 4" xfId="98"/>
    <cellStyle name="20% - Accent2 17 5" xfId="99"/>
    <cellStyle name="20% - Accent2 18" xfId="100"/>
    <cellStyle name="20% - Accent2 19" xfId="101"/>
    <cellStyle name="20% - Accent2 2" xfId="102"/>
    <cellStyle name="20% - Accent2 2 10" xfId="103"/>
    <cellStyle name="20% - Accent2 2 2" xfId="104"/>
    <cellStyle name="20% - Accent2 2 2 2" xfId="105"/>
    <cellStyle name="20% - Accent2 2 2 2 2" xfId="106"/>
    <cellStyle name="20% - Accent2 2 2 2 2 2" xfId="107"/>
    <cellStyle name="20% - Accent2 2 2 2 2 3" xfId="108"/>
    <cellStyle name="20% - Accent2 2 2 2 3" xfId="109"/>
    <cellStyle name="20% - Accent2 2 2 2 4" xfId="110"/>
    <cellStyle name="20% - Accent2 2 2 2 5" xfId="111"/>
    <cellStyle name="20% - Accent2 2 2 2 6" xfId="112"/>
    <cellStyle name="20% - Accent2 2 2 3" xfId="113"/>
    <cellStyle name="20% - Accent2 2 2 4" xfId="114"/>
    <cellStyle name="20% - Accent2 2 2 5" xfId="115"/>
    <cellStyle name="20% - Accent2 2 2 6" xfId="116"/>
    <cellStyle name="20% - Accent2 2 3" xfId="117"/>
    <cellStyle name="20% - Accent2 2 4" xfId="118"/>
    <cellStyle name="20% - Accent2 2 5" xfId="119"/>
    <cellStyle name="20% - Accent2 2 6" xfId="120"/>
    <cellStyle name="20% - Accent2 2 7" xfId="121"/>
    <cellStyle name="20% - Accent2 2 8" xfId="122"/>
    <cellStyle name="20% - Accent2 2 9" xfId="123"/>
    <cellStyle name="20% - Accent2 20" xfId="124"/>
    <cellStyle name="20% - Accent2 21" xfId="125"/>
    <cellStyle name="20% - Accent2 22" xfId="126"/>
    <cellStyle name="20% - Accent2 23" xfId="127"/>
    <cellStyle name="20% - Accent2 24" xfId="128"/>
    <cellStyle name="20% - Accent2 25" xfId="129"/>
    <cellStyle name="20% - Accent2 26" xfId="130"/>
    <cellStyle name="20% - Accent2 27" xfId="131"/>
    <cellStyle name="20% - Accent2 28" xfId="132"/>
    <cellStyle name="20% - Accent2 29" xfId="133"/>
    <cellStyle name="20% - Accent2 3" xfId="134"/>
    <cellStyle name="20% - Accent2 30" xfId="135"/>
    <cellStyle name="20% - Accent2 31" xfId="136"/>
    <cellStyle name="20% - Accent2 32" xfId="137"/>
    <cellStyle name="20% - Accent2 33" xfId="138"/>
    <cellStyle name="20% - Accent2 34" xfId="139"/>
    <cellStyle name="20% - Accent2 35" xfId="140"/>
    <cellStyle name="20% - Accent2 36" xfId="141"/>
    <cellStyle name="20% - Accent2 4" xfId="142"/>
    <cellStyle name="20% - Accent2 5" xfId="143"/>
    <cellStyle name="20% - Accent2 6" xfId="144"/>
    <cellStyle name="20% - Accent2 7" xfId="145"/>
    <cellStyle name="20% - Accent2 8" xfId="146"/>
    <cellStyle name="20% - Accent2 9" xfId="147"/>
    <cellStyle name="20% - Accent3 10" xfId="148"/>
    <cellStyle name="20% - Accent3 11" xfId="149"/>
    <cellStyle name="20% - Accent3 12" xfId="150"/>
    <cellStyle name="20% - Accent3 13" xfId="151"/>
    <cellStyle name="20% - Accent3 14" xfId="152"/>
    <cellStyle name="20% - Accent3 15" xfId="153"/>
    <cellStyle name="20% - Accent3 15 2" xfId="154"/>
    <cellStyle name="20% - Accent3 15 3" xfId="155"/>
    <cellStyle name="20% - Accent3 15 4" xfId="156"/>
    <cellStyle name="20% - Accent3 15 5" xfId="157"/>
    <cellStyle name="20% - Accent3 16" xfId="158"/>
    <cellStyle name="20% - Accent3 16 2" xfId="159"/>
    <cellStyle name="20% - Accent3 16 3" xfId="160"/>
    <cellStyle name="20% - Accent3 16 4" xfId="161"/>
    <cellStyle name="20% - Accent3 16 5" xfId="162"/>
    <cellStyle name="20% - Accent3 17" xfId="163"/>
    <cellStyle name="20% - Accent3 17 2" xfId="164"/>
    <cellStyle name="20% - Accent3 17 3" xfId="165"/>
    <cellStyle name="20% - Accent3 17 4" xfId="166"/>
    <cellStyle name="20% - Accent3 17 5" xfId="167"/>
    <cellStyle name="20% - Accent3 18" xfId="168"/>
    <cellStyle name="20% - Accent3 19" xfId="169"/>
    <cellStyle name="20% - Accent3 2" xfId="170"/>
    <cellStyle name="20% - Accent3 2 10" xfId="171"/>
    <cellStyle name="20% - Accent3 2 2" xfId="172"/>
    <cellStyle name="20% - Accent3 2 2 2" xfId="173"/>
    <cellStyle name="20% - Accent3 2 2 2 2" xfId="174"/>
    <cellStyle name="20% - Accent3 2 2 2 2 2" xfId="175"/>
    <cellStyle name="20% - Accent3 2 2 2 2 3" xfId="176"/>
    <cellStyle name="20% - Accent3 2 2 2 3" xfId="177"/>
    <cellStyle name="20% - Accent3 2 2 2 4" xfId="178"/>
    <cellStyle name="20% - Accent3 2 2 2 5" xfId="179"/>
    <cellStyle name="20% - Accent3 2 2 2 6" xfId="180"/>
    <cellStyle name="20% - Accent3 2 2 3" xfId="181"/>
    <cellStyle name="20% - Accent3 2 2 4" xfId="182"/>
    <cellStyle name="20% - Accent3 2 2 5" xfId="183"/>
    <cellStyle name="20% - Accent3 2 2 6" xfId="184"/>
    <cellStyle name="20% - Accent3 2 3" xfId="185"/>
    <cellStyle name="20% - Accent3 2 4" xfId="186"/>
    <cellStyle name="20% - Accent3 2 5" xfId="187"/>
    <cellStyle name="20% - Accent3 2 6" xfId="188"/>
    <cellStyle name="20% - Accent3 2 7" xfId="189"/>
    <cellStyle name="20% - Accent3 2 8" xfId="190"/>
    <cellStyle name="20% - Accent3 2 9" xfId="191"/>
    <cellStyle name="20% - Accent3 20" xfId="192"/>
    <cellStyle name="20% - Accent3 21" xfId="193"/>
    <cellStyle name="20% - Accent3 22" xfId="194"/>
    <cellStyle name="20% - Accent3 23" xfId="195"/>
    <cellStyle name="20% - Accent3 24" xfId="196"/>
    <cellStyle name="20% - Accent3 25" xfId="197"/>
    <cellStyle name="20% - Accent3 26" xfId="198"/>
    <cellStyle name="20% - Accent3 27" xfId="199"/>
    <cellStyle name="20% - Accent3 28" xfId="200"/>
    <cellStyle name="20% - Accent3 29" xfId="201"/>
    <cellStyle name="20% - Accent3 3" xfId="202"/>
    <cellStyle name="20% - Accent3 30" xfId="203"/>
    <cellStyle name="20% - Accent3 31" xfId="204"/>
    <cellStyle name="20% - Accent3 32" xfId="205"/>
    <cellStyle name="20% - Accent3 33" xfId="206"/>
    <cellStyle name="20% - Accent3 34" xfId="207"/>
    <cellStyle name="20% - Accent3 35" xfId="208"/>
    <cellStyle name="20% - Accent3 36" xfId="209"/>
    <cellStyle name="20% - Accent3 4" xfId="210"/>
    <cellStyle name="20% - Accent3 5" xfId="211"/>
    <cellStyle name="20% - Accent3 6" xfId="212"/>
    <cellStyle name="20% - Accent3 7" xfId="213"/>
    <cellStyle name="20% - Accent3 8" xfId="214"/>
    <cellStyle name="20% - Accent3 9" xfId="215"/>
    <cellStyle name="20% - Accent4 10" xfId="216"/>
    <cellStyle name="20% - Accent4 11" xfId="217"/>
    <cellStyle name="20% - Accent4 12" xfId="218"/>
    <cellStyle name="20% - Accent4 13" xfId="219"/>
    <cellStyle name="20% - Accent4 14" xfId="220"/>
    <cellStyle name="20% - Accent4 15" xfId="221"/>
    <cellStyle name="20% - Accent4 15 2" xfId="222"/>
    <cellStyle name="20% - Accent4 15 3" xfId="223"/>
    <cellStyle name="20% - Accent4 15 4" xfId="224"/>
    <cellStyle name="20% - Accent4 15 5" xfId="225"/>
    <cellStyle name="20% - Accent4 16" xfId="226"/>
    <cellStyle name="20% - Accent4 16 2" xfId="227"/>
    <cellStyle name="20% - Accent4 16 3" xfId="228"/>
    <cellStyle name="20% - Accent4 16 4" xfId="229"/>
    <cellStyle name="20% - Accent4 16 5" xfId="230"/>
    <cellStyle name="20% - Accent4 17" xfId="231"/>
    <cellStyle name="20% - Accent4 17 2" xfId="232"/>
    <cellStyle name="20% - Accent4 17 3" xfId="233"/>
    <cellStyle name="20% - Accent4 17 4" xfId="234"/>
    <cellStyle name="20% - Accent4 17 5" xfId="235"/>
    <cellStyle name="20% - Accent4 18" xfId="236"/>
    <cellStyle name="20% - Accent4 19" xfId="237"/>
    <cellStyle name="20% - Accent4 2" xfId="238"/>
    <cellStyle name="20% - Accent4 2 10" xfId="239"/>
    <cellStyle name="20% - Accent4 2 2" xfId="240"/>
    <cellStyle name="20% - Accent4 2 2 2" xfId="241"/>
    <cellStyle name="20% - Accent4 2 2 2 2" xfId="242"/>
    <cellStyle name="20% - Accent4 2 2 2 2 2" xfId="243"/>
    <cellStyle name="20% - Accent4 2 2 2 2 3" xfId="244"/>
    <cellStyle name="20% - Accent4 2 2 2 3" xfId="245"/>
    <cellStyle name="20% - Accent4 2 2 2 4" xfId="246"/>
    <cellStyle name="20% - Accent4 2 2 2 5" xfId="247"/>
    <cellStyle name="20% - Accent4 2 2 2 6" xfId="248"/>
    <cellStyle name="20% - Accent4 2 2 3" xfId="249"/>
    <cellStyle name="20% - Accent4 2 2 4" xfId="250"/>
    <cellStyle name="20% - Accent4 2 2 5" xfId="251"/>
    <cellStyle name="20% - Accent4 2 2 6" xfId="252"/>
    <cellStyle name="20% - Accent4 2 3" xfId="253"/>
    <cellStyle name="20% - Accent4 2 4" xfId="254"/>
    <cellStyle name="20% - Accent4 2 5" xfId="255"/>
    <cellStyle name="20% - Accent4 2 6" xfId="256"/>
    <cellStyle name="20% - Accent4 2 7" xfId="257"/>
    <cellStyle name="20% - Accent4 2 8" xfId="258"/>
    <cellStyle name="20% - Accent4 2 9" xfId="259"/>
    <cellStyle name="20% - Accent4 20" xfId="260"/>
    <cellStyle name="20% - Accent4 21" xfId="261"/>
    <cellStyle name="20% - Accent4 22" xfId="262"/>
    <cellStyle name="20% - Accent4 23" xfId="263"/>
    <cellStyle name="20% - Accent4 24" xfId="264"/>
    <cellStyle name="20% - Accent4 25" xfId="265"/>
    <cellStyle name="20% - Accent4 26" xfId="266"/>
    <cellStyle name="20% - Accent4 27" xfId="267"/>
    <cellStyle name="20% - Accent4 28" xfId="268"/>
    <cellStyle name="20% - Accent4 29" xfId="269"/>
    <cellStyle name="20% - Accent4 3" xfId="270"/>
    <cellStyle name="20% - Accent4 30" xfId="271"/>
    <cellStyle name="20% - Accent4 31" xfId="272"/>
    <cellStyle name="20% - Accent4 32" xfId="273"/>
    <cellStyle name="20% - Accent4 33" xfId="274"/>
    <cellStyle name="20% - Accent4 34" xfId="275"/>
    <cellStyle name="20% - Accent4 35" xfId="276"/>
    <cellStyle name="20% - Accent4 36" xfId="277"/>
    <cellStyle name="20% - Accent4 4" xfId="278"/>
    <cellStyle name="20% - Accent4 5" xfId="279"/>
    <cellStyle name="20% - Accent4 6" xfId="280"/>
    <cellStyle name="20% - Accent4 7" xfId="281"/>
    <cellStyle name="20% - Accent4 8" xfId="282"/>
    <cellStyle name="20% - Accent4 9" xfId="283"/>
    <cellStyle name="20% - Accent5 10" xfId="284"/>
    <cellStyle name="20% - Accent5 11" xfId="285"/>
    <cellStyle name="20% - Accent5 12" xfId="286"/>
    <cellStyle name="20% - Accent5 13" xfId="287"/>
    <cellStyle name="20% - Accent5 14" xfId="288"/>
    <cellStyle name="20% - Accent5 15" xfId="289"/>
    <cellStyle name="20% - Accent5 15 2" xfId="290"/>
    <cellStyle name="20% - Accent5 15 3" xfId="291"/>
    <cellStyle name="20% - Accent5 15 4" xfId="292"/>
    <cellStyle name="20% - Accent5 15 5" xfId="293"/>
    <cellStyle name="20% - Accent5 16" xfId="294"/>
    <cellStyle name="20% - Accent5 16 2" xfId="295"/>
    <cellStyle name="20% - Accent5 16 3" xfId="296"/>
    <cellStyle name="20% - Accent5 16 4" xfId="297"/>
    <cellStyle name="20% - Accent5 16 5" xfId="298"/>
    <cellStyle name="20% - Accent5 17" xfId="299"/>
    <cellStyle name="20% - Accent5 17 2" xfId="300"/>
    <cellStyle name="20% - Accent5 17 3" xfId="301"/>
    <cellStyle name="20% - Accent5 17 4" xfId="302"/>
    <cellStyle name="20% - Accent5 17 5" xfId="303"/>
    <cellStyle name="20% - Accent5 18" xfId="304"/>
    <cellStyle name="20% - Accent5 19" xfId="305"/>
    <cellStyle name="20% - Accent5 2" xfId="306"/>
    <cellStyle name="20% - Accent5 2 10" xfId="307"/>
    <cellStyle name="20% - Accent5 2 2" xfId="308"/>
    <cellStyle name="20% - Accent5 2 2 2" xfId="309"/>
    <cellStyle name="20% - Accent5 2 2 2 2" xfId="310"/>
    <cellStyle name="20% - Accent5 2 2 2 2 2" xfId="311"/>
    <cellStyle name="20% - Accent5 2 2 2 2 3" xfId="312"/>
    <cellStyle name="20% - Accent5 2 2 2 3" xfId="313"/>
    <cellStyle name="20% - Accent5 2 2 2 4" xfId="314"/>
    <cellStyle name="20% - Accent5 2 2 2 5" xfId="315"/>
    <cellStyle name="20% - Accent5 2 2 2 6" xfId="316"/>
    <cellStyle name="20% - Accent5 2 2 3" xfId="317"/>
    <cellStyle name="20% - Accent5 2 2 4" xfId="318"/>
    <cellStyle name="20% - Accent5 2 2 5" xfId="319"/>
    <cellStyle name="20% - Accent5 2 2 6" xfId="320"/>
    <cellStyle name="20% - Accent5 2 3" xfId="321"/>
    <cellStyle name="20% - Accent5 2 4" xfId="322"/>
    <cellStyle name="20% - Accent5 2 5" xfId="323"/>
    <cellStyle name="20% - Accent5 2 6" xfId="324"/>
    <cellStyle name="20% - Accent5 2 7" xfId="325"/>
    <cellStyle name="20% - Accent5 2 8" xfId="326"/>
    <cellStyle name="20% - Accent5 2 9" xfId="327"/>
    <cellStyle name="20% - Accent5 20" xfId="328"/>
    <cellStyle name="20% - Accent5 21" xfId="329"/>
    <cellStyle name="20% - Accent5 22" xfId="330"/>
    <cellStyle name="20% - Accent5 23" xfId="331"/>
    <cellStyle name="20% - Accent5 24" xfId="332"/>
    <cellStyle name="20% - Accent5 25" xfId="333"/>
    <cellStyle name="20% - Accent5 26" xfId="334"/>
    <cellStyle name="20% - Accent5 27" xfId="335"/>
    <cellStyle name="20% - Accent5 28" xfId="336"/>
    <cellStyle name="20% - Accent5 29" xfId="337"/>
    <cellStyle name="20% - Accent5 3" xfId="338"/>
    <cellStyle name="20% - Accent5 30" xfId="339"/>
    <cellStyle name="20% - Accent5 31" xfId="340"/>
    <cellStyle name="20% - Accent5 32" xfId="341"/>
    <cellStyle name="20% - Accent5 33" xfId="342"/>
    <cellStyle name="20% - Accent5 34" xfId="343"/>
    <cellStyle name="20% - Accent5 35" xfId="344"/>
    <cellStyle name="20% - Accent5 36" xfId="345"/>
    <cellStyle name="20% - Accent5 4" xfId="346"/>
    <cellStyle name="20% - Accent5 5" xfId="347"/>
    <cellStyle name="20% - Accent5 6" xfId="348"/>
    <cellStyle name="20% - Accent5 7" xfId="349"/>
    <cellStyle name="20% - Accent5 8" xfId="350"/>
    <cellStyle name="20% - Accent5 9" xfId="351"/>
    <cellStyle name="20% - Accent6 10" xfId="352"/>
    <cellStyle name="20% - Accent6 11" xfId="353"/>
    <cellStyle name="20% - Accent6 12" xfId="354"/>
    <cellStyle name="20% - Accent6 13" xfId="355"/>
    <cellStyle name="20% - Accent6 14" xfId="356"/>
    <cellStyle name="20% - Accent6 15" xfId="357"/>
    <cellStyle name="20% - Accent6 15 2" xfId="358"/>
    <cellStyle name="20% - Accent6 15 3" xfId="359"/>
    <cellStyle name="20% - Accent6 15 4" xfId="360"/>
    <cellStyle name="20% - Accent6 15 5" xfId="361"/>
    <cellStyle name="20% - Accent6 16" xfId="362"/>
    <cellStyle name="20% - Accent6 16 2" xfId="363"/>
    <cellStyle name="20% - Accent6 16 3" xfId="364"/>
    <cellStyle name="20% - Accent6 16 4" xfId="365"/>
    <cellStyle name="20% - Accent6 16 5" xfId="366"/>
    <cellStyle name="20% - Accent6 17" xfId="367"/>
    <cellStyle name="20% - Accent6 17 2" xfId="368"/>
    <cellStyle name="20% - Accent6 17 3" xfId="369"/>
    <cellStyle name="20% - Accent6 17 4" xfId="370"/>
    <cellStyle name="20% - Accent6 17 5" xfId="371"/>
    <cellStyle name="20% - Accent6 18" xfId="372"/>
    <cellStyle name="20% - Accent6 19" xfId="373"/>
    <cellStyle name="20% - Accent6 2" xfId="374"/>
    <cellStyle name="20% - Accent6 2 10" xfId="375"/>
    <cellStyle name="20% - Accent6 2 2" xfId="376"/>
    <cellStyle name="20% - Accent6 2 2 2" xfId="377"/>
    <cellStyle name="20% - Accent6 2 2 2 2" xfId="378"/>
    <cellStyle name="20% - Accent6 2 2 2 2 2" xfId="379"/>
    <cellStyle name="20% - Accent6 2 2 2 2 3" xfId="380"/>
    <cellStyle name="20% - Accent6 2 2 2 3" xfId="381"/>
    <cellStyle name="20% - Accent6 2 2 2 4" xfId="382"/>
    <cellStyle name="20% - Accent6 2 2 2 5" xfId="383"/>
    <cellStyle name="20% - Accent6 2 2 2 6" xfId="384"/>
    <cellStyle name="20% - Accent6 2 2 3" xfId="385"/>
    <cellStyle name="20% - Accent6 2 2 4" xfId="386"/>
    <cellStyle name="20% - Accent6 2 2 5" xfId="387"/>
    <cellStyle name="20% - Accent6 2 2 6" xfId="388"/>
    <cellStyle name="20% - Accent6 2 3" xfId="389"/>
    <cellStyle name="20% - Accent6 2 4" xfId="390"/>
    <cellStyle name="20% - Accent6 2 5" xfId="391"/>
    <cellStyle name="20% - Accent6 2 6" xfId="392"/>
    <cellStyle name="20% - Accent6 2 7" xfId="393"/>
    <cellStyle name="20% - Accent6 2 8" xfId="394"/>
    <cellStyle name="20% - Accent6 2 9" xfId="395"/>
    <cellStyle name="20% - Accent6 20" xfId="396"/>
    <cellStyle name="20% - Accent6 21" xfId="397"/>
    <cellStyle name="20% - Accent6 22" xfId="398"/>
    <cellStyle name="20% - Accent6 23" xfId="399"/>
    <cellStyle name="20% - Accent6 24" xfId="400"/>
    <cellStyle name="20% - Accent6 25" xfId="401"/>
    <cellStyle name="20% - Accent6 26" xfId="402"/>
    <cellStyle name="20% - Accent6 27" xfId="403"/>
    <cellStyle name="20% - Accent6 28" xfId="404"/>
    <cellStyle name="20% - Accent6 29" xfId="405"/>
    <cellStyle name="20% - Accent6 3" xfId="406"/>
    <cellStyle name="20% - Accent6 30" xfId="407"/>
    <cellStyle name="20% - Accent6 31" xfId="408"/>
    <cellStyle name="20% - Accent6 32" xfId="409"/>
    <cellStyle name="20% - Accent6 33" xfId="410"/>
    <cellStyle name="20% - Accent6 34" xfId="411"/>
    <cellStyle name="20% - Accent6 35" xfId="412"/>
    <cellStyle name="20% - Accent6 36" xfId="413"/>
    <cellStyle name="20% - Accent6 4" xfId="414"/>
    <cellStyle name="20% - Accent6 5" xfId="415"/>
    <cellStyle name="20% - Accent6 6" xfId="416"/>
    <cellStyle name="20% - Accent6 7" xfId="417"/>
    <cellStyle name="20% - Accent6 8" xfId="418"/>
    <cellStyle name="20% - Accent6 9" xfId="419"/>
    <cellStyle name="40% - Accent1 10" xfId="420"/>
    <cellStyle name="40% - Accent1 11" xfId="421"/>
    <cellStyle name="40% - Accent1 12" xfId="422"/>
    <cellStyle name="40% - Accent1 13" xfId="423"/>
    <cellStyle name="40% - Accent1 14" xfId="424"/>
    <cellStyle name="40% - Accent1 15" xfId="425"/>
    <cellStyle name="40% - Accent1 15 2" xfId="426"/>
    <cellStyle name="40% - Accent1 15 3" xfId="427"/>
    <cellStyle name="40% - Accent1 15 4" xfId="428"/>
    <cellStyle name="40% - Accent1 15 5" xfId="429"/>
    <cellStyle name="40% - Accent1 16" xfId="430"/>
    <cellStyle name="40% - Accent1 16 2" xfId="431"/>
    <cellStyle name="40% - Accent1 16 3" xfId="432"/>
    <cellStyle name="40% - Accent1 16 4" xfId="433"/>
    <cellStyle name="40% - Accent1 16 5" xfId="434"/>
    <cellStyle name="40% - Accent1 17" xfId="435"/>
    <cellStyle name="40% - Accent1 17 2" xfId="436"/>
    <cellStyle name="40% - Accent1 17 3" xfId="437"/>
    <cellStyle name="40% - Accent1 17 4" xfId="438"/>
    <cellStyle name="40% - Accent1 17 5" xfId="439"/>
    <cellStyle name="40% - Accent1 18" xfId="440"/>
    <cellStyle name="40% - Accent1 19" xfId="441"/>
    <cellStyle name="40% - Accent1 2" xfId="442"/>
    <cellStyle name="40% - Accent1 2 10" xfId="443"/>
    <cellStyle name="40% - Accent1 2 2" xfId="444"/>
    <cellStyle name="40% - Accent1 2 2 2" xfId="445"/>
    <cellStyle name="40% - Accent1 2 2 2 2" xfId="446"/>
    <cellStyle name="40% - Accent1 2 2 2 2 2" xfId="447"/>
    <cellStyle name="40% - Accent1 2 2 2 2 3" xfId="448"/>
    <cellStyle name="40% - Accent1 2 2 2 3" xfId="449"/>
    <cellStyle name="40% - Accent1 2 2 2 4" xfId="450"/>
    <cellStyle name="40% - Accent1 2 2 2 5" xfId="451"/>
    <cellStyle name="40% - Accent1 2 2 2 6" xfId="452"/>
    <cellStyle name="40% - Accent1 2 2 3" xfId="453"/>
    <cellStyle name="40% - Accent1 2 2 4" xfId="454"/>
    <cellStyle name="40% - Accent1 2 2 5" xfId="455"/>
    <cellStyle name="40% - Accent1 2 2 6" xfId="456"/>
    <cellStyle name="40% - Accent1 2 3" xfId="457"/>
    <cellStyle name="40% - Accent1 2 4" xfId="458"/>
    <cellStyle name="40% - Accent1 2 5" xfId="459"/>
    <cellStyle name="40% - Accent1 2 6" xfId="460"/>
    <cellStyle name="40% - Accent1 2 7" xfId="461"/>
    <cellStyle name="40% - Accent1 2 8" xfId="462"/>
    <cellStyle name="40% - Accent1 2 9" xfId="463"/>
    <cellStyle name="40% - Accent1 20" xfId="464"/>
    <cellStyle name="40% - Accent1 21" xfId="465"/>
    <cellStyle name="40% - Accent1 22" xfId="466"/>
    <cellStyle name="40% - Accent1 23" xfId="467"/>
    <cellStyle name="40% - Accent1 24" xfId="468"/>
    <cellStyle name="40% - Accent1 25" xfId="469"/>
    <cellStyle name="40% - Accent1 26" xfId="470"/>
    <cellStyle name="40% - Accent1 27" xfId="471"/>
    <cellStyle name="40% - Accent1 28" xfId="472"/>
    <cellStyle name="40% - Accent1 29" xfId="473"/>
    <cellStyle name="40% - Accent1 3" xfId="474"/>
    <cellStyle name="40% - Accent1 30" xfId="475"/>
    <cellStyle name="40% - Accent1 31" xfId="476"/>
    <cellStyle name="40% - Accent1 32" xfId="477"/>
    <cellStyle name="40% - Accent1 33" xfId="478"/>
    <cellStyle name="40% - Accent1 34" xfId="479"/>
    <cellStyle name="40% - Accent1 35" xfId="480"/>
    <cellStyle name="40% - Accent1 36" xfId="481"/>
    <cellStyle name="40% - Accent1 4" xfId="482"/>
    <cellStyle name="40% - Accent1 5" xfId="483"/>
    <cellStyle name="40% - Accent1 6" xfId="484"/>
    <cellStyle name="40% - Accent1 7" xfId="485"/>
    <cellStyle name="40% - Accent1 8" xfId="486"/>
    <cellStyle name="40% - Accent1 9" xfId="487"/>
    <cellStyle name="40% - Accent2 10" xfId="488"/>
    <cellStyle name="40% - Accent2 11" xfId="489"/>
    <cellStyle name="40% - Accent2 12" xfId="490"/>
    <cellStyle name="40% - Accent2 13" xfId="491"/>
    <cellStyle name="40% - Accent2 14" xfId="492"/>
    <cellStyle name="40% - Accent2 15" xfId="493"/>
    <cellStyle name="40% - Accent2 15 2" xfId="494"/>
    <cellStyle name="40% - Accent2 15 3" xfId="495"/>
    <cellStyle name="40% - Accent2 15 4" xfId="496"/>
    <cellStyle name="40% - Accent2 15 5" xfId="497"/>
    <cellStyle name="40% - Accent2 16" xfId="498"/>
    <cellStyle name="40% - Accent2 16 2" xfId="499"/>
    <cellStyle name="40% - Accent2 16 3" xfId="500"/>
    <cellStyle name="40% - Accent2 16 4" xfId="501"/>
    <cellStyle name="40% - Accent2 16 5" xfId="502"/>
    <cellStyle name="40% - Accent2 17" xfId="503"/>
    <cellStyle name="40% - Accent2 17 2" xfId="504"/>
    <cellStyle name="40% - Accent2 17 3" xfId="505"/>
    <cellStyle name="40% - Accent2 17 4" xfId="506"/>
    <cellStyle name="40% - Accent2 17 5" xfId="507"/>
    <cellStyle name="40% - Accent2 18" xfId="508"/>
    <cellStyle name="40% - Accent2 19" xfId="509"/>
    <cellStyle name="40% - Accent2 2" xfId="510"/>
    <cellStyle name="40% - Accent2 2 10" xfId="511"/>
    <cellStyle name="40% - Accent2 2 2" xfId="512"/>
    <cellStyle name="40% - Accent2 2 2 2" xfId="513"/>
    <cellStyle name="40% - Accent2 2 2 2 2" xfId="514"/>
    <cellStyle name="40% - Accent2 2 2 2 2 2" xfId="515"/>
    <cellStyle name="40% - Accent2 2 2 2 2 3" xfId="516"/>
    <cellStyle name="40% - Accent2 2 2 2 3" xfId="517"/>
    <cellStyle name="40% - Accent2 2 2 2 4" xfId="518"/>
    <cellStyle name="40% - Accent2 2 2 2 5" xfId="519"/>
    <cellStyle name="40% - Accent2 2 2 2 6" xfId="520"/>
    <cellStyle name="40% - Accent2 2 2 3" xfId="521"/>
    <cellStyle name="40% - Accent2 2 2 4" xfId="522"/>
    <cellStyle name="40% - Accent2 2 2 5" xfId="523"/>
    <cellStyle name="40% - Accent2 2 2 6" xfId="524"/>
    <cellStyle name="40% - Accent2 2 3" xfId="525"/>
    <cellStyle name="40% - Accent2 2 4" xfId="526"/>
    <cellStyle name="40% - Accent2 2 5" xfId="527"/>
    <cellStyle name="40% - Accent2 2 6" xfId="528"/>
    <cellStyle name="40% - Accent2 2 7" xfId="529"/>
    <cellStyle name="40% - Accent2 2 8" xfId="530"/>
    <cellStyle name="40% - Accent2 2 9" xfId="531"/>
    <cellStyle name="40% - Accent2 20" xfId="532"/>
    <cellStyle name="40% - Accent2 21" xfId="533"/>
    <cellStyle name="40% - Accent2 22" xfId="534"/>
    <cellStyle name="40% - Accent2 23" xfId="535"/>
    <cellStyle name="40% - Accent2 24" xfId="536"/>
    <cellStyle name="40% - Accent2 25" xfId="537"/>
    <cellStyle name="40% - Accent2 26" xfId="538"/>
    <cellStyle name="40% - Accent2 27" xfId="539"/>
    <cellStyle name="40% - Accent2 28" xfId="540"/>
    <cellStyle name="40% - Accent2 29" xfId="541"/>
    <cellStyle name="40% - Accent2 3" xfId="542"/>
    <cellStyle name="40% - Accent2 30" xfId="543"/>
    <cellStyle name="40% - Accent2 31" xfId="544"/>
    <cellStyle name="40% - Accent2 32" xfId="545"/>
    <cellStyle name="40% - Accent2 33" xfId="546"/>
    <cellStyle name="40% - Accent2 34" xfId="547"/>
    <cellStyle name="40% - Accent2 35" xfId="548"/>
    <cellStyle name="40% - Accent2 36" xfId="549"/>
    <cellStyle name="40% - Accent2 4" xfId="550"/>
    <cellStyle name="40% - Accent2 5" xfId="551"/>
    <cellStyle name="40% - Accent2 6" xfId="552"/>
    <cellStyle name="40% - Accent2 7" xfId="553"/>
    <cellStyle name="40% - Accent2 8" xfId="554"/>
    <cellStyle name="40% - Accent2 9" xfId="555"/>
    <cellStyle name="40% - Accent3 10" xfId="556"/>
    <cellStyle name="40% - Accent3 11" xfId="557"/>
    <cellStyle name="40% - Accent3 12" xfId="558"/>
    <cellStyle name="40% - Accent3 13" xfId="559"/>
    <cellStyle name="40% - Accent3 14" xfId="560"/>
    <cellStyle name="40% - Accent3 15" xfId="561"/>
    <cellStyle name="40% - Accent3 15 2" xfId="562"/>
    <cellStyle name="40% - Accent3 15 3" xfId="563"/>
    <cellStyle name="40% - Accent3 15 4" xfId="564"/>
    <cellStyle name="40% - Accent3 15 5" xfId="565"/>
    <cellStyle name="40% - Accent3 16" xfId="566"/>
    <cellStyle name="40% - Accent3 16 2" xfId="567"/>
    <cellStyle name="40% - Accent3 16 3" xfId="568"/>
    <cellStyle name="40% - Accent3 16 4" xfId="569"/>
    <cellStyle name="40% - Accent3 16 5" xfId="570"/>
    <cellStyle name="40% - Accent3 17" xfId="571"/>
    <cellStyle name="40% - Accent3 17 2" xfId="572"/>
    <cellStyle name="40% - Accent3 17 3" xfId="573"/>
    <cellStyle name="40% - Accent3 17 4" xfId="574"/>
    <cellStyle name="40% - Accent3 17 5" xfId="575"/>
    <cellStyle name="40% - Accent3 18" xfId="576"/>
    <cellStyle name="40% - Accent3 19" xfId="577"/>
    <cellStyle name="40% - Accent3 2" xfId="578"/>
    <cellStyle name="40% - Accent3 2 10" xfId="579"/>
    <cellStyle name="40% - Accent3 2 2" xfId="580"/>
    <cellStyle name="40% - Accent3 2 2 2" xfId="581"/>
    <cellStyle name="40% - Accent3 2 2 2 2" xfId="582"/>
    <cellStyle name="40% - Accent3 2 2 2 2 2" xfId="583"/>
    <cellStyle name="40% - Accent3 2 2 2 2 3" xfId="584"/>
    <cellStyle name="40% - Accent3 2 2 2 3" xfId="585"/>
    <cellStyle name="40% - Accent3 2 2 2 4" xfId="586"/>
    <cellStyle name="40% - Accent3 2 2 2 5" xfId="587"/>
    <cellStyle name="40% - Accent3 2 2 2 6" xfId="588"/>
    <cellStyle name="40% - Accent3 2 2 3" xfId="589"/>
    <cellStyle name="40% - Accent3 2 2 4" xfId="590"/>
    <cellStyle name="40% - Accent3 2 2 5" xfId="591"/>
    <cellStyle name="40% - Accent3 2 2 6" xfId="592"/>
    <cellStyle name="40% - Accent3 2 3" xfId="593"/>
    <cellStyle name="40% - Accent3 2 4" xfId="594"/>
    <cellStyle name="40% - Accent3 2 5" xfId="595"/>
    <cellStyle name="40% - Accent3 2 6" xfId="596"/>
    <cellStyle name="40% - Accent3 2 7" xfId="597"/>
    <cellStyle name="40% - Accent3 2 8" xfId="598"/>
    <cellStyle name="40% - Accent3 2 9" xfId="599"/>
    <cellStyle name="40% - Accent3 20" xfId="600"/>
    <cellStyle name="40% - Accent3 21" xfId="601"/>
    <cellStyle name="40% - Accent3 22" xfId="602"/>
    <cellStyle name="40% - Accent3 23" xfId="603"/>
    <cellStyle name="40% - Accent3 24" xfId="604"/>
    <cellStyle name="40% - Accent3 25" xfId="605"/>
    <cellStyle name="40% - Accent3 26" xfId="606"/>
    <cellStyle name="40% - Accent3 27" xfId="607"/>
    <cellStyle name="40% - Accent3 28" xfId="608"/>
    <cellStyle name="40% - Accent3 29" xfId="609"/>
    <cellStyle name="40% - Accent3 3" xfId="610"/>
    <cellStyle name="40% - Accent3 30" xfId="611"/>
    <cellStyle name="40% - Accent3 31" xfId="612"/>
    <cellStyle name="40% - Accent3 32" xfId="613"/>
    <cellStyle name="40% - Accent3 33" xfId="614"/>
    <cellStyle name="40% - Accent3 34" xfId="615"/>
    <cellStyle name="40% - Accent3 35" xfId="616"/>
    <cellStyle name="40% - Accent3 36" xfId="617"/>
    <cellStyle name="40% - Accent3 4" xfId="618"/>
    <cellStyle name="40% - Accent3 5" xfId="619"/>
    <cellStyle name="40% - Accent3 6" xfId="620"/>
    <cellStyle name="40% - Accent3 7" xfId="621"/>
    <cellStyle name="40% - Accent3 8" xfId="622"/>
    <cellStyle name="40% - Accent3 9" xfId="623"/>
    <cellStyle name="40% - Accent4 10" xfId="624"/>
    <cellStyle name="40% - Accent4 11" xfId="625"/>
    <cellStyle name="40% - Accent4 12" xfId="626"/>
    <cellStyle name="40% - Accent4 13" xfId="627"/>
    <cellStyle name="40% - Accent4 14" xfId="628"/>
    <cellStyle name="40% - Accent4 15" xfId="629"/>
    <cellStyle name="40% - Accent4 15 2" xfId="630"/>
    <cellStyle name="40% - Accent4 15 3" xfId="631"/>
    <cellStyle name="40% - Accent4 15 4" xfId="632"/>
    <cellStyle name="40% - Accent4 15 5" xfId="633"/>
    <cellStyle name="40% - Accent4 16" xfId="634"/>
    <cellStyle name="40% - Accent4 16 2" xfId="635"/>
    <cellStyle name="40% - Accent4 16 3" xfId="636"/>
    <cellStyle name="40% - Accent4 16 4" xfId="637"/>
    <cellStyle name="40% - Accent4 16 5" xfId="638"/>
    <cellStyle name="40% - Accent4 17" xfId="639"/>
    <cellStyle name="40% - Accent4 17 2" xfId="640"/>
    <cellStyle name="40% - Accent4 17 3" xfId="641"/>
    <cellStyle name="40% - Accent4 17 4" xfId="642"/>
    <cellStyle name="40% - Accent4 17 5" xfId="643"/>
    <cellStyle name="40% - Accent4 18" xfId="644"/>
    <cellStyle name="40% - Accent4 19" xfId="645"/>
    <cellStyle name="40% - Accent4 2" xfId="646"/>
    <cellStyle name="40% - Accent4 2 10" xfId="647"/>
    <cellStyle name="40% - Accent4 2 2" xfId="648"/>
    <cellStyle name="40% - Accent4 2 2 2" xfId="649"/>
    <cellStyle name="40% - Accent4 2 2 2 2" xfId="650"/>
    <cellStyle name="40% - Accent4 2 2 2 2 2" xfId="651"/>
    <cellStyle name="40% - Accent4 2 2 2 2 3" xfId="652"/>
    <cellStyle name="40% - Accent4 2 2 2 3" xfId="653"/>
    <cellStyle name="40% - Accent4 2 2 2 4" xfId="654"/>
    <cellStyle name="40% - Accent4 2 2 2 5" xfId="655"/>
    <cellStyle name="40% - Accent4 2 2 2 6" xfId="656"/>
    <cellStyle name="40% - Accent4 2 2 3" xfId="657"/>
    <cellStyle name="40% - Accent4 2 2 4" xfId="658"/>
    <cellStyle name="40% - Accent4 2 2 5" xfId="659"/>
    <cellStyle name="40% - Accent4 2 2 6" xfId="660"/>
    <cellStyle name="40% - Accent4 2 3" xfId="661"/>
    <cellStyle name="40% - Accent4 2 4" xfId="662"/>
    <cellStyle name="40% - Accent4 2 5" xfId="663"/>
    <cellStyle name="40% - Accent4 2 6" xfId="664"/>
    <cellStyle name="40% - Accent4 2 7" xfId="665"/>
    <cellStyle name="40% - Accent4 2 8" xfId="666"/>
    <cellStyle name="40% - Accent4 2 9" xfId="667"/>
    <cellStyle name="40% - Accent4 20" xfId="668"/>
    <cellStyle name="40% - Accent4 21" xfId="669"/>
    <cellStyle name="40% - Accent4 22" xfId="670"/>
    <cellStyle name="40% - Accent4 23" xfId="671"/>
    <cellStyle name="40% - Accent4 24" xfId="672"/>
    <cellStyle name="40% - Accent4 25" xfId="673"/>
    <cellStyle name="40% - Accent4 26" xfId="674"/>
    <cellStyle name="40% - Accent4 27" xfId="675"/>
    <cellStyle name="40% - Accent4 28" xfId="676"/>
    <cellStyle name="40% - Accent4 29" xfId="677"/>
    <cellStyle name="40% - Accent4 3" xfId="678"/>
    <cellStyle name="40% - Accent4 30" xfId="679"/>
    <cellStyle name="40% - Accent4 31" xfId="680"/>
    <cellStyle name="40% - Accent4 32" xfId="681"/>
    <cellStyle name="40% - Accent4 33" xfId="682"/>
    <cellStyle name="40% - Accent4 34" xfId="683"/>
    <cellStyle name="40% - Accent4 35" xfId="684"/>
    <cellStyle name="40% - Accent4 36" xfId="685"/>
    <cellStyle name="40% - Accent4 4" xfId="686"/>
    <cellStyle name="40% - Accent4 5" xfId="687"/>
    <cellStyle name="40% - Accent4 6" xfId="688"/>
    <cellStyle name="40% - Accent4 7" xfId="689"/>
    <cellStyle name="40% - Accent4 8" xfId="690"/>
    <cellStyle name="40% - Accent4 9" xfId="691"/>
    <cellStyle name="40% - Accent5 10" xfId="692"/>
    <cellStyle name="40% - Accent5 11" xfId="693"/>
    <cellStyle name="40% - Accent5 12" xfId="694"/>
    <cellStyle name="40% - Accent5 13" xfId="695"/>
    <cellStyle name="40% - Accent5 14" xfId="696"/>
    <cellStyle name="40% - Accent5 15" xfId="697"/>
    <cellStyle name="40% - Accent5 15 2" xfId="698"/>
    <cellStyle name="40% - Accent5 15 3" xfId="699"/>
    <cellStyle name="40% - Accent5 15 4" xfId="700"/>
    <cellStyle name="40% - Accent5 15 5" xfId="701"/>
    <cellStyle name="40% - Accent5 16" xfId="702"/>
    <cellStyle name="40% - Accent5 16 2" xfId="703"/>
    <cellStyle name="40% - Accent5 16 3" xfId="704"/>
    <cellStyle name="40% - Accent5 16 4" xfId="705"/>
    <cellStyle name="40% - Accent5 16 5" xfId="706"/>
    <cellStyle name="40% - Accent5 17" xfId="707"/>
    <cellStyle name="40% - Accent5 17 2" xfId="708"/>
    <cellStyle name="40% - Accent5 17 3" xfId="709"/>
    <cellStyle name="40% - Accent5 17 4" xfId="710"/>
    <cellStyle name="40% - Accent5 17 5" xfId="711"/>
    <cellStyle name="40% - Accent5 18" xfId="712"/>
    <cellStyle name="40% - Accent5 19" xfId="713"/>
    <cellStyle name="40% - Accent5 2" xfId="714"/>
    <cellStyle name="40% - Accent5 2 10" xfId="715"/>
    <cellStyle name="40% - Accent5 2 2" xfId="716"/>
    <cellStyle name="40% - Accent5 2 2 2" xfId="717"/>
    <cellStyle name="40% - Accent5 2 2 2 2" xfId="718"/>
    <cellStyle name="40% - Accent5 2 2 2 2 2" xfId="719"/>
    <cellStyle name="40% - Accent5 2 2 2 2 3" xfId="720"/>
    <cellStyle name="40% - Accent5 2 2 2 3" xfId="721"/>
    <cellStyle name="40% - Accent5 2 2 2 4" xfId="722"/>
    <cellStyle name="40% - Accent5 2 2 2 5" xfId="723"/>
    <cellStyle name="40% - Accent5 2 2 2 6" xfId="724"/>
    <cellStyle name="40% - Accent5 2 2 3" xfId="725"/>
    <cellStyle name="40% - Accent5 2 2 4" xfId="726"/>
    <cellStyle name="40% - Accent5 2 2 5" xfId="727"/>
    <cellStyle name="40% - Accent5 2 2 6" xfId="728"/>
    <cellStyle name="40% - Accent5 2 3" xfId="729"/>
    <cellStyle name="40% - Accent5 2 4" xfId="730"/>
    <cellStyle name="40% - Accent5 2 5" xfId="731"/>
    <cellStyle name="40% - Accent5 2 6" xfId="732"/>
    <cellStyle name="40% - Accent5 2 7" xfId="733"/>
    <cellStyle name="40% - Accent5 2 8" xfId="734"/>
    <cellStyle name="40% - Accent5 2 9" xfId="735"/>
    <cellStyle name="40% - Accent5 20" xfId="736"/>
    <cellStyle name="40% - Accent5 21" xfId="737"/>
    <cellStyle name="40% - Accent5 22" xfId="738"/>
    <cellStyle name="40% - Accent5 23" xfId="739"/>
    <cellStyle name="40% - Accent5 24" xfId="740"/>
    <cellStyle name="40% - Accent5 25" xfId="741"/>
    <cellStyle name="40% - Accent5 26" xfId="742"/>
    <cellStyle name="40% - Accent5 27" xfId="743"/>
    <cellStyle name="40% - Accent5 28" xfId="744"/>
    <cellStyle name="40% - Accent5 29" xfId="745"/>
    <cellStyle name="40% - Accent5 3" xfId="746"/>
    <cellStyle name="40% - Accent5 30" xfId="747"/>
    <cellStyle name="40% - Accent5 31" xfId="748"/>
    <cellStyle name="40% - Accent5 32" xfId="749"/>
    <cellStyle name="40% - Accent5 33" xfId="750"/>
    <cellStyle name="40% - Accent5 34" xfId="751"/>
    <cellStyle name="40% - Accent5 35" xfId="752"/>
    <cellStyle name="40% - Accent5 36" xfId="753"/>
    <cellStyle name="40% - Accent5 4" xfId="754"/>
    <cellStyle name="40% - Accent5 5" xfId="755"/>
    <cellStyle name="40% - Accent5 6" xfId="756"/>
    <cellStyle name="40% - Accent5 7" xfId="757"/>
    <cellStyle name="40% - Accent5 8" xfId="758"/>
    <cellStyle name="40% - Accent5 9" xfId="759"/>
    <cellStyle name="40% - Accent6 10" xfId="760"/>
    <cellStyle name="40% - Accent6 11" xfId="761"/>
    <cellStyle name="40% - Accent6 12" xfId="762"/>
    <cellStyle name="40% - Accent6 13" xfId="763"/>
    <cellStyle name="40% - Accent6 14" xfId="764"/>
    <cellStyle name="40% - Accent6 15" xfId="765"/>
    <cellStyle name="40% - Accent6 15 2" xfId="766"/>
    <cellStyle name="40% - Accent6 15 3" xfId="767"/>
    <cellStyle name="40% - Accent6 15 4" xfId="768"/>
    <cellStyle name="40% - Accent6 15 5" xfId="769"/>
    <cellStyle name="40% - Accent6 16" xfId="770"/>
    <cellStyle name="40% - Accent6 16 2" xfId="771"/>
    <cellStyle name="40% - Accent6 16 3" xfId="772"/>
    <cellStyle name="40% - Accent6 16 4" xfId="773"/>
    <cellStyle name="40% - Accent6 16 5" xfId="774"/>
    <cellStyle name="40% - Accent6 17" xfId="775"/>
    <cellStyle name="40% - Accent6 17 2" xfId="776"/>
    <cellStyle name="40% - Accent6 17 3" xfId="777"/>
    <cellStyle name="40% - Accent6 17 4" xfId="778"/>
    <cellStyle name="40% - Accent6 17 5" xfId="779"/>
    <cellStyle name="40% - Accent6 18" xfId="780"/>
    <cellStyle name="40% - Accent6 19" xfId="781"/>
    <cellStyle name="40% - Accent6 2" xfId="782"/>
    <cellStyle name="40% - Accent6 2 10" xfId="783"/>
    <cellStyle name="40% - Accent6 2 2" xfId="784"/>
    <cellStyle name="40% - Accent6 2 2 2" xfId="785"/>
    <cellStyle name="40% - Accent6 2 2 2 2" xfId="786"/>
    <cellStyle name="40% - Accent6 2 2 2 2 2" xfId="787"/>
    <cellStyle name="40% - Accent6 2 2 2 2 3" xfId="788"/>
    <cellStyle name="40% - Accent6 2 2 2 3" xfId="789"/>
    <cellStyle name="40% - Accent6 2 2 2 4" xfId="790"/>
    <cellStyle name="40% - Accent6 2 2 2 5" xfId="791"/>
    <cellStyle name="40% - Accent6 2 2 2 6" xfId="792"/>
    <cellStyle name="40% - Accent6 2 2 3" xfId="793"/>
    <cellStyle name="40% - Accent6 2 2 4" xfId="794"/>
    <cellStyle name="40% - Accent6 2 2 5" xfId="795"/>
    <cellStyle name="40% - Accent6 2 2 6" xfId="796"/>
    <cellStyle name="40% - Accent6 2 3" xfId="797"/>
    <cellStyle name="40% - Accent6 2 4" xfId="798"/>
    <cellStyle name="40% - Accent6 2 5" xfId="799"/>
    <cellStyle name="40% - Accent6 2 6" xfId="800"/>
    <cellStyle name="40% - Accent6 2 7" xfId="801"/>
    <cellStyle name="40% - Accent6 2 8" xfId="802"/>
    <cellStyle name="40% - Accent6 2 9" xfId="803"/>
    <cellStyle name="40% - Accent6 20" xfId="804"/>
    <cellStyle name="40% - Accent6 21" xfId="805"/>
    <cellStyle name="40% - Accent6 22" xfId="806"/>
    <cellStyle name="40% - Accent6 23" xfId="807"/>
    <cellStyle name="40% - Accent6 24" xfId="808"/>
    <cellStyle name="40% - Accent6 25" xfId="809"/>
    <cellStyle name="40% - Accent6 26" xfId="810"/>
    <cellStyle name="40% - Accent6 27" xfId="811"/>
    <cellStyle name="40% - Accent6 28" xfId="812"/>
    <cellStyle name="40% - Accent6 29" xfId="813"/>
    <cellStyle name="40% - Accent6 3" xfId="814"/>
    <cellStyle name="40% - Accent6 30" xfId="815"/>
    <cellStyle name="40% - Accent6 31" xfId="816"/>
    <cellStyle name="40% - Accent6 32" xfId="817"/>
    <cellStyle name="40% - Accent6 33" xfId="818"/>
    <cellStyle name="40% - Accent6 34" xfId="819"/>
    <cellStyle name="40% - Accent6 35" xfId="820"/>
    <cellStyle name="40% - Accent6 36" xfId="821"/>
    <cellStyle name="40% - Accent6 4" xfId="822"/>
    <cellStyle name="40% - Accent6 5" xfId="823"/>
    <cellStyle name="40% - Accent6 6" xfId="824"/>
    <cellStyle name="40% - Accent6 7" xfId="825"/>
    <cellStyle name="40% - Accent6 8" xfId="826"/>
    <cellStyle name="40% - Accent6 9" xfId="827"/>
    <cellStyle name="60% - Accent1 10" xfId="828"/>
    <cellStyle name="60% - Accent1 11" xfId="829"/>
    <cellStyle name="60% - Accent1 12" xfId="830"/>
    <cellStyle name="60% - Accent1 13" xfId="831"/>
    <cellStyle name="60% - Accent1 14" xfId="832"/>
    <cellStyle name="60% - Accent1 15" xfId="833"/>
    <cellStyle name="60% - Accent1 16" xfId="834"/>
    <cellStyle name="60% - Accent1 17" xfId="835"/>
    <cellStyle name="60% - Accent1 18" xfId="836"/>
    <cellStyle name="60% - Accent1 19" xfId="837"/>
    <cellStyle name="60% - Accent1 2" xfId="838"/>
    <cellStyle name="60% - Accent1 2 10" xfId="839"/>
    <cellStyle name="60% - Accent1 2 2" xfId="840"/>
    <cellStyle name="60% - Accent1 2 2 2" xfId="841"/>
    <cellStyle name="60% - Accent1 2 2 2 2" xfId="842"/>
    <cellStyle name="60% - Accent1 2 2 2 2 2" xfId="843"/>
    <cellStyle name="60% - Accent1 2 2 2 2 3" xfId="844"/>
    <cellStyle name="60% - Accent1 2 2 2 3" xfId="845"/>
    <cellStyle name="60% - Accent1 2 2 2 4" xfId="846"/>
    <cellStyle name="60% - Accent1 2 2 2 5" xfId="847"/>
    <cellStyle name="60% - Accent1 2 2 2 6" xfId="848"/>
    <cellStyle name="60% - Accent1 2 2 3" xfId="849"/>
    <cellStyle name="60% - Accent1 2 2 4" xfId="850"/>
    <cellStyle name="60% - Accent1 2 2 5" xfId="851"/>
    <cellStyle name="60% - Accent1 2 2 6" xfId="852"/>
    <cellStyle name="60% - Accent1 2 3" xfId="853"/>
    <cellStyle name="60% - Accent1 2 4" xfId="854"/>
    <cellStyle name="60% - Accent1 2 5" xfId="855"/>
    <cellStyle name="60% - Accent1 2 6" xfId="856"/>
    <cellStyle name="60% - Accent1 2 7" xfId="857"/>
    <cellStyle name="60% - Accent1 2 8" xfId="858"/>
    <cellStyle name="60% - Accent1 2 9" xfId="859"/>
    <cellStyle name="60% - Accent1 20" xfId="860"/>
    <cellStyle name="60% - Accent1 21" xfId="861"/>
    <cellStyle name="60% - Accent1 22" xfId="862"/>
    <cellStyle name="60% - Accent1 23" xfId="863"/>
    <cellStyle name="60% - Accent1 3" xfId="864"/>
    <cellStyle name="60% - Accent1 4" xfId="865"/>
    <cellStyle name="60% - Accent1 5" xfId="866"/>
    <cellStyle name="60% - Accent1 6" xfId="867"/>
    <cellStyle name="60% - Accent1 7" xfId="868"/>
    <cellStyle name="60% - Accent1 8" xfId="869"/>
    <cellStyle name="60% - Accent1 9" xfId="870"/>
    <cellStyle name="60% - Accent2 10" xfId="871"/>
    <cellStyle name="60% - Accent2 11" xfId="872"/>
    <cellStyle name="60% - Accent2 12" xfId="873"/>
    <cellStyle name="60% - Accent2 13" xfId="874"/>
    <cellStyle name="60% - Accent2 14" xfId="875"/>
    <cellStyle name="60% - Accent2 15" xfId="876"/>
    <cellStyle name="60% - Accent2 16" xfId="877"/>
    <cellStyle name="60% - Accent2 17" xfId="878"/>
    <cellStyle name="60% - Accent2 18" xfId="879"/>
    <cellStyle name="60% - Accent2 19" xfId="880"/>
    <cellStyle name="60% - Accent2 2" xfId="881"/>
    <cellStyle name="60% - Accent2 2 10" xfId="882"/>
    <cellStyle name="60% - Accent2 2 2" xfId="883"/>
    <cellStyle name="60% - Accent2 2 2 2" xfId="884"/>
    <cellStyle name="60% - Accent2 2 2 2 2" xfId="885"/>
    <cellStyle name="60% - Accent2 2 2 2 2 2" xfId="886"/>
    <cellStyle name="60% - Accent2 2 2 2 2 3" xfId="887"/>
    <cellStyle name="60% - Accent2 2 2 2 3" xfId="888"/>
    <cellStyle name="60% - Accent2 2 2 2 4" xfId="889"/>
    <cellStyle name="60% - Accent2 2 2 2 5" xfId="890"/>
    <cellStyle name="60% - Accent2 2 2 2 6" xfId="891"/>
    <cellStyle name="60% - Accent2 2 2 3" xfId="892"/>
    <cellStyle name="60% - Accent2 2 2 4" xfId="893"/>
    <cellStyle name="60% - Accent2 2 2 5" xfId="894"/>
    <cellStyle name="60% - Accent2 2 2 6" xfId="895"/>
    <cellStyle name="60% - Accent2 2 3" xfId="896"/>
    <cellStyle name="60% - Accent2 2 4" xfId="897"/>
    <cellStyle name="60% - Accent2 2 5" xfId="898"/>
    <cellStyle name="60% - Accent2 2 6" xfId="899"/>
    <cellStyle name="60% - Accent2 2 7" xfId="900"/>
    <cellStyle name="60% - Accent2 2 8" xfId="901"/>
    <cellStyle name="60% - Accent2 2 9" xfId="902"/>
    <cellStyle name="60% - Accent2 20" xfId="903"/>
    <cellStyle name="60% - Accent2 21" xfId="904"/>
    <cellStyle name="60% - Accent2 22" xfId="905"/>
    <cellStyle name="60% - Accent2 23" xfId="906"/>
    <cellStyle name="60% - Accent2 3" xfId="907"/>
    <cellStyle name="60% - Accent2 4" xfId="908"/>
    <cellStyle name="60% - Accent2 5" xfId="909"/>
    <cellStyle name="60% - Accent2 6" xfId="910"/>
    <cellStyle name="60% - Accent2 7" xfId="911"/>
    <cellStyle name="60% - Accent2 8" xfId="912"/>
    <cellStyle name="60% - Accent2 9" xfId="913"/>
    <cellStyle name="60% - Accent3 10" xfId="914"/>
    <cellStyle name="60% - Accent3 11" xfId="915"/>
    <cellStyle name="60% - Accent3 12" xfId="916"/>
    <cellStyle name="60% - Accent3 13" xfId="917"/>
    <cellStyle name="60% - Accent3 14" xfId="918"/>
    <cellStyle name="60% - Accent3 15" xfId="919"/>
    <cellStyle name="60% - Accent3 16" xfId="920"/>
    <cellStyle name="60% - Accent3 17" xfId="921"/>
    <cellStyle name="60% - Accent3 18" xfId="922"/>
    <cellStyle name="60% - Accent3 19" xfId="923"/>
    <cellStyle name="60% - Accent3 2" xfId="924"/>
    <cellStyle name="60% - Accent3 2 10" xfId="925"/>
    <cellStyle name="60% - Accent3 2 2" xfId="926"/>
    <cellStyle name="60% - Accent3 2 2 2" xfId="927"/>
    <cellStyle name="60% - Accent3 2 2 2 2" xfId="928"/>
    <cellStyle name="60% - Accent3 2 2 2 2 2" xfId="929"/>
    <cellStyle name="60% - Accent3 2 2 2 2 3" xfId="930"/>
    <cellStyle name="60% - Accent3 2 2 2 3" xfId="931"/>
    <cellStyle name="60% - Accent3 2 2 2 4" xfId="932"/>
    <cellStyle name="60% - Accent3 2 2 2 5" xfId="933"/>
    <cellStyle name="60% - Accent3 2 2 2 6" xfId="934"/>
    <cellStyle name="60% - Accent3 2 2 3" xfId="935"/>
    <cellStyle name="60% - Accent3 2 2 4" xfId="936"/>
    <cellStyle name="60% - Accent3 2 2 5" xfId="937"/>
    <cellStyle name="60% - Accent3 2 2 6" xfId="938"/>
    <cellStyle name="60% - Accent3 2 3" xfId="939"/>
    <cellStyle name="60% - Accent3 2 4" xfId="940"/>
    <cellStyle name="60% - Accent3 2 5" xfId="941"/>
    <cellStyle name="60% - Accent3 2 6" xfId="942"/>
    <cellStyle name="60% - Accent3 2 7" xfId="943"/>
    <cellStyle name="60% - Accent3 2 8" xfId="944"/>
    <cellStyle name="60% - Accent3 2 9" xfId="945"/>
    <cellStyle name="60% - Accent3 20" xfId="946"/>
    <cellStyle name="60% - Accent3 21" xfId="947"/>
    <cellStyle name="60% - Accent3 22" xfId="948"/>
    <cellStyle name="60% - Accent3 23" xfId="949"/>
    <cellStyle name="60% - Accent3 3" xfId="950"/>
    <cellStyle name="60% - Accent3 4" xfId="951"/>
    <cellStyle name="60% - Accent3 5" xfId="952"/>
    <cellStyle name="60% - Accent3 6" xfId="953"/>
    <cellStyle name="60% - Accent3 7" xfId="954"/>
    <cellStyle name="60% - Accent3 8" xfId="955"/>
    <cellStyle name="60% - Accent3 9" xfId="956"/>
    <cellStyle name="60% - Accent4 10" xfId="957"/>
    <cellStyle name="60% - Accent4 11" xfId="958"/>
    <cellStyle name="60% - Accent4 12" xfId="959"/>
    <cellStyle name="60% - Accent4 13" xfId="960"/>
    <cellStyle name="60% - Accent4 14" xfId="961"/>
    <cellStyle name="60% - Accent4 15" xfId="962"/>
    <cellStyle name="60% - Accent4 16" xfId="963"/>
    <cellStyle name="60% - Accent4 17" xfId="964"/>
    <cellStyle name="60% - Accent4 18" xfId="965"/>
    <cellStyle name="60% - Accent4 19" xfId="966"/>
    <cellStyle name="60% - Accent4 2" xfId="967"/>
    <cellStyle name="60% - Accent4 2 10" xfId="968"/>
    <cellStyle name="60% - Accent4 2 2" xfId="969"/>
    <cellStyle name="60% - Accent4 2 2 2" xfId="970"/>
    <cellStyle name="60% - Accent4 2 2 2 2" xfId="971"/>
    <cellStyle name="60% - Accent4 2 2 2 2 2" xfId="972"/>
    <cellStyle name="60% - Accent4 2 2 2 2 3" xfId="973"/>
    <cellStyle name="60% - Accent4 2 2 2 3" xfId="974"/>
    <cellStyle name="60% - Accent4 2 2 2 4" xfId="975"/>
    <cellStyle name="60% - Accent4 2 2 2 5" xfId="976"/>
    <cellStyle name="60% - Accent4 2 2 2 6" xfId="977"/>
    <cellStyle name="60% - Accent4 2 2 3" xfId="978"/>
    <cellStyle name="60% - Accent4 2 2 4" xfId="979"/>
    <cellStyle name="60% - Accent4 2 2 5" xfId="980"/>
    <cellStyle name="60% - Accent4 2 2 6" xfId="981"/>
    <cellStyle name="60% - Accent4 2 3" xfId="982"/>
    <cellStyle name="60% - Accent4 2 4" xfId="983"/>
    <cellStyle name="60% - Accent4 2 5" xfId="984"/>
    <cellStyle name="60% - Accent4 2 6" xfId="985"/>
    <cellStyle name="60% - Accent4 2 7" xfId="986"/>
    <cellStyle name="60% - Accent4 2 8" xfId="987"/>
    <cellStyle name="60% - Accent4 2 9" xfId="988"/>
    <cellStyle name="60% - Accent4 20" xfId="989"/>
    <cellStyle name="60% - Accent4 21" xfId="990"/>
    <cellStyle name="60% - Accent4 22" xfId="991"/>
    <cellStyle name="60% - Accent4 23" xfId="992"/>
    <cellStyle name="60% - Accent4 3" xfId="993"/>
    <cellStyle name="60% - Accent4 4" xfId="994"/>
    <cellStyle name="60% - Accent4 5" xfId="995"/>
    <cellStyle name="60% - Accent4 6" xfId="996"/>
    <cellStyle name="60% - Accent4 7" xfId="997"/>
    <cellStyle name="60% - Accent4 8" xfId="998"/>
    <cellStyle name="60% - Accent4 9" xfId="999"/>
    <cellStyle name="60% - Accent5 10" xfId="1000"/>
    <cellStyle name="60% - Accent5 11" xfId="1001"/>
    <cellStyle name="60% - Accent5 12" xfId="1002"/>
    <cellStyle name="60% - Accent5 13" xfId="1003"/>
    <cellStyle name="60% - Accent5 14" xfId="1004"/>
    <cellStyle name="60% - Accent5 15" xfId="1005"/>
    <cellStyle name="60% - Accent5 16" xfId="1006"/>
    <cellStyle name="60% - Accent5 17" xfId="1007"/>
    <cellStyle name="60% - Accent5 18" xfId="1008"/>
    <cellStyle name="60% - Accent5 19" xfId="1009"/>
    <cellStyle name="60% - Accent5 2" xfId="1010"/>
    <cellStyle name="60% - Accent5 2 10" xfId="1011"/>
    <cellStyle name="60% - Accent5 2 2" xfId="1012"/>
    <cellStyle name="60% - Accent5 2 2 2" xfId="1013"/>
    <cellStyle name="60% - Accent5 2 2 2 2" xfId="1014"/>
    <cellStyle name="60% - Accent5 2 2 2 2 2" xfId="1015"/>
    <cellStyle name="60% - Accent5 2 2 2 2 3" xfId="1016"/>
    <cellStyle name="60% - Accent5 2 2 2 3" xfId="1017"/>
    <cellStyle name="60% - Accent5 2 2 2 4" xfId="1018"/>
    <cellStyle name="60% - Accent5 2 2 2 5" xfId="1019"/>
    <cellStyle name="60% - Accent5 2 2 2 6" xfId="1020"/>
    <cellStyle name="60% - Accent5 2 2 3" xfId="1021"/>
    <cellStyle name="60% - Accent5 2 2 4" xfId="1022"/>
    <cellStyle name="60% - Accent5 2 2 5" xfId="1023"/>
    <cellStyle name="60% - Accent5 2 2 6" xfId="1024"/>
    <cellStyle name="60% - Accent5 2 3" xfId="1025"/>
    <cellStyle name="60% - Accent5 2 4" xfId="1026"/>
    <cellStyle name="60% - Accent5 2 5" xfId="1027"/>
    <cellStyle name="60% - Accent5 2 6" xfId="1028"/>
    <cellStyle name="60% - Accent5 2 7" xfId="1029"/>
    <cellStyle name="60% - Accent5 2 8" xfId="1030"/>
    <cellStyle name="60% - Accent5 2 9" xfId="1031"/>
    <cellStyle name="60% - Accent5 20" xfId="1032"/>
    <cellStyle name="60% - Accent5 21" xfId="1033"/>
    <cellStyle name="60% - Accent5 22" xfId="1034"/>
    <cellStyle name="60% - Accent5 23" xfId="1035"/>
    <cellStyle name="60% - Accent5 3" xfId="1036"/>
    <cellStyle name="60% - Accent5 4" xfId="1037"/>
    <cellStyle name="60% - Accent5 5" xfId="1038"/>
    <cellStyle name="60% - Accent5 6" xfId="1039"/>
    <cellStyle name="60% - Accent5 7" xfId="1040"/>
    <cellStyle name="60% - Accent5 8" xfId="1041"/>
    <cellStyle name="60% - Accent5 9" xfId="1042"/>
    <cellStyle name="60% - Accent6 10" xfId="1043"/>
    <cellStyle name="60% - Accent6 11" xfId="1044"/>
    <cellStyle name="60% - Accent6 12" xfId="1045"/>
    <cellStyle name="60% - Accent6 13" xfId="1046"/>
    <cellStyle name="60% - Accent6 14" xfId="1047"/>
    <cellStyle name="60% - Accent6 15" xfId="1048"/>
    <cellStyle name="60% - Accent6 16" xfId="1049"/>
    <cellStyle name="60% - Accent6 17" xfId="1050"/>
    <cellStyle name="60% - Accent6 18" xfId="1051"/>
    <cellStyle name="60% - Accent6 19" xfId="1052"/>
    <cellStyle name="60% - Accent6 2" xfId="1053"/>
    <cellStyle name="60% - Accent6 2 10" xfId="1054"/>
    <cellStyle name="60% - Accent6 2 2" xfId="1055"/>
    <cellStyle name="60% - Accent6 2 2 2" xfId="1056"/>
    <cellStyle name="60% - Accent6 2 2 2 2" xfId="1057"/>
    <cellStyle name="60% - Accent6 2 2 2 2 2" xfId="1058"/>
    <cellStyle name="60% - Accent6 2 2 2 2 3" xfId="1059"/>
    <cellStyle name="60% - Accent6 2 2 2 3" xfId="1060"/>
    <cellStyle name="60% - Accent6 2 2 2 4" xfId="1061"/>
    <cellStyle name="60% - Accent6 2 2 2 5" xfId="1062"/>
    <cellStyle name="60% - Accent6 2 2 2 6" xfId="1063"/>
    <cellStyle name="60% - Accent6 2 2 3" xfId="1064"/>
    <cellStyle name="60% - Accent6 2 2 4" xfId="1065"/>
    <cellStyle name="60% - Accent6 2 2 5" xfId="1066"/>
    <cellStyle name="60% - Accent6 2 2 6" xfId="1067"/>
    <cellStyle name="60% - Accent6 2 3" xfId="1068"/>
    <cellStyle name="60% - Accent6 2 4" xfId="1069"/>
    <cellStyle name="60% - Accent6 2 5" xfId="1070"/>
    <cellStyle name="60% - Accent6 2 6" xfId="1071"/>
    <cellStyle name="60% - Accent6 2 7" xfId="1072"/>
    <cellStyle name="60% - Accent6 2 8" xfId="1073"/>
    <cellStyle name="60% - Accent6 2 9" xfId="1074"/>
    <cellStyle name="60% - Accent6 20" xfId="1075"/>
    <cellStyle name="60% - Accent6 21" xfId="1076"/>
    <cellStyle name="60% - Accent6 22" xfId="1077"/>
    <cellStyle name="60% - Accent6 23" xfId="1078"/>
    <cellStyle name="60% - Accent6 3" xfId="1079"/>
    <cellStyle name="60% - Accent6 4" xfId="1080"/>
    <cellStyle name="60% - Accent6 5" xfId="1081"/>
    <cellStyle name="60% - Accent6 6" xfId="1082"/>
    <cellStyle name="60% - Accent6 7" xfId="1083"/>
    <cellStyle name="60% - Accent6 8" xfId="1084"/>
    <cellStyle name="60% - Accent6 9" xfId="1085"/>
    <cellStyle name="Accent1 10" xfId="1086"/>
    <cellStyle name="Accent1 11" xfId="1087"/>
    <cellStyle name="Accent1 12" xfId="1088"/>
    <cellStyle name="Accent1 13" xfId="1089"/>
    <cellStyle name="Accent1 14" xfId="1090"/>
    <cellStyle name="Accent1 15" xfId="1091"/>
    <cellStyle name="Accent1 16" xfId="1092"/>
    <cellStyle name="Accent1 17" xfId="1093"/>
    <cellStyle name="Accent1 18" xfId="1094"/>
    <cellStyle name="Accent1 19" xfId="1095"/>
    <cellStyle name="Accent1 2" xfId="1096"/>
    <cellStyle name="Accent1 2 10" xfId="1097"/>
    <cellStyle name="Accent1 2 2" xfId="1098"/>
    <cellStyle name="Accent1 2 2 2" xfId="1099"/>
    <cellStyle name="Accent1 2 2 2 2" xfId="1100"/>
    <cellStyle name="Accent1 2 2 2 2 2" xfId="1101"/>
    <cellStyle name="Accent1 2 2 2 2 3" xfId="1102"/>
    <cellStyle name="Accent1 2 2 2 3" xfId="1103"/>
    <cellStyle name="Accent1 2 2 2 4" xfId="1104"/>
    <cellStyle name="Accent1 2 2 2 5" xfId="1105"/>
    <cellStyle name="Accent1 2 2 2 6" xfId="1106"/>
    <cellStyle name="Accent1 2 2 3" xfId="1107"/>
    <cellStyle name="Accent1 2 2 4" xfId="1108"/>
    <cellStyle name="Accent1 2 2 5" xfId="1109"/>
    <cellStyle name="Accent1 2 2 6" xfId="1110"/>
    <cellStyle name="Accent1 2 3" xfId="1111"/>
    <cellStyle name="Accent1 2 4" xfId="1112"/>
    <cellStyle name="Accent1 2 5" xfId="1113"/>
    <cellStyle name="Accent1 2 6" xfId="1114"/>
    <cellStyle name="Accent1 2 7" xfId="1115"/>
    <cellStyle name="Accent1 2 8" xfId="1116"/>
    <cellStyle name="Accent1 2 9" xfId="1117"/>
    <cellStyle name="Accent1 20" xfId="1118"/>
    <cellStyle name="Accent1 21" xfId="1119"/>
    <cellStyle name="Accent1 22" xfId="1120"/>
    <cellStyle name="Accent1 23" xfId="1121"/>
    <cellStyle name="Accent1 3" xfId="1122"/>
    <cellStyle name="Accent1 4" xfId="1123"/>
    <cellStyle name="Accent1 5" xfId="1124"/>
    <cellStyle name="Accent1 6" xfId="1125"/>
    <cellStyle name="Accent1 7" xfId="1126"/>
    <cellStyle name="Accent1 8" xfId="1127"/>
    <cellStyle name="Accent1 9" xfId="1128"/>
    <cellStyle name="Accent2 10" xfId="1129"/>
    <cellStyle name="Accent2 11" xfId="1130"/>
    <cellStyle name="Accent2 12" xfId="1131"/>
    <cellStyle name="Accent2 13" xfId="1132"/>
    <cellStyle name="Accent2 14" xfId="1133"/>
    <cellStyle name="Accent2 15" xfId="1134"/>
    <cellStyle name="Accent2 16" xfId="1135"/>
    <cellStyle name="Accent2 17" xfId="1136"/>
    <cellStyle name="Accent2 18" xfId="1137"/>
    <cellStyle name="Accent2 19" xfId="1138"/>
    <cellStyle name="Accent2 2" xfId="1139"/>
    <cellStyle name="Accent2 2 10" xfId="1140"/>
    <cellStyle name="Accent2 2 2" xfId="1141"/>
    <cellStyle name="Accent2 2 2 2" xfId="1142"/>
    <cellStyle name="Accent2 2 2 2 2" xfId="1143"/>
    <cellStyle name="Accent2 2 2 2 2 2" xfId="1144"/>
    <cellStyle name="Accent2 2 2 2 2 3" xfId="1145"/>
    <cellStyle name="Accent2 2 2 2 3" xfId="1146"/>
    <cellStyle name="Accent2 2 2 2 4" xfId="1147"/>
    <cellStyle name="Accent2 2 2 2 5" xfId="1148"/>
    <cellStyle name="Accent2 2 2 2 6" xfId="1149"/>
    <cellStyle name="Accent2 2 2 3" xfId="1150"/>
    <cellStyle name="Accent2 2 2 4" xfId="1151"/>
    <cellStyle name="Accent2 2 2 5" xfId="1152"/>
    <cellStyle name="Accent2 2 2 6" xfId="1153"/>
    <cellStyle name="Accent2 2 3" xfId="1154"/>
    <cellStyle name="Accent2 2 4" xfId="1155"/>
    <cellStyle name="Accent2 2 5" xfId="1156"/>
    <cellStyle name="Accent2 2 6" xfId="1157"/>
    <cellStyle name="Accent2 2 7" xfId="1158"/>
    <cellStyle name="Accent2 2 8" xfId="1159"/>
    <cellStyle name="Accent2 2 9" xfId="1160"/>
    <cellStyle name="Accent2 20" xfId="1161"/>
    <cellStyle name="Accent2 21" xfId="1162"/>
    <cellStyle name="Accent2 22" xfId="1163"/>
    <cellStyle name="Accent2 23" xfId="1164"/>
    <cellStyle name="Accent2 3" xfId="1165"/>
    <cellStyle name="Accent2 4" xfId="1166"/>
    <cellStyle name="Accent2 5" xfId="1167"/>
    <cellStyle name="Accent2 6" xfId="1168"/>
    <cellStyle name="Accent2 7" xfId="1169"/>
    <cellStyle name="Accent2 8" xfId="1170"/>
    <cellStyle name="Accent2 9" xfId="1171"/>
    <cellStyle name="Accent3 10" xfId="1172"/>
    <cellStyle name="Accent3 11" xfId="1173"/>
    <cellStyle name="Accent3 12" xfId="1174"/>
    <cellStyle name="Accent3 13" xfId="1175"/>
    <cellStyle name="Accent3 14" xfId="1176"/>
    <cellStyle name="Accent3 15" xfId="1177"/>
    <cellStyle name="Accent3 16" xfId="1178"/>
    <cellStyle name="Accent3 17" xfId="1179"/>
    <cellStyle name="Accent3 18" xfId="1180"/>
    <cellStyle name="Accent3 19" xfId="1181"/>
    <cellStyle name="Accent3 2" xfId="1182"/>
    <cellStyle name="Accent3 2 10" xfId="1183"/>
    <cellStyle name="Accent3 2 2" xfId="1184"/>
    <cellStyle name="Accent3 2 2 2" xfId="1185"/>
    <cellStyle name="Accent3 2 2 2 2" xfId="1186"/>
    <cellStyle name="Accent3 2 2 2 2 2" xfId="1187"/>
    <cellStyle name="Accent3 2 2 2 2 3" xfId="1188"/>
    <cellStyle name="Accent3 2 2 2 3" xfId="1189"/>
    <cellStyle name="Accent3 2 2 2 4" xfId="1190"/>
    <cellStyle name="Accent3 2 2 2 5" xfId="1191"/>
    <cellStyle name="Accent3 2 2 2 6" xfId="1192"/>
    <cellStyle name="Accent3 2 2 3" xfId="1193"/>
    <cellStyle name="Accent3 2 2 4" xfId="1194"/>
    <cellStyle name="Accent3 2 2 5" xfId="1195"/>
    <cellStyle name="Accent3 2 2 6" xfId="1196"/>
    <cellStyle name="Accent3 2 3" xfId="1197"/>
    <cellStyle name="Accent3 2 4" xfId="1198"/>
    <cellStyle name="Accent3 2 5" xfId="1199"/>
    <cellStyle name="Accent3 2 6" xfId="1200"/>
    <cellStyle name="Accent3 2 7" xfId="1201"/>
    <cellStyle name="Accent3 2 8" xfId="1202"/>
    <cellStyle name="Accent3 2 9" xfId="1203"/>
    <cellStyle name="Accent3 20" xfId="1204"/>
    <cellStyle name="Accent3 21" xfId="1205"/>
    <cellStyle name="Accent3 22" xfId="1206"/>
    <cellStyle name="Accent3 23" xfId="1207"/>
    <cellStyle name="Accent3 3" xfId="1208"/>
    <cellStyle name="Accent3 4" xfId="1209"/>
    <cellStyle name="Accent3 5" xfId="1210"/>
    <cellStyle name="Accent3 6" xfId="1211"/>
    <cellStyle name="Accent3 7" xfId="1212"/>
    <cellStyle name="Accent3 8" xfId="1213"/>
    <cellStyle name="Accent3 9" xfId="1214"/>
    <cellStyle name="Accent4 10" xfId="1215"/>
    <cellStyle name="Accent4 11" xfId="1216"/>
    <cellStyle name="Accent4 12" xfId="1217"/>
    <cellStyle name="Accent4 13" xfId="1218"/>
    <cellStyle name="Accent4 14" xfId="1219"/>
    <cellStyle name="Accent4 15" xfId="1220"/>
    <cellStyle name="Accent4 16" xfId="1221"/>
    <cellStyle name="Accent4 17" xfId="1222"/>
    <cellStyle name="Accent4 18" xfId="1223"/>
    <cellStyle name="Accent4 19" xfId="1224"/>
    <cellStyle name="Accent4 2" xfId="1225"/>
    <cellStyle name="Accent4 2 10" xfId="1226"/>
    <cellStyle name="Accent4 2 2" xfId="1227"/>
    <cellStyle name="Accent4 2 2 2" xfId="1228"/>
    <cellStyle name="Accent4 2 2 2 2" xfId="1229"/>
    <cellStyle name="Accent4 2 2 2 2 2" xfId="1230"/>
    <cellStyle name="Accent4 2 2 2 2 3" xfId="1231"/>
    <cellStyle name="Accent4 2 2 2 3" xfId="1232"/>
    <cellStyle name="Accent4 2 2 2 4" xfId="1233"/>
    <cellStyle name="Accent4 2 2 2 5" xfId="1234"/>
    <cellStyle name="Accent4 2 2 2 6" xfId="1235"/>
    <cellStyle name="Accent4 2 2 3" xfId="1236"/>
    <cellStyle name="Accent4 2 2 4" xfId="1237"/>
    <cellStyle name="Accent4 2 2 5" xfId="1238"/>
    <cellStyle name="Accent4 2 2 6" xfId="1239"/>
    <cellStyle name="Accent4 2 3" xfId="1240"/>
    <cellStyle name="Accent4 2 4" xfId="1241"/>
    <cellStyle name="Accent4 2 5" xfId="1242"/>
    <cellStyle name="Accent4 2 6" xfId="1243"/>
    <cellStyle name="Accent4 2 7" xfId="1244"/>
    <cellStyle name="Accent4 2 8" xfId="1245"/>
    <cellStyle name="Accent4 2 9" xfId="1246"/>
    <cellStyle name="Accent4 20" xfId="1247"/>
    <cellStyle name="Accent4 21" xfId="1248"/>
    <cellStyle name="Accent4 22" xfId="1249"/>
    <cellStyle name="Accent4 23" xfId="1250"/>
    <cellStyle name="Accent4 3" xfId="1251"/>
    <cellStyle name="Accent4 4" xfId="1252"/>
    <cellStyle name="Accent4 5" xfId="1253"/>
    <cellStyle name="Accent4 6" xfId="1254"/>
    <cellStyle name="Accent4 7" xfId="1255"/>
    <cellStyle name="Accent4 8" xfId="1256"/>
    <cellStyle name="Accent4 9" xfId="1257"/>
    <cellStyle name="Accent5 10" xfId="1258"/>
    <cellStyle name="Accent5 11" xfId="1259"/>
    <cellStyle name="Accent5 12" xfId="1260"/>
    <cellStyle name="Accent5 13" xfId="1261"/>
    <cellStyle name="Accent5 14" xfId="1262"/>
    <cellStyle name="Accent5 15" xfId="1263"/>
    <cellStyle name="Accent5 16" xfId="1264"/>
    <cellStyle name="Accent5 17" xfId="1265"/>
    <cellStyle name="Accent5 18" xfId="1266"/>
    <cellStyle name="Accent5 19" xfId="1267"/>
    <cellStyle name="Accent5 2" xfId="1268"/>
    <cellStyle name="Accent5 2 10" xfId="1269"/>
    <cellStyle name="Accent5 2 2" xfId="1270"/>
    <cellStyle name="Accent5 2 2 2" xfId="1271"/>
    <cellStyle name="Accent5 2 2 2 2" xfId="1272"/>
    <cellStyle name="Accent5 2 2 2 2 2" xfId="1273"/>
    <cellStyle name="Accent5 2 2 2 2 3" xfId="1274"/>
    <cellStyle name="Accent5 2 2 2 3" xfId="1275"/>
    <cellStyle name="Accent5 2 2 2 4" xfId="1276"/>
    <cellStyle name="Accent5 2 2 2 5" xfId="1277"/>
    <cellStyle name="Accent5 2 2 2 6" xfId="1278"/>
    <cellStyle name="Accent5 2 2 3" xfId="1279"/>
    <cellStyle name="Accent5 2 2 4" xfId="1280"/>
    <cellStyle name="Accent5 2 2 5" xfId="1281"/>
    <cellStyle name="Accent5 2 2 6" xfId="1282"/>
    <cellStyle name="Accent5 2 3" xfId="1283"/>
    <cellStyle name="Accent5 2 4" xfId="1284"/>
    <cellStyle name="Accent5 2 5" xfId="1285"/>
    <cellStyle name="Accent5 2 6" xfId="1286"/>
    <cellStyle name="Accent5 2 7" xfId="1287"/>
    <cellStyle name="Accent5 2 8" xfId="1288"/>
    <cellStyle name="Accent5 2 9" xfId="1289"/>
    <cellStyle name="Accent5 20" xfId="1290"/>
    <cellStyle name="Accent5 21" xfId="1291"/>
    <cellStyle name="Accent5 22" xfId="1292"/>
    <cellStyle name="Accent5 23" xfId="1293"/>
    <cellStyle name="Accent5 3" xfId="1294"/>
    <cellStyle name="Accent5 4" xfId="1295"/>
    <cellStyle name="Accent5 5" xfId="1296"/>
    <cellStyle name="Accent5 6" xfId="1297"/>
    <cellStyle name="Accent5 7" xfId="1298"/>
    <cellStyle name="Accent5 8" xfId="1299"/>
    <cellStyle name="Accent5 9" xfId="1300"/>
    <cellStyle name="Accent6 10" xfId="1301"/>
    <cellStyle name="Accent6 11" xfId="1302"/>
    <cellStyle name="Accent6 12" xfId="1303"/>
    <cellStyle name="Accent6 13" xfId="1304"/>
    <cellStyle name="Accent6 14" xfId="1305"/>
    <cellStyle name="Accent6 15" xfId="1306"/>
    <cellStyle name="Accent6 16" xfId="1307"/>
    <cellStyle name="Accent6 17" xfId="1308"/>
    <cellStyle name="Accent6 18" xfId="1309"/>
    <cellStyle name="Accent6 19" xfId="1310"/>
    <cellStyle name="Accent6 2" xfId="1311"/>
    <cellStyle name="Accent6 2 10" xfId="1312"/>
    <cellStyle name="Accent6 2 2" xfId="1313"/>
    <cellStyle name="Accent6 2 2 2" xfId="1314"/>
    <cellStyle name="Accent6 2 2 2 2" xfId="1315"/>
    <cellStyle name="Accent6 2 2 2 2 2" xfId="1316"/>
    <cellStyle name="Accent6 2 2 2 2 3" xfId="1317"/>
    <cellStyle name="Accent6 2 2 2 3" xfId="1318"/>
    <cellStyle name="Accent6 2 2 2 4" xfId="1319"/>
    <cellStyle name="Accent6 2 2 2 5" xfId="1320"/>
    <cellStyle name="Accent6 2 2 2 6" xfId="1321"/>
    <cellStyle name="Accent6 2 2 3" xfId="1322"/>
    <cellStyle name="Accent6 2 2 4" xfId="1323"/>
    <cellStyle name="Accent6 2 2 5" xfId="1324"/>
    <cellStyle name="Accent6 2 2 6" xfId="1325"/>
    <cellStyle name="Accent6 2 3" xfId="1326"/>
    <cellStyle name="Accent6 2 4" xfId="1327"/>
    <cellStyle name="Accent6 2 5" xfId="1328"/>
    <cellStyle name="Accent6 2 6" xfId="1329"/>
    <cellStyle name="Accent6 2 7" xfId="1330"/>
    <cellStyle name="Accent6 2 8" xfId="1331"/>
    <cellStyle name="Accent6 2 9" xfId="1332"/>
    <cellStyle name="Accent6 20" xfId="1333"/>
    <cellStyle name="Accent6 21" xfId="1334"/>
    <cellStyle name="Accent6 22" xfId="1335"/>
    <cellStyle name="Accent6 23" xfId="1336"/>
    <cellStyle name="Accent6 3" xfId="1337"/>
    <cellStyle name="Accent6 4" xfId="1338"/>
    <cellStyle name="Accent6 5" xfId="1339"/>
    <cellStyle name="Accent6 6" xfId="1340"/>
    <cellStyle name="Accent6 7" xfId="1341"/>
    <cellStyle name="Accent6 8" xfId="1342"/>
    <cellStyle name="Accent6 9" xfId="1343"/>
    <cellStyle name="Bad 10" xfId="1344"/>
    <cellStyle name="Bad 11" xfId="1345"/>
    <cellStyle name="Bad 12" xfId="1346"/>
    <cellStyle name="Bad 13" xfId="1347"/>
    <cellStyle name="Bad 14" xfId="1348"/>
    <cellStyle name="Bad 15" xfId="1349"/>
    <cellStyle name="Bad 16" xfId="1350"/>
    <cellStyle name="Bad 17" xfId="1351"/>
    <cellStyle name="Bad 18" xfId="1352"/>
    <cellStyle name="Bad 19" xfId="1353"/>
    <cellStyle name="Bad 2" xfId="1354"/>
    <cellStyle name="Bad 2 10" xfId="1355"/>
    <cellStyle name="Bad 2 2" xfId="1356"/>
    <cellStyle name="Bad 2 2 2" xfId="1357"/>
    <cellStyle name="Bad 2 2 2 2" xfId="1358"/>
    <cellStyle name="Bad 2 2 2 2 2" xfId="1359"/>
    <cellStyle name="Bad 2 2 2 2 3" xfId="1360"/>
    <cellStyle name="Bad 2 2 2 3" xfId="1361"/>
    <cellStyle name="Bad 2 2 2 4" xfId="1362"/>
    <cellStyle name="Bad 2 2 2 5" xfId="1363"/>
    <cellStyle name="Bad 2 2 2 6" xfId="1364"/>
    <cellStyle name="Bad 2 2 3" xfId="1365"/>
    <cellStyle name="Bad 2 2 4" xfId="1366"/>
    <cellStyle name="Bad 2 2 5" xfId="1367"/>
    <cellStyle name="Bad 2 2 6" xfId="1368"/>
    <cellStyle name="Bad 2 3" xfId="1369"/>
    <cellStyle name="Bad 2 4" xfId="1370"/>
    <cellStyle name="Bad 2 5" xfId="1371"/>
    <cellStyle name="Bad 2 6" xfId="1372"/>
    <cellStyle name="Bad 2 7" xfId="1373"/>
    <cellStyle name="Bad 2 8" xfId="1374"/>
    <cellStyle name="Bad 2 9" xfId="1375"/>
    <cellStyle name="Bad 20" xfId="1376"/>
    <cellStyle name="Bad 21" xfId="1377"/>
    <cellStyle name="Bad 22" xfId="1378"/>
    <cellStyle name="Bad 23" xfId="1379"/>
    <cellStyle name="Bad 3" xfId="1380"/>
    <cellStyle name="Bad 4" xfId="1381"/>
    <cellStyle name="Bad 5" xfId="1382"/>
    <cellStyle name="Bad 6" xfId="1383"/>
    <cellStyle name="Bad 7" xfId="1384"/>
    <cellStyle name="Bad 8" xfId="1385"/>
    <cellStyle name="Bad 9" xfId="1386"/>
    <cellStyle name="Calculation 10" xfId="1387"/>
    <cellStyle name="Calculation 11" xfId="1388"/>
    <cellStyle name="Calculation 12" xfId="1389"/>
    <cellStyle name="Calculation 13" xfId="1390"/>
    <cellStyle name="Calculation 14" xfId="1391"/>
    <cellStyle name="Calculation 15" xfId="1392"/>
    <cellStyle name="Calculation 16" xfId="1393"/>
    <cellStyle name="Calculation 17" xfId="1394"/>
    <cellStyle name="Calculation 18" xfId="1395"/>
    <cellStyle name="Calculation 19" xfId="1396"/>
    <cellStyle name="Calculation 2" xfId="1397"/>
    <cellStyle name="Calculation 2 10" xfId="1398"/>
    <cellStyle name="Calculation 2 2" xfId="1399"/>
    <cellStyle name="Calculation 2 2 2" xfId="1400"/>
    <cellStyle name="Calculation 2 2 2 2" xfId="1401"/>
    <cellStyle name="Calculation 2 2 2 2 2" xfId="1402"/>
    <cellStyle name="Calculation 2 2 2 2 3" xfId="1403"/>
    <cellStyle name="Calculation 2 2 2 3" xfId="1404"/>
    <cellStyle name="Calculation 2 2 2 4" xfId="1405"/>
    <cellStyle name="Calculation 2 2 2 5" xfId="1406"/>
    <cellStyle name="Calculation 2 2 2 6" xfId="1407"/>
    <cellStyle name="Calculation 2 2 3" xfId="1408"/>
    <cellStyle name="Calculation 2 2 4" xfId="1409"/>
    <cellStyle name="Calculation 2 2 5" xfId="1410"/>
    <cellStyle name="Calculation 2 2 6" xfId="1411"/>
    <cellStyle name="Calculation 2 3" xfId="1412"/>
    <cellStyle name="Calculation 2 4" xfId="1413"/>
    <cellStyle name="Calculation 2 5" xfId="1414"/>
    <cellStyle name="Calculation 2 6" xfId="1415"/>
    <cellStyle name="Calculation 2 7" xfId="1416"/>
    <cellStyle name="Calculation 2 8" xfId="1417"/>
    <cellStyle name="Calculation 2 9" xfId="1418"/>
    <cellStyle name="Calculation 20" xfId="1419"/>
    <cellStyle name="Calculation 21" xfId="1420"/>
    <cellStyle name="Calculation 22" xfId="1421"/>
    <cellStyle name="Calculation 23" xfId="1422"/>
    <cellStyle name="Calculation 3" xfId="1423"/>
    <cellStyle name="Calculation 4" xfId="1424"/>
    <cellStyle name="Calculation 5" xfId="1425"/>
    <cellStyle name="Calculation 6" xfId="1426"/>
    <cellStyle name="Calculation 7" xfId="1427"/>
    <cellStyle name="Calculation 8" xfId="1428"/>
    <cellStyle name="Calculation 9" xfId="1429"/>
    <cellStyle name="Check Cell 10" xfId="1430"/>
    <cellStyle name="Check Cell 11" xfId="1431"/>
    <cellStyle name="Check Cell 12" xfId="1432"/>
    <cellStyle name="Check Cell 13" xfId="1433"/>
    <cellStyle name="Check Cell 14" xfId="1434"/>
    <cellStyle name="Check Cell 15" xfId="1435"/>
    <cellStyle name="Check Cell 16" xfId="1436"/>
    <cellStyle name="Check Cell 17" xfId="1437"/>
    <cellStyle name="Check Cell 18" xfId="1438"/>
    <cellStyle name="Check Cell 19" xfId="1439"/>
    <cellStyle name="Check Cell 2" xfId="1440"/>
    <cellStyle name="Check Cell 2 10" xfId="1441"/>
    <cellStyle name="Check Cell 2 2" xfId="1442"/>
    <cellStyle name="Check Cell 2 2 2" xfId="1443"/>
    <cellStyle name="Check Cell 2 2 2 2" xfId="1444"/>
    <cellStyle name="Check Cell 2 2 2 2 2" xfId="1445"/>
    <cellStyle name="Check Cell 2 2 2 2 3" xfId="1446"/>
    <cellStyle name="Check Cell 2 2 2 3" xfId="1447"/>
    <cellStyle name="Check Cell 2 2 2 4" xfId="1448"/>
    <cellStyle name="Check Cell 2 2 2 5" xfId="1449"/>
    <cellStyle name="Check Cell 2 2 2 6" xfId="1450"/>
    <cellStyle name="Check Cell 2 2 3" xfId="1451"/>
    <cellStyle name="Check Cell 2 2 4" xfId="1452"/>
    <cellStyle name="Check Cell 2 2 5" xfId="1453"/>
    <cellStyle name="Check Cell 2 2 6" xfId="1454"/>
    <cellStyle name="Check Cell 2 3" xfId="1455"/>
    <cellStyle name="Check Cell 2 4" xfId="1456"/>
    <cellStyle name="Check Cell 2 5" xfId="1457"/>
    <cellStyle name="Check Cell 2 6" xfId="1458"/>
    <cellStyle name="Check Cell 2 7" xfId="1459"/>
    <cellStyle name="Check Cell 2 8" xfId="1460"/>
    <cellStyle name="Check Cell 2 9" xfId="1461"/>
    <cellStyle name="Check Cell 20" xfId="1462"/>
    <cellStyle name="Check Cell 21" xfId="1463"/>
    <cellStyle name="Check Cell 22" xfId="1464"/>
    <cellStyle name="Check Cell 23" xfId="1465"/>
    <cellStyle name="Check Cell 3" xfId="1466"/>
    <cellStyle name="Check Cell 4" xfId="1467"/>
    <cellStyle name="Check Cell 5" xfId="1468"/>
    <cellStyle name="Check Cell 6" xfId="1469"/>
    <cellStyle name="Check Cell 7" xfId="1470"/>
    <cellStyle name="Check Cell 8" xfId="1471"/>
    <cellStyle name="Check Cell 9" xfId="1472"/>
    <cellStyle name="ColumnAttributeAbovePrompt" xfId="1473"/>
    <cellStyle name="ColumnAttributePrompt" xfId="1474"/>
    <cellStyle name="ColumnAttributeValue" xfId="1475"/>
    <cellStyle name="ColumnHeadingPrompt" xfId="1476"/>
    <cellStyle name="ColumnHeadingValue" xfId="1477"/>
    <cellStyle name="Comma" xfId="1" builtinId="3"/>
    <cellStyle name="Comma 10" xfId="1478"/>
    <cellStyle name="Comma 11" xfId="1479"/>
    <cellStyle name="Comma 12" xfId="1480"/>
    <cellStyle name="Comma 13" xfId="1481"/>
    <cellStyle name="Comma 14" xfId="1482"/>
    <cellStyle name="Comma 15" xfId="1483"/>
    <cellStyle name="Comma 16" xfId="1484"/>
    <cellStyle name="Comma 17" xfId="1485"/>
    <cellStyle name="Comma 18" xfId="8"/>
    <cellStyle name="Comma 2" xfId="5"/>
    <cellStyle name="Comma 2 10" xfId="1486"/>
    <cellStyle name="Comma 2 11" xfId="1487"/>
    <cellStyle name="Comma 2 12" xfId="1488"/>
    <cellStyle name="Comma 2 13" xfId="1489"/>
    <cellStyle name="Comma 2 14" xfId="1490"/>
    <cellStyle name="Comma 2 15" xfId="1491"/>
    <cellStyle name="Comma 2 16" xfId="1492"/>
    <cellStyle name="Comma 2 17" xfId="1493"/>
    <cellStyle name="Comma 2 18" xfId="1494"/>
    <cellStyle name="Comma 2 19" xfId="1495"/>
    <cellStyle name="Comma 2 2" xfId="1496"/>
    <cellStyle name="Comma 2 20" xfId="1497"/>
    <cellStyle name="Comma 2 21" xfId="1498"/>
    <cellStyle name="Comma 2 22" xfId="1499"/>
    <cellStyle name="Comma 2 3" xfId="1500"/>
    <cellStyle name="Comma 2 4" xfId="1501"/>
    <cellStyle name="Comma 2 5" xfId="1502"/>
    <cellStyle name="Comma 2 6" xfId="1503"/>
    <cellStyle name="Comma 2 7" xfId="1504"/>
    <cellStyle name="Comma 2 8" xfId="1505"/>
    <cellStyle name="Comma 2 9" xfId="1506"/>
    <cellStyle name="Comma 3" xfId="10"/>
    <cellStyle name="Comma 3 2" xfId="1507"/>
    <cellStyle name="Comma 3 3" xfId="1508"/>
    <cellStyle name="Comma 3 4" xfId="1509"/>
    <cellStyle name="Comma 3 5" xfId="1510"/>
    <cellStyle name="Comma 4" xfId="1511"/>
    <cellStyle name="Comma 4 2" xfId="1512"/>
    <cellStyle name="Comma 4 3" xfId="1513"/>
    <cellStyle name="Comma 4 4" xfId="1514"/>
    <cellStyle name="Comma 4 5" xfId="1515"/>
    <cellStyle name="Comma 5" xfId="1516"/>
    <cellStyle name="Comma 6" xfId="1517"/>
    <cellStyle name="Comma 7" xfId="1518"/>
    <cellStyle name="Comma 8" xfId="1519"/>
    <cellStyle name="Comma 9" xfId="1520"/>
    <cellStyle name="Comma0" xfId="1521"/>
    <cellStyle name="Currency" xfId="2" builtinId="4"/>
    <cellStyle name="Currency 2" xfId="11"/>
    <cellStyle name="Currency 2 2" xfId="1522"/>
    <cellStyle name="Currency 2 2 2" xfId="1523"/>
    <cellStyle name="Currency 2 2 3" xfId="1524"/>
    <cellStyle name="Currency 2 3" xfId="1525"/>
    <cellStyle name="Currency 2 4" xfId="1526"/>
    <cellStyle name="Currency 2 5" xfId="1527"/>
    <cellStyle name="Currency 2 6" xfId="1528"/>
    <cellStyle name="Currency 3" xfId="1529"/>
    <cellStyle name="Currency 3 2" xfId="1530"/>
    <cellStyle name="Currency 3 3" xfId="1531"/>
    <cellStyle name="Currency 3 4" xfId="1532"/>
    <cellStyle name="Currency 3 5" xfId="1533"/>
    <cellStyle name="Currency 4" xfId="1534"/>
    <cellStyle name="Currency 5" xfId="2384"/>
    <cellStyle name="Currency0" xfId="1535"/>
    <cellStyle name="Date" xfId="1536"/>
    <cellStyle name="Euro" xfId="1537"/>
    <cellStyle name="Explanatory Text 10" xfId="1538"/>
    <cellStyle name="Explanatory Text 11" xfId="1539"/>
    <cellStyle name="Explanatory Text 12" xfId="1540"/>
    <cellStyle name="Explanatory Text 13" xfId="1541"/>
    <cellStyle name="Explanatory Text 14" xfId="1542"/>
    <cellStyle name="Explanatory Text 15" xfId="1543"/>
    <cellStyle name="Explanatory Text 16" xfId="1544"/>
    <cellStyle name="Explanatory Text 17" xfId="1545"/>
    <cellStyle name="Explanatory Text 18" xfId="1546"/>
    <cellStyle name="Explanatory Text 19" xfId="1547"/>
    <cellStyle name="Explanatory Text 2" xfId="1548"/>
    <cellStyle name="Explanatory Text 2 10" xfId="1549"/>
    <cellStyle name="Explanatory Text 2 2" xfId="1550"/>
    <cellStyle name="Explanatory Text 2 2 2" xfId="1551"/>
    <cellStyle name="Explanatory Text 2 2 2 2" xfId="1552"/>
    <cellStyle name="Explanatory Text 2 2 2 2 2" xfId="1553"/>
    <cellStyle name="Explanatory Text 2 2 2 2 3" xfId="1554"/>
    <cellStyle name="Explanatory Text 2 2 2 3" xfId="1555"/>
    <cellStyle name="Explanatory Text 2 2 2 4" xfId="1556"/>
    <cellStyle name="Explanatory Text 2 2 2 5" xfId="1557"/>
    <cellStyle name="Explanatory Text 2 2 2 6" xfId="1558"/>
    <cellStyle name="Explanatory Text 2 2 3" xfId="1559"/>
    <cellStyle name="Explanatory Text 2 2 4" xfId="1560"/>
    <cellStyle name="Explanatory Text 2 2 5" xfId="1561"/>
    <cellStyle name="Explanatory Text 2 2 6" xfId="1562"/>
    <cellStyle name="Explanatory Text 2 3" xfId="1563"/>
    <cellStyle name="Explanatory Text 2 4" xfId="1564"/>
    <cellStyle name="Explanatory Text 2 5" xfId="1565"/>
    <cellStyle name="Explanatory Text 2 6" xfId="1566"/>
    <cellStyle name="Explanatory Text 2 7" xfId="1567"/>
    <cellStyle name="Explanatory Text 2 8" xfId="1568"/>
    <cellStyle name="Explanatory Text 2 9" xfId="1569"/>
    <cellStyle name="Explanatory Text 20" xfId="1570"/>
    <cellStyle name="Explanatory Text 21" xfId="1571"/>
    <cellStyle name="Explanatory Text 22" xfId="1572"/>
    <cellStyle name="Explanatory Text 23" xfId="1573"/>
    <cellStyle name="Explanatory Text 3" xfId="1574"/>
    <cellStyle name="Explanatory Text 4" xfId="1575"/>
    <cellStyle name="Explanatory Text 5" xfId="1576"/>
    <cellStyle name="Explanatory Text 6" xfId="1577"/>
    <cellStyle name="Explanatory Text 7" xfId="1578"/>
    <cellStyle name="Explanatory Text 8" xfId="1579"/>
    <cellStyle name="Explanatory Text 9" xfId="1580"/>
    <cellStyle name="F2" xfId="1581"/>
    <cellStyle name="F2 2" xfId="1582"/>
    <cellStyle name="F2 3" xfId="1583"/>
    <cellStyle name="F2 4" xfId="1584"/>
    <cellStyle name="F2 5" xfId="1585"/>
    <cellStyle name="F2 6" xfId="1586"/>
    <cellStyle name="F2 7" xfId="1587"/>
    <cellStyle name="F3" xfId="1588"/>
    <cellStyle name="F3 2" xfId="1589"/>
    <cellStyle name="F3 3" xfId="1590"/>
    <cellStyle name="F3 4" xfId="1591"/>
    <cellStyle name="F3 5" xfId="1592"/>
    <cellStyle name="F3 6" xfId="1593"/>
    <cellStyle name="F3 7" xfId="1594"/>
    <cellStyle name="F4" xfId="1595"/>
    <cellStyle name="F4 2" xfId="1596"/>
    <cellStyle name="F4 3" xfId="1597"/>
    <cellStyle name="F4 4" xfId="1598"/>
    <cellStyle name="F4 5" xfId="1599"/>
    <cellStyle name="F4 6" xfId="1600"/>
    <cellStyle name="F4 7" xfId="1601"/>
    <cellStyle name="F5" xfId="1602"/>
    <cellStyle name="F5 2" xfId="1603"/>
    <cellStyle name="F5 3" xfId="1604"/>
    <cellStyle name="F5 4" xfId="1605"/>
    <cellStyle name="F5 5" xfId="1606"/>
    <cellStyle name="F5 6" xfId="1607"/>
    <cellStyle name="F5 7" xfId="1608"/>
    <cellStyle name="F6" xfId="1609"/>
    <cellStyle name="F6 2" xfId="1610"/>
    <cellStyle name="F6 3" xfId="1611"/>
    <cellStyle name="F6 4" xfId="1612"/>
    <cellStyle name="F6 5" xfId="1613"/>
    <cellStyle name="F6 6" xfId="1614"/>
    <cellStyle name="F6 7" xfId="1615"/>
    <cellStyle name="F7" xfId="1616"/>
    <cellStyle name="F7 2" xfId="1617"/>
    <cellStyle name="F7 3" xfId="1618"/>
    <cellStyle name="F7 4" xfId="1619"/>
    <cellStyle name="F7 5" xfId="1620"/>
    <cellStyle name="F7 6" xfId="1621"/>
    <cellStyle name="F7 7" xfId="1622"/>
    <cellStyle name="F8" xfId="1623"/>
    <cellStyle name="F8 2" xfId="1624"/>
    <cellStyle name="F8 3" xfId="1625"/>
    <cellStyle name="F8 4" xfId="1626"/>
    <cellStyle name="F8 5" xfId="1627"/>
    <cellStyle name="F8 6" xfId="1628"/>
    <cellStyle name="F8 7" xfId="1629"/>
    <cellStyle name="Fixed" xfId="1630"/>
    <cellStyle name="Good 10" xfId="1631"/>
    <cellStyle name="Good 11" xfId="1632"/>
    <cellStyle name="Good 12" xfId="1633"/>
    <cellStyle name="Good 13" xfId="1634"/>
    <cellStyle name="Good 14" xfId="1635"/>
    <cellStyle name="Good 15" xfId="1636"/>
    <cellStyle name="Good 16" xfId="1637"/>
    <cellStyle name="Good 17" xfId="1638"/>
    <cellStyle name="Good 18" xfId="1639"/>
    <cellStyle name="Good 19" xfId="1640"/>
    <cellStyle name="Good 2" xfId="1641"/>
    <cellStyle name="Good 2 10" xfId="1642"/>
    <cellStyle name="Good 2 2" xfId="1643"/>
    <cellStyle name="Good 2 2 2" xfId="1644"/>
    <cellStyle name="Good 2 2 2 2" xfId="1645"/>
    <cellStyle name="Good 2 2 2 2 2" xfId="1646"/>
    <cellStyle name="Good 2 2 2 2 3" xfId="1647"/>
    <cellStyle name="Good 2 2 2 3" xfId="1648"/>
    <cellStyle name="Good 2 2 2 4" xfId="1649"/>
    <cellStyle name="Good 2 2 2 5" xfId="1650"/>
    <cellStyle name="Good 2 2 2 6" xfId="1651"/>
    <cellStyle name="Good 2 2 3" xfId="1652"/>
    <cellStyle name="Good 2 2 4" xfId="1653"/>
    <cellStyle name="Good 2 2 5" xfId="1654"/>
    <cellStyle name="Good 2 2 6" xfId="1655"/>
    <cellStyle name="Good 2 3" xfId="1656"/>
    <cellStyle name="Good 2 4" xfId="1657"/>
    <cellStyle name="Good 2 5" xfId="1658"/>
    <cellStyle name="Good 2 6" xfId="1659"/>
    <cellStyle name="Good 2 7" xfId="1660"/>
    <cellStyle name="Good 2 8" xfId="1661"/>
    <cellStyle name="Good 2 9" xfId="1662"/>
    <cellStyle name="Good 20" xfId="1663"/>
    <cellStyle name="Good 21" xfId="1664"/>
    <cellStyle name="Good 22" xfId="1665"/>
    <cellStyle name="Good 23" xfId="1666"/>
    <cellStyle name="Good 3" xfId="1667"/>
    <cellStyle name="Good 4" xfId="1668"/>
    <cellStyle name="Good 5" xfId="1669"/>
    <cellStyle name="Good 6" xfId="1670"/>
    <cellStyle name="Good 7" xfId="1671"/>
    <cellStyle name="Good 8" xfId="1672"/>
    <cellStyle name="Good 9" xfId="1673"/>
    <cellStyle name="Heading 1 10" xfId="1674"/>
    <cellStyle name="Heading 1 11" xfId="1675"/>
    <cellStyle name="Heading 1 12" xfId="1676"/>
    <cellStyle name="Heading 1 13" xfId="1677"/>
    <cellStyle name="Heading 1 14" xfId="1678"/>
    <cellStyle name="Heading 1 15" xfId="1679"/>
    <cellStyle name="Heading 1 16" xfId="1680"/>
    <cellStyle name="Heading 1 17" xfId="1681"/>
    <cellStyle name="Heading 1 18" xfId="1682"/>
    <cellStyle name="Heading 1 19" xfId="1683"/>
    <cellStyle name="Heading 1 2" xfId="1684"/>
    <cellStyle name="Heading 1 2 10" xfId="1685"/>
    <cellStyle name="Heading 1 2 2" xfId="1686"/>
    <cellStyle name="Heading 1 2 2 2" xfId="1687"/>
    <cellStyle name="Heading 1 2 2 2 2" xfId="1688"/>
    <cellStyle name="Heading 1 2 2 2 2 2" xfId="1689"/>
    <cellStyle name="Heading 1 2 2 2 2 3" xfId="1690"/>
    <cellStyle name="Heading 1 2 2 2 3" xfId="1691"/>
    <cellStyle name="Heading 1 2 2 2 4" xfId="1692"/>
    <cellStyle name="Heading 1 2 2 2 5" xfId="1693"/>
    <cellStyle name="Heading 1 2 2 2 6" xfId="1694"/>
    <cellStyle name="Heading 1 2 2 3" xfId="1695"/>
    <cellStyle name="Heading 1 2 2 4" xfId="1696"/>
    <cellStyle name="Heading 1 2 2 5" xfId="1697"/>
    <cellStyle name="Heading 1 2 2 6" xfId="1698"/>
    <cellStyle name="Heading 1 2 3" xfId="1699"/>
    <cellStyle name="Heading 1 2 4" xfId="1700"/>
    <cellStyle name="Heading 1 2 5" xfId="1701"/>
    <cellStyle name="Heading 1 2 6" xfId="1702"/>
    <cellStyle name="Heading 1 2 7" xfId="1703"/>
    <cellStyle name="Heading 1 2 8" xfId="1704"/>
    <cellStyle name="Heading 1 2 9" xfId="1705"/>
    <cellStyle name="Heading 1 20" xfId="1706"/>
    <cellStyle name="Heading 1 21" xfId="1707"/>
    <cellStyle name="Heading 1 22" xfId="1708"/>
    <cellStyle name="Heading 1 23" xfId="1709"/>
    <cellStyle name="Heading 1 24" xfId="1710"/>
    <cellStyle name="Heading 1 25" xfId="1711"/>
    <cellStyle name="Heading 1 3" xfId="1712"/>
    <cellStyle name="Heading 1 4" xfId="1713"/>
    <cellStyle name="Heading 1 5" xfId="1714"/>
    <cellStyle name="Heading 1 6" xfId="1715"/>
    <cellStyle name="Heading 1 7" xfId="1716"/>
    <cellStyle name="Heading 1 8" xfId="1717"/>
    <cellStyle name="Heading 1 9" xfId="1718"/>
    <cellStyle name="Heading 2 10" xfId="1719"/>
    <cellStyle name="Heading 2 11" xfId="1720"/>
    <cellStyle name="Heading 2 12" xfId="1721"/>
    <cellStyle name="Heading 2 13" xfId="1722"/>
    <cellStyle name="Heading 2 14" xfId="1723"/>
    <cellStyle name="Heading 2 15" xfId="1724"/>
    <cellStyle name="Heading 2 16" xfId="1725"/>
    <cellStyle name="Heading 2 17" xfId="1726"/>
    <cellStyle name="Heading 2 18" xfId="1727"/>
    <cellStyle name="Heading 2 19" xfId="1728"/>
    <cellStyle name="Heading 2 2" xfId="1729"/>
    <cellStyle name="Heading 2 2 10" xfId="1730"/>
    <cellStyle name="Heading 2 2 2" xfId="1731"/>
    <cellStyle name="Heading 2 2 2 2" xfId="1732"/>
    <cellStyle name="Heading 2 2 2 2 2" xfId="1733"/>
    <cellStyle name="Heading 2 2 2 2 2 2" xfId="1734"/>
    <cellStyle name="Heading 2 2 2 2 2 3" xfId="1735"/>
    <cellStyle name="Heading 2 2 2 2 3" xfId="1736"/>
    <cellStyle name="Heading 2 2 2 2 4" xfId="1737"/>
    <cellStyle name="Heading 2 2 2 2 5" xfId="1738"/>
    <cellStyle name="Heading 2 2 2 2 6" xfId="1739"/>
    <cellStyle name="Heading 2 2 2 3" xfId="1740"/>
    <cellStyle name="Heading 2 2 2 4" xfId="1741"/>
    <cellStyle name="Heading 2 2 2 5" xfId="1742"/>
    <cellStyle name="Heading 2 2 2 6" xfId="1743"/>
    <cellStyle name="Heading 2 2 3" xfId="1744"/>
    <cellStyle name="Heading 2 2 4" xfId="1745"/>
    <cellStyle name="Heading 2 2 5" xfId="1746"/>
    <cellStyle name="Heading 2 2 6" xfId="1747"/>
    <cellStyle name="Heading 2 2 7" xfId="1748"/>
    <cellStyle name="Heading 2 2 8" xfId="1749"/>
    <cellStyle name="Heading 2 2 9" xfId="1750"/>
    <cellStyle name="Heading 2 20" xfId="1751"/>
    <cellStyle name="Heading 2 21" xfId="1752"/>
    <cellStyle name="Heading 2 22" xfId="1753"/>
    <cellStyle name="Heading 2 23" xfId="1754"/>
    <cellStyle name="Heading 2 24" xfId="1755"/>
    <cellStyle name="Heading 2 25" xfId="1756"/>
    <cellStyle name="Heading 2 3" xfId="1757"/>
    <cellStyle name="Heading 2 4" xfId="1758"/>
    <cellStyle name="Heading 2 5" xfId="1759"/>
    <cellStyle name="Heading 2 6" xfId="1760"/>
    <cellStyle name="Heading 2 7" xfId="1761"/>
    <cellStyle name="Heading 2 8" xfId="1762"/>
    <cellStyle name="Heading 2 9" xfId="1763"/>
    <cellStyle name="Heading 3 10" xfId="1764"/>
    <cellStyle name="Heading 3 11" xfId="1765"/>
    <cellStyle name="Heading 3 12" xfId="1766"/>
    <cellStyle name="Heading 3 13" xfId="1767"/>
    <cellStyle name="Heading 3 14" xfId="1768"/>
    <cellStyle name="Heading 3 15" xfId="1769"/>
    <cellStyle name="Heading 3 16" xfId="1770"/>
    <cellStyle name="Heading 3 17" xfId="1771"/>
    <cellStyle name="Heading 3 18" xfId="1772"/>
    <cellStyle name="Heading 3 19" xfId="1773"/>
    <cellStyle name="Heading 3 2" xfId="1774"/>
    <cellStyle name="Heading 3 2 10" xfId="1775"/>
    <cellStyle name="Heading 3 2 2" xfId="1776"/>
    <cellStyle name="Heading 3 2 2 2" xfId="1777"/>
    <cellStyle name="Heading 3 2 2 2 2" xfId="1778"/>
    <cellStyle name="Heading 3 2 2 2 2 2" xfId="1779"/>
    <cellStyle name="Heading 3 2 2 2 2 3" xfId="1780"/>
    <cellStyle name="Heading 3 2 2 2 3" xfId="1781"/>
    <cellStyle name="Heading 3 2 2 2 4" xfId="1782"/>
    <cellStyle name="Heading 3 2 2 2 5" xfId="1783"/>
    <cellStyle name="Heading 3 2 2 2 6" xfId="1784"/>
    <cellStyle name="Heading 3 2 2 3" xfId="1785"/>
    <cellStyle name="Heading 3 2 2 4" xfId="1786"/>
    <cellStyle name="Heading 3 2 2 5" xfId="1787"/>
    <cellStyle name="Heading 3 2 2 6" xfId="1788"/>
    <cellStyle name="Heading 3 2 3" xfId="1789"/>
    <cellStyle name="Heading 3 2 4" xfId="1790"/>
    <cellStyle name="Heading 3 2 5" xfId="1791"/>
    <cellStyle name="Heading 3 2 6" xfId="1792"/>
    <cellStyle name="Heading 3 2 7" xfId="1793"/>
    <cellStyle name="Heading 3 2 8" xfId="1794"/>
    <cellStyle name="Heading 3 2 9" xfId="1795"/>
    <cellStyle name="Heading 3 20" xfId="1796"/>
    <cellStyle name="Heading 3 21" xfId="1797"/>
    <cellStyle name="Heading 3 22" xfId="1798"/>
    <cellStyle name="Heading 3 23" xfId="1799"/>
    <cellStyle name="Heading 3 3" xfId="1800"/>
    <cellStyle name="Heading 3 4" xfId="1801"/>
    <cellStyle name="Heading 3 5" xfId="1802"/>
    <cellStyle name="Heading 3 6" xfId="1803"/>
    <cellStyle name="Heading 3 7" xfId="1804"/>
    <cellStyle name="Heading 3 8" xfId="1805"/>
    <cellStyle name="Heading 3 9" xfId="1806"/>
    <cellStyle name="Heading 4 10" xfId="1807"/>
    <cellStyle name="Heading 4 11" xfId="1808"/>
    <cellStyle name="Heading 4 12" xfId="1809"/>
    <cellStyle name="Heading 4 13" xfId="1810"/>
    <cellStyle name="Heading 4 14" xfId="1811"/>
    <cellStyle name="Heading 4 15" xfId="1812"/>
    <cellStyle name="Heading 4 16" xfId="1813"/>
    <cellStyle name="Heading 4 17" xfId="1814"/>
    <cellStyle name="Heading 4 18" xfId="1815"/>
    <cellStyle name="Heading 4 19" xfId="1816"/>
    <cellStyle name="Heading 4 2" xfId="1817"/>
    <cellStyle name="Heading 4 2 10" xfId="1818"/>
    <cellStyle name="Heading 4 2 2" xfId="1819"/>
    <cellStyle name="Heading 4 2 2 2" xfId="1820"/>
    <cellStyle name="Heading 4 2 2 2 2" xfId="1821"/>
    <cellStyle name="Heading 4 2 2 2 2 2" xfId="1822"/>
    <cellStyle name="Heading 4 2 2 2 2 3" xfId="1823"/>
    <cellStyle name="Heading 4 2 2 2 3" xfId="1824"/>
    <cellStyle name="Heading 4 2 2 2 4" xfId="1825"/>
    <cellStyle name="Heading 4 2 2 2 5" xfId="1826"/>
    <cellStyle name="Heading 4 2 2 2 6" xfId="1827"/>
    <cellStyle name="Heading 4 2 2 3" xfId="1828"/>
    <cellStyle name="Heading 4 2 2 4" xfId="1829"/>
    <cellStyle name="Heading 4 2 2 5" xfId="1830"/>
    <cellStyle name="Heading 4 2 2 6" xfId="1831"/>
    <cellStyle name="Heading 4 2 3" xfId="1832"/>
    <cellStyle name="Heading 4 2 4" xfId="1833"/>
    <cellStyle name="Heading 4 2 5" xfId="1834"/>
    <cellStyle name="Heading 4 2 6" xfId="1835"/>
    <cellStyle name="Heading 4 2 7" xfId="1836"/>
    <cellStyle name="Heading 4 2 8" xfId="1837"/>
    <cellStyle name="Heading 4 2 9" xfId="1838"/>
    <cellStyle name="Heading 4 20" xfId="1839"/>
    <cellStyle name="Heading 4 21" xfId="1840"/>
    <cellStyle name="Heading 4 22" xfId="1841"/>
    <cellStyle name="Heading 4 23" xfId="1842"/>
    <cellStyle name="Heading 4 3" xfId="1843"/>
    <cellStyle name="Heading 4 4" xfId="1844"/>
    <cellStyle name="Heading 4 5" xfId="1845"/>
    <cellStyle name="Heading 4 6" xfId="1846"/>
    <cellStyle name="Heading 4 7" xfId="1847"/>
    <cellStyle name="Heading 4 8" xfId="1848"/>
    <cellStyle name="Heading 4 9" xfId="1849"/>
    <cellStyle name="Input 10" xfId="1850"/>
    <cellStyle name="Input 11" xfId="1851"/>
    <cellStyle name="Input 12" xfId="1852"/>
    <cellStyle name="Input 13" xfId="1853"/>
    <cellStyle name="Input 14" xfId="1854"/>
    <cellStyle name="Input 15" xfId="1855"/>
    <cellStyle name="Input 16" xfId="1856"/>
    <cellStyle name="Input 17" xfId="1857"/>
    <cellStyle name="Input 18" xfId="1858"/>
    <cellStyle name="Input 19" xfId="1859"/>
    <cellStyle name="Input 2" xfId="1860"/>
    <cellStyle name="Input 2 10" xfId="1861"/>
    <cellStyle name="Input 2 2" xfId="1862"/>
    <cellStyle name="Input 2 2 2" xfId="1863"/>
    <cellStyle name="Input 2 2 2 2" xfId="1864"/>
    <cellStyle name="Input 2 2 2 2 2" xfId="1865"/>
    <cellStyle name="Input 2 2 2 2 3" xfId="1866"/>
    <cellStyle name="Input 2 2 2 3" xfId="1867"/>
    <cellStyle name="Input 2 2 2 4" xfId="1868"/>
    <cellStyle name="Input 2 2 2 5" xfId="1869"/>
    <cellStyle name="Input 2 2 2 6" xfId="1870"/>
    <cellStyle name="Input 2 2 3" xfId="1871"/>
    <cellStyle name="Input 2 2 4" xfId="1872"/>
    <cellStyle name="Input 2 2 5" xfId="1873"/>
    <cellStyle name="Input 2 2 6" xfId="1874"/>
    <cellStyle name="Input 2 3" xfId="1875"/>
    <cellStyle name="Input 2 4" xfId="1876"/>
    <cellStyle name="Input 2 5" xfId="1877"/>
    <cellStyle name="Input 2 6" xfId="1878"/>
    <cellStyle name="Input 2 7" xfId="1879"/>
    <cellStyle name="Input 2 8" xfId="1880"/>
    <cellStyle name="Input 2 9" xfId="1881"/>
    <cellStyle name="Input 20" xfId="1882"/>
    <cellStyle name="Input 21" xfId="1883"/>
    <cellStyle name="Input 22" xfId="1884"/>
    <cellStyle name="Input 23" xfId="1885"/>
    <cellStyle name="Input 3" xfId="1886"/>
    <cellStyle name="Input 4" xfId="1887"/>
    <cellStyle name="Input 5" xfId="1888"/>
    <cellStyle name="Input 6" xfId="1889"/>
    <cellStyle name="Input 7" xfId="1890"/>
    <cellStyle name="Input 8" xfId="1891"/>
    <cellStyle name="Input 9" xfId="1892"/>
    <cellStyle name="LineItemPrompt" xfId="1893"/>
    <cellStyle name="LineItemValue" xfId="1894"/>
    <cellStyle name="Linked Cell 10" xfId="1895"/>
    <cellStyle name="Linked Cell 11" xfId="1896"/>
    <cellStyle name="Linked Cell 12" xfId="1897"/>
    <cellStyle name="Linked Cell 13" xfId="1898"/>
    <cellStyle name="Linked Cell 14" xfId="1899"/>
    <cellStyle name="Linked Cell 15" xfId="1900"/>
    <cellStyle name="Linked Cell 16" xfId="1901"/>
    <cellStyle name="Linked Cell 17" xfId="1902"/>
    <cellStyle name="Linked Cell 18" xfId="1903"/>
    <cellStyle name="Linked Cell 19" xfId="1904"/>
    <cellStyle name="Linked Cell 2" xfId="1905"/>
    <cellStyle name="Linked Cell 2 10" xfId="1906"/>
    <cellStyle name="Linked Cell 2 2" xfId="1907"/>
    <cellStyle name="Linked Cell 2 2 2" xfId="1908"/>
    <cellStyle name="Linked Cell 2 2 2 2" xfId="1909"/>
    <cellStyle name="Linked Cell 2 2 2 2 2" xfId="1910"/>
    <cellStyle name="Linked Cell 2 2 2 2 3" xfId="1911"/>
    <cellStyle name="Linked Cell 2 2 2 3" xfId="1912"/>
    <cellStyle name="Linked Cell 2 2 2 4" xfId="1913"/>
    <cellStyle name="Linked Cell 2 2 2 5" xfId="1914"/>
    <cellStyle name="Linked Cell 2 2 2 6" xfId="1915"/>
    <cellStyle name="Linked Cell 2 2 3" xfId="1916"/>
    <cellStyle name="Linked Cell 2 2 4" xfId="1917"/>
    <cellStyle name="Linked Cell 2 2 5" xfId="1918"/>
    <cellStyle name="Linked Cell 2 2 6" xfId="1919"/>
    <cellStyle name="Linked Cell 2 3" xfId="1920"/>
    <cellStyle name="Linked Cell 2 4" xfId="1921"/>
    <cellStyle name="Linked Cell 2 5" xfId="1922"/>
    <cellStyle name="Linked Cell 2 6" xfId="1923"/>
    <cellStyle name="Linked Cell 2 7" xfId="1924"/>
    <cellStyle name="Linked Cell 2 8" xfId="1925"/>
    <cellStyle name="Linked Cell 2 9" xfId="1926"/>
    <cellStyle name="Linked Cell 20" xfId="1927"/>
    <cellStyle name="Linked Cell 21" xfId="1928"/>
    <cellStyle name="Linked Cell 22" xfId="1929"/>
    <cellStyle name="Linked Cell 23" xfId="1930"/>
    <cellStyle name="Linked Cell 3" xfId="1931"/>
    <cellStyle name="Linked Cell 4" xfId="1932"/>
    <cellStyle name="Linked Cell 5" xfId="1933"/>
    <cellStyle name="Linked Cell 6" xfId="1934"/>
    <cellStyle name="Linked Cell 7" xfId="1935"/>
    <cellStyle name="Linked Cell 8" xfId="1936"/>
    <cellStyle name="Linked Cell 9" xfId="1937"/>
    <cellStyle name="Neutral 10" xfId="1938"/>
    <cellStyle name="Neutral 11" xfId="1939"/>
    <cellStyle name="Neutral 12" xfId="1940"/>
    <cellStyle name="Neutral 13" xfId="1941"/>
    <cellStyle name="Neutral 14" xfId="1942"/>
    <cellStyle name="Neutral 15" xfId="1943"/>
    <cellStyle name="Neutral 16" xfId="1944"/>
    <cellStyle name="Neutral 17" xfId="1945"/>
    <cellStyle name="Neutral 18" xfId="1946"/>
    <cellStyle name="Neutral 19" xfId="1947"/>
    <cellStyle name="Neutral 2" xfId="1948"/>
    <cellStyle name="Neutral 2 10" xfId="1949"/>
    <cellStyle name="Neutral 2 2" xfId="1950"/>
    <cellStyle name="Neutral 2 2 2" xfId="1951"/>
    <cellStyle name="Neutral 2 2 2 2" xfId="1952"/>
    <cellStyle name="Neutral 2 2 2 2 2" xfId="1953"/>
    <cellStyle name="Neutral 2 2 2 2 3" xfId="1954"/>
    <cellStyle name="Neutral 2 2 2 3" xfId="1955"/>
    <cellStyle name="Neutral 2 2 2 4" xfId="1956"/>
    <cellStyle name="Neutral 2 2 2 5" xfId="1957"/>
    <cellStyle name="Neutral 2 2 2 6" xfId="1958"/>
    <cellStyle name="Neutral 2 2 3" xfId="1959"/>
    <cellStyle name="Neutral 2 2 4" xfId="1960"/>
    <cellStyle name="Neutral 2 2 5" xfId="1961"/>
    <cellStyle name="Neutral 2 2 6" xfId="1962"/>
    <cellStyle name="Neutral 2 3" xfId="1963"/>
    <cellStyle name="Neutral 2 4" xfId="1964"/>
    <cellStyle name="Neutral 2 5" xfId="1965"/>
    <cellStyle name="Neutral 2 6" xfId="1966"/>
    <cellStyle name="Neutral 2 7" xfId="1967"/>
    <cellStyle name="Neutral 2 8" xfId="1968"/>
    <cellStyle name="Neutral 2 9" xfId="1969"/>
    <cellStyle name="Neutral 20" xfId="1970"/>
    <cellStyle name="Neutral 21" xfId="1971"/>
    <cellStyle name="Neutral 22" xfId="1972"/>
    <cellStyle name="Neutral 23" xfId="1973"/>
    <cellStyle name="Neutral 3" xfId="1974"/>
    <cellStyle name="Neutral 4" xfId="1975"/>
    <cellStyle name="Neutral 5" xfId="1976"/>
    <cellStyle name="Neutral 6" xfId="1977"/>
    <cellStyle name="Neutral 7" xfId="1978"/>
    <cellStyle name="Neutral 8" xfId="1979"/>
    <cellStyle name="Neutral 9" xfId="1980"/>
    <cellStyle name="Normal" xfId="0" builtinId="0"/>
    <cellStyle name="Normal 10" xfId="1981"/>
    <cellStyle name="Normal 11" xfId="1982"/>
    <cellStyle name="Normal 11 2" xfId="1983"/>
    <cellStyle name="Normal 11 3" xfId="1984"/>
    <cellStyle name="Normal 11 4" xfId="1985"/>
    <cellStyle name="Normal 11 5" xfId="1986"/>
    <cellStyle name="Normal 12" xfId="1987"/>
    <cellStyle name="Normal 13" xfId="1988"/>
    <cellStyle name="Normal 13 2" xfId="1989"/>
    <cellStyle name="Normal 13 3" xfId="1990"/>
    <cellStyle name="Normal 13 4" xfId="1991"/>
    <cellStyle name="Normal 13 5" xfId="1992"/>
    <cellStyle name="Normal 14" xfId="1993"/>
    <cellStyle name="Normal 15" xfId="1994"/>
    <cellStyle name="Normal 16" xfId="1995"/>
    <cellStyle name="Normal 17" xfId="1996"/>
    <cellStyle name="Normal 18" xfId="1997"/>
    <cellStyle name="Normal 19" xfId="1998"/>
    <cellStyle name="Normal 2" xfId="6"/>
    <cellStyle name="Normal 2 10" xfId="1999"/>
    <cellStyle name="Normal 2 11" xfId="2000"/>
    <cellStyle name="Normal 2 12" xfId="2001"/>
    <cellStyle name="Normal 2 13" xfId="2002"/>
    <cellStyle name="Normal 2 14" xfId="2003"/>
    <cellStyle name="Normal 2 15" xfId="2004"/>
    <cellStyle name="Normal 2 16" xfId="2005"/>
    <cellStyle name="Normal 2 17" xfId="2006"/>
    <cellStyle name="Normal 2 18" xfId="2007"/>
    <cellStyle name="Normal 2 19" xfId="2008"/>
    <cellStyle name="Normal 2 19 2" xfId="2009"/>
    <cellStyle name="Normal 2 19 3" xfId="2010"/>
    <cellStyle name="Normal 2 19 4" xfId="2011"/>
    <cellStyle name="Normal 2 19 5" xfId="2012"/>
    <cellStyle name="Normal 2 2" xfId="9"/>
    <cellStyle name="Normal 2 2 2" xfId="2013"/>
    <cellStyle name="Normal 2 2 2 2" xfId="2014"/>
    <cellStyle name="Normal 2 2 2 3" xfId="2015"/>
    <cellStyle name="Normal 2 2 3" xfId="2016"/>
    <cellStyle name="Normal 2 20" xfId="2017"/>
    <cellStyle name="Normal 2 21" xfId="2018"/>
    <cellStyle name="Normal 2 22" xfId="2019"/>
    <cellStyle name="Normal 2 23" xfId="2020"/>
    <cellStyle name="Normal 2 24" xfId="2021"/>
    <cellStyle name="Normal 2 25" xfId="2022"/>
    <cellStyle name="Normal 2 26" xfId="2023"/>
    <cellStyle name="Normal 2 3" xfId="2024"/>
    <cellStyle name="Normal 2 4" xfId="2025"/>
    <cellStyle name="Normal 2 5" xfId="2026"/>
    <cellStyle name="Normal 2 6" xfId="2027"/>
    <cellStyle name="Normal 2 7" xfId="2028"/>
    <cellStyle name="Normal 2 8" xfId="2029"/>
    <cellStyle name="Normal 2 9" xfId="2030"/>
    <cellStyle name="Normal 20" xfId="2031"/>
    <cellStyle name="Normal 20 2" xfId="2032"/>
    <cellStyle name="Normal 20 3" xfId="2033"/>
    <cellStyle name="Normal 20 4" xfId="2034"/>
    <cellStyle name="Normal 20 5" xfId="2035"/>
    <cellStyle name="Normal 21" xfId="2036"/>
    <cellStyle name="Normal 22" xfId="2037"/>
    <cellStyle name="Normal 23" xfId="2038"/>
    <cellStyle name="Normal 24" xfId="2039"/>
    <cellStyle name="Normal 25" xfId="2040"/>
    <cellStyle name="Normal 26" xfId="2041"/>
    <cellStyle name="Normal 27" xfId="2042"/>
    <cellStyle name="Normal 28" xfId="2043"/>
    <cellStyle name="Normal 29" xfId="2044"/>
    <cellStyle name="Normal 3" xfId="4"/>
    <cellStyle name="Normal 3 10" xfId="2045"/>
    <cellStyle name="Normal 3 11" xfId="2046"/>
    <cellStyle name="Normal 3 12" xfId="2047"/>
    <cellStyle name="Normal 3 13" xfId="2048"/>
    <cellStyle name="Normal 3 14" xfId="2049"/>
    <cellStyle name="Normal 3 15" xfId="2050"/>
    <cellStyle name="Normal 3 16" xfId="2051"/>
    <cellStyle name="Normal 3 17" xfId="2052"/>
    <cellStyle name="Normal 3 18" xfId="2053"/>
    <cellStyle name="Normal 3 2" xfId="2054"/>
    <cellStyle name="Normal 3 3" xfId="2055"/>
    <cellStyle name="Normal 3 4" xfId="2056"/>
    <cellStyle name="Normal 3 5" xfId="2057"/>
    <cellStyle name="Normal 3 6" xfId="2058"/>
    <cellStyle name="Normal 3 7" xfId="2059"/>
    <cellStyle name="Normal 3 8" xfId="2060"/>
    <cellStyle name="Normal 3 9" xfId="2061"/>
    <cellStyle name="Normal 30" xfId="2062"/>
    <cellStyle name="Normal 31" xfId="2063"/>
    <cellStyle name="Normal 31 2" xfId="2064"/>
    <cellStyle name="Normal 31 3" xfId="2065"/>
    <cellStyle name="Normal 31 4" xfId="2066"/>
    <cellStyle name="Normal 31 5" xfId="2067"/>
    <cellStyle name="Normal 32" xfId="2068"/>
    <cellStyle name="Normal 33" xfId="2069"/>
    <cellStyle name="Normal 34" xfId="2070"/>
    <cellStyle name="Normal 35" xfId="2071"/>
    <cellStyle name="Normal 36" xfId="2383"/>
    <cellStyle name="Normal 36 2" xfId="2072"/>
    <cellStyle name="Normal 36 3" xfId="2073"/>
    <cellStyle name="Normal 36 4" xfId="2074"/>
    <cellStyle name="Normal 36 5" xfId="2075"/>
    <cellStyle name="Normal 37" xfId="2076"/>
    <cellStyle name="Normal 38" xfId="2077"/>
    <cellStyle name="Normal 39" xfId="2386"/>
    <cellStyle name="Normal 4" xfId="2078"/>
    <cellStyle name="Normal 40" xfId="2079"/>
    <cellStyle name="Normal 42" xfId="2080"/>
    <cellStyle name="Normal 43" xfId="2081"/>
    <cellStyle name="Normal 45" xfId="2082"/>
    <cellStyle name="Normal 46" xfId="2083"/>
    <cellStyle name="Normal 48" xfId="2084"/>
    <cellStyle name="Normal 49" xfId="2085"/>
    <cellStyle name="Normal 5" xfId="2086"/>
    <cellStyle name="Normal 50" xfId="2087"/>
    <cellStyle name="Normal 51" xfId="2088"/>
    <cellStyle name="Normal 52" xfId="2089"/>
    <cellStyle name="Normal 6" xfId="2090"/>
    <cellStyle name="Normal 7" xfId="2091"/>
    <cellStyle name="Normal 8" xfId="2092"/>
    <cellStyle name="Normal 9" xfId="2093"/>
    <cellStyle name="Note 10" xfId="2094"/>
    <cellStyle name="Note 10 2" xfId="2095"/>
    <cellStyle name="Note 10 3" xfId="2096"/>
    <cellStyle name="Note 10 4" xfId="2097"/>
    <cellStyle name="Note 10 5" xfId="2098"/>
    <cellStyle name="Note 11" xfId="2099"/>
    <cellStyle name="Note 11 2" xfId="2100"/>
    <cellStyle name="Note 11 3" xfId="2101"/>
    <cellStyle name="Note 11 4" xfId="2102"/>
    <cellStyle name="Note 11 5" xfId="2103"/>
    <cellStyle name="Note 12" xfId="2104"/>
    <cellStyle name="Note 13" xfId="2105"/>
    <cellStyle name="Note 14" xfId="2106"/>
    <cellStyle name="Note 15" xfId="2107"/>
    <cellStyle name="Note 15 2" xfId="2108"/>
    <cellStyle name="Note 15 3" xfId="2109"/>
    <cellStyle name="Note 15 4" xfId="2110"/>
    <cellStyle name="Note 15 5" xfId="2111"/>
    <cellStyle name="Note 16" xfId="2112"/>
    <cellStyle name="Note 16 2" xfId="2113"/>
    <cellStyle name="Note 16 3" xfId="2114"/>
    <cellStyle name="Note 16 4" xfId="2115"/>
    <cellStyle name="Note 16 5" xfId="2116"/>
    <cellStyle name="Note 17" xfId="2117"/>
    <cellStyle name="Note 18" xfId="2118"/>
    <cellStyle name="Note 18 2" xfId="2119"/>
    <cellStyle name="Note 18 3" xfId="2120"/>
    <cellStyle name="Note 18 4" xfId="2121"/>
    <cellStyle name="Note 18 5" xfId="2122"/>
    <cellStyle name="Note 19" xfId="2123"/>
    <cellStyle name="Note 2" xfId="2124"/>
    <cellStyle name="Note 2 2" xfId="2125"/>
    <cellStyle name="Note 2 2 2" xfId="2126"/>
    <cellStyle name="Note 2 2 3" xfId="2127"/>
    <cellStyle name="Note 2 3" xfId="2128"/>
    <cellStyle name="Note 20" xfId="2129"/>
    <cellStyle name="Note 21" xfId="2130"/>
    <cellStyle name="Note 22" xfId="2131"/>
    <cellStyle name="Note 23" xfId="2132"/>
    <cellStyle name="Note 24" xfId="2133"/>
    <cellStyle name="Note 25" xfId="2134"/>
    <cellStyle name="Note 26" xfId="2135"/>
    <cellStyle name="Note 27" xfId="2136"/>
    <cellStyle name="Note 28" xfId="2137"/>
    <cellStyle name="Note 29" xfId="2138"/>
    <cellStyle name="Note 3" xfId="2139"/>
    <cellStyle name="Note 30" xfId="2140"/>
    <cellStyle name="Note 31" xfId="2141"/>
    <cellStyle name="Note 32" xfId="2142"/>
    <cellStyle name="Note 33" xfId="2143"/>
    <cellStyle name="Note 34" xfId="2144"/>
    <cellStyle name="Note 35" xfId="2145"/>
    <cellStyle name="Note 4" xfId="2146"/>
    <cellStyle name="Note 5" xfId="2147"/>
    <cellStyle name="Note 6" xfId="2148"/>
    <cellStyle name="Note 7" xfId="2149"/>
    <cellStyle name="Note 8" xfId="2150"/>
    <cellStyle name="Note 9" xfId="2151"/>
    <cellStyle name="Note 9 2" xfId="2152"/>
    <cellStyle name="Note 9 3" xfId="2153"/>
    <cellStyle name="Note 9 4" xfId="2154"/>
    <cellStyle name="Note 9 5" xfId="2155"/>
    <cellStyle name="Output 10" xfId="2156"/>
    <cellStyle name="Output 11" xfId="2157"/>
    <cellStyle name="Output 12" xfId="2158"/>
    <cellStyle name="Output 13" xfId="2159"/>
    <cellStyle name="Output 14" xfId="2160"/>
    <cellStyle name="Output 15" xfId="2161"/>
    <cellStyle name="Output 16" xfId="2162"/>
    <cellStyle name="Output 17" xfId="2163"/>
    <cellStyle name="Output 18" xfId="2164"/>
    <cellStyle name="Output 19" xfId="2165"/>
    <cellStyle name="Output 2" xfId="2166"/>
    <cellStyle name="Output 2 10" xfId="2167"/>
    <cellStyle name="Output 2 2" xfId="2168"/>
    <cellStyle name="Output 2 2 2" xfId="2169"/>
    <cellStyle name="Output 2 2 2 2" xfId="2170"/>
    <cellStyle name="Output 2 2 2 2 2" xfId="2171"/>
    <cellStyle name="Output 2 2 2 2 3" xfId="2172"/>
    <cellStyle name="Output 2 2 2 3" xfId="2173"/>
    <cellStyle name="Output 2 2 2 4" xfId="2174"/>
    <cellStyle name="Output 2 2 2 5" xfId="2175"/>
    <cellStyle name="Output 2 2 2 6" xfId="2176"/>
    <cellStyle name="Output 2 2 3" xfId="2177"/>
    <cellStyle name="Output 2 2 4" xfId="2178"/>
    <cellStyle name="Output 2 2 5" xfId="2179"/>
    <cellStyle name="Output 2 2 6" xfId="2180"/>
    <cellStyle name="Output 2 3" xfId="2181"/>
    <cellStyle name="Output 2 4" xfId="2182"/>
    <cellStyle name="Output 2 5" xfId="2183"/>
    <cellStyle name="Output 2 6" xfId="2184"/>
    <cellStyle name="Output 2 7" xfId="2185"/>
    <cellStyle name="Output 2 8" xfId="2186"/>
    <cellStyle name="Output 2 9" xfId="2187"/>
    <cellStyle name="Output 20" xfId="2188"/>
    <cellStyle name="Output 21" xfId="2189"/>
    <cellStyle name="Output 22" xfId="2190"/>
    <cellStyle name="Output 23" xfId="2191"/>
    <cellStyle name="Output 3" xfId="2192"/>
    <cellStyle name="Output 4" xfId="2193"/>
    <cellStyle name="Output 5" xfId="2194"/>
    <cellStyle name="Output 6" xfId="2195"/>
    <cellStyle name="Output 7" xfId="2196"/>
    <cellStyle name="Output 8" xfId="2197"/>
    <cellStyle name="Output 9" xfId="2198"/>
    <cellStyle name="Output Amounts" xfId="2199"/>
    <cellStyle name="Output Column Headings" xfId="2200"/>
    <cellStyle name="Output Column Headings 2" xfId="2201"/>
    <cellStyle name="Output Column Headings 3" xfId="2202"/>
    <cellStyle name="Output Column Headings 4" xfId="2203"/>
    <cellStyle name="Output Column Headings 5" xfId="2204"/>
    <cellStyle name="Output Column Headings 6" xfId="2205"/>
    <cellStyle name="Output Column Headings 7" xfId="2206"/>
    <cellStyle name="Output Line Items" xfId="2207"/>
    <cellStyle name="Output Line Items 2" xfId="2208"/>
    <cellStyle name="Output Line Items 3" xfId="2209"/>
    <cellStyle name="Output Line Items 4" xfId="2210"/>
    <cellStyle name="Output Line Items 5" xfId="2211"/>
    <cellStyle name="Output Line Items 6" xfId="2212"/>
    <cellStyle name="Output Line Items 7" xfId="2213"/>
    <cellStyle name="Output Report Heading" xfId="2214"/>
    <cellStyle name="Output Report Heading 2" xfId="2215"/>
    <cellStyle name="Output Report Heading 3" xfId="2216"/>
    <cellStyle name="Output Report Heading 4" xfId="2217"/>
    <cellStyle name="Output Report Heading 5" xfId="2218"/>
    <cellStyle name="Output Report Heading 6" xfId="2219"/>
    <cellStyle name="Output Report Heading 7" xfId="2220"/>
    <cellStyle name="Output Report Title" xfId="2221"/>
    <cellStyle name="Output Report Title 2" xfId="2222"/>
    <cellStyle name="Output Report Title 3" xfId="2223"/>
    <cellStyle name="Output Report Title 4" xfId="2224"/>
    <cellStyle name="Output Report Title 5" xfId="2225"/>
    <cellStyle name="Output Report Title 6" xfId="2226"/>
    <cellStyle name="Output Report Title 7" xfId="2227"/>
    <cellStyle name="Percent" xfId="3" builtinId="5"/>
    <cellStyle name="Percent 2" xfId="7"/>
    <cellStyle name="Percent 2 2" xfId="2228"/>
    <cellStyle name="Percent 2 3" xfId="2229"/>
    <cellStyle name="Percent 2 4" xfId="2230"/>
    <cellStyle name="Percent 2 5" xfId="2231"/>
    <cellStyle name="Percent 2 6" xfId="2232"/>
    <cellStyle name="Percent 3" xfId="2385"/>
    <cellStyle name="ReportTitlePrompt" xfId="2233"/>
    <cellStyle name="ReportTitleValue" xfId="2234"/>
    <cellStyle name="RowAcctAbovePrompt" xfId="2235"/>
    <cellStyle name="RowAcctSOBAbovePrompt" xfId="2236"/>
    <cellStyle name="RowAcctSOBValue" xfId="2237"/>
    <cellStyle name="RowAcctValue" xfId="2238"/>
    <cellStyle name="RowAttrAbovePrompt" xfId="2239"/>
    <cellStyle name="RowAttrValue" xfId="2240"/>
    <cellStyle name="RowColSetAbovePrompt" xfId="2241"/>
    <cellStyle name="RowColSetLeftPrompt" xfId="2242"/>
    <cellStyle name="RowColSetValue" xfId="2243"/>
    <cellStyle name="RowLeftPrompt" xfId="2244"/>
    <cellStyle name="SampleUsingFormatMask" xfId="2245"/>
    <cellStyle name="SampleWithNoFormatMask" xfId="2246"/>
    <cellStyle name="STYL5 - Style5" xfId="2247"/>
    <cellStyle name="STYL6 - Style6" xfId="2248"/>
    <cellStyle name="STYLE1 - Style1" xfId="2249"/>
    <cellStyle name="STYLE2 - Style2" xfId="2250"/>
    <cellStyle name="STYLE3 - Style3" xfId="2251"/>
    <cellStyle name="STYLE4 - Style4" xfId="2252"/>
    <cellStyle name="Title 10" xfId="2253"/>
    <cellStyle name="Title 11" xfId="2254"/>
    <cellStyle name="Title 12" xfId="2255"/>
    <cellStyle name="Title 13" xfId="2256"/>
    <cellStyle name="Title 14" xfId="2257"/>
    <cellStyle name="Title 15" xfId="2258"/>
    <cellStyle name="Title 16" xfId="2259"/>
    <cellStyle name="Title 17" xfId="2260"/>
    <cellStyle name="Title 17 2" xfId="2261"/>
    <cellStyle name="Title 17 3" xfId="2262"/>
    <cellStyle name="Title 17 4" xfId="2263"/>
    <cellStyle name="Title 17 5" xfId="2264"/>
    <cellStyle name="Title 18" xfId="2265"/>
    <cellStyle name="Title 19" xfId="2266"/>
    <cellStyle name="Title 2" xfId="2267"/>
    <cellStyle name="Title 2 2" xfId="2268"/>
    <cellStyle name="Title 2 2 2" xfId="2269"/>
    <cellStyle name="Title 2 2 2 2" xfId="2270"/>
    <cellStyle name="Title 2 2 2 3" xfId="2271"/>
    <cellStyle name="Title 2 2 3" xfId="2272"/>
    <cellStyle name="Title 2 2 4" xfId="2273"/>
    <cellStyle name="Title 2 2 5" xfId="2274"/>
    <cellStyle name="Title 2 2 6" xfId="2275"/>
    <cellStyle name="Title 2 3" xfId="2276"/>
    <cellStyle name="Title 2 4" xfId="2277"/>
    <cellStyle name="Title 2 5" xfId="2278"/>
    <cellStyle name="Title 2 6" xfId="2279"/>
    <cellStyle name="Title 2 7" xfId="2280"/>
    <cellStyle name="Title 2 8" xfId="2281"/>
    <cellStyle name="Title 2 9" xfId="2282"/>
    <cellStyle name="Title 20" xfId="2283"/>
    <cellStyle name="Title 21" xfId="2284"/>
    <cellStyle name="Title 22" xfId="2285"/>
    <cellStyle name="Title 23" xfId="2286"/>
    <cellStyle name="Title 3" xfId="2287"/>
    <cellStyle name="Title 4" xfId="2288"/>
    <cellStyle name="Title 5" xfId="2289"/>
    <cellStyle name="Title 6" xfId="2290"/>
    <cellStyle name="Title 7" xfId="2291"/>
    <cellStyle name="Title 8" xfId="2292"/>
    <cellStyle name="Title 9" xfId="2293"/>
    <cellStyle name="Total 10" xfId="2294"/>
    <cellStyle name="Total 11" xfId="2295"/>
    <cellStyle name="Total 12" xfId="2296"/>
    <cellStyle name="Total 13" xfId="2297"/>
    <cellStyle name="Total 14" xfId="2298"/>
    <cellStyle name="Total 15" xfId="2299"/>
    <cellStyle name="Total 16" xfId="2300"/>
    <cellStyle name="Total 17" xfId="2301"/>
    <cellStyle name="Total 18" xfId="2302"/>
    <cellStyle name="Total 19" xfId="2303"/>
    <cellStyle name="Total 2" xfId="2304"/>
    <cellStyle name="Total 2 10" xfId="2305"/>
    <cellStyle name="Total 2 2" xfId="2306"/>
    <cellStyle name="Total 2 2 2" xfId="2307"/>
    <cellStyle name="Total 2 2 2 2" xfId="2308"/>
    <cellStyle name="Total 2 2 2 2 2" xfId="2309"/>
    <cellStyle name="Total 2 2 2 2 3" xfId="2310"/>
    <cellStyle name="Total 2 2 2 3" xfId="2311"/>
    <cellStyle name="Total 2 2 2 4" xfId="2312"/>
    <cellStyle name="Total 2 2 2 5" xfId="2313"/>
    <cellStyle name="Total 2 2 2 6" xfId="2314"/>
    <cellStyle name="Total 2 2 3" xfId="2315"/>
    <cellStyle name="Total 2 2 4" xfId="2316"/>
    <cellStyle name="Total 2 2 5" xfId="2317"/>
    <cellStyle name="Total 2 2 6" xfId="2318"/>
    <cellStyle name="Total 2 3" xfId="2319"/>
    <cellStyle name="Total 2 4" xfId="2320"/>
    <cellStyle name="Total 2 5" xfId="2321"/>
    <cellStyle name="Total 2 6" xfId="2322"/>
    <cellStyle name="Total 2 7" xfId="2323"/>
    <cellStyle name="Total 2 8" xfId="2324"/>
    <cellStyle name="Total 2 9" xfId="2325"/>
    <cellStyle name="Total 20" xfId="2326"/>
    <cellStyle name="Total 21" xfId="2327"/>
    <cellStyle name="Total 22" xfId="2328"/>
    <cellStyle name="Total 23" xfId="2329"/>
    <cellStyle name="Total 24" xfId="2330"/>
    <cellStyle name="Total 25" xfId="2331"/>
    <cellStyle name="Total 3" xfId="2332"/>
    <cellStyle name="Total 4" xfId="2333"/>
    <cellStyle name="Total 5" xfId="2334"/>
    <cellStyle name="Total 6" xfId="2335"/>
    <cellStyle name="Total 7" xfId="2336"/>
    <cellStyle name="Total 8" xfId="2337"/>
    <cellStyle name="Total 9" xfId="2338"/>
    <cellStyle name="UploadThisRowValue" xfId="2339"/>
    <cellStyle name="Warning Text 10" xfId="2340"/>
    <cellStyle name="Warning Text 11" xfId="2341"/>
    <cellStyle name="Warning Text 12" xfId="2342"/>
    <cellStyle name="Warning Text 13" xfId="2343"/>
    <cellStyle name="Warning Text 14" xfId="2344"/>
    <cellStyle name="Warning Text 15" xfId="2345"/>
    <cellStyle name="Warning Text 16" xfId="2346"/>
    <cellStyle name="Warning Text 17" xfId="2347"/>
    <cellStyle name="Warning Text 18" xfId="2348"/>
    <cellStyle name="Warning Text 19" xfId="2349"/>
    <cellStyle name="Warning Text 2" xfId="2350"/>
    <cellStyle name="Warning Text 2 10" xfId="2351"/>
    <cellStyle name="Warning Text 2 2" xfId="2352"/>
    <cellStyle name="Warning Text 2 2 2" xfId="2353"/>
    <cellStyle name="Warning Text 2 2 2 2" xfId="2354"/>
    <cellStyle name="Warning Text 2 2 2 2 2" xfId="2355"/>
    <cellStyle name="Warning Text 2 2 2 2 3" xfId="2356"/>
    <cellStyle name="Warning Text 2 2 2 3" xfId="2357"/>
    <cellStyle name="Warning Text 2 2 2 4" xfId="2358"/>
    <cellStyle name="Warning Text 2 2 2 5" xfId="2359"/>
    <cellStyle name="Warning Text 2 2 2 6" xfId="2360"/>
    <cellStyle name="Warning Text 2 2 3" xfId="2361"/>
    <cellStyle name="Warning Text 2 2 4" xfId="2362"/>
    <cellStyle name="Warning Text 2 2 5" xfId="2363"/>
    <cellStyle name="Warning Text 2 2 6" xfId="2364"/>
    <cellStyle name="Warning Text 2 3" xfId="2365"/>
    <cellStyle name="Warning Text 2 4" xfId="2366"/>
    <cellStyle name="Warning Text 2 5" xfId="2367"/>
    <cellStyle name="Warning Text 2 6" xfId="2368"/>
    <cellStyle name="Warning Text 2 7" xfId="2369"/>
    <cellStyle name="Warning Text 2 8" xfId="2370"/>
    <cellStyle name="Warning Text 2 9" xfId="2371"/>
    <cellStyle name="Warning Text 20" xfId="2372"/>
    <cellStyle name="Warning Text 21" xfId="2373"/>
    <cellStyle name="Warning Text 22" xfId="2374"/>
    <cellStyle name="Warning Text 23" xfId="2375"/>
    <cellStyle name="Warning Text 3" xfId="2376"/>
    <cellStyle name="Warning Text 4" xfId="2377"/>
    <cellStyle name="Warning Text 5" xfId="2378"/>
    <cellStyle name="Warning Text 6" xfId="2379"/>
    <cellStyle name="Warning Text 7" xfId="2380"/>
    <cellStyle name="Warning Text 8" xfId="2381"/>
    <cellStyle name="Warning Text 9" xfId="23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LT\Actuals\LGE%20GLT%20OU%20Recovery%202013%2009%20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y Detail"/>
      <sheetName val="OU Collection"/>
      <sheetName val="ROR True-Up Adj"/>
      <sheetName val="Error Checks"/>
      <sheetName val="Input"/>
      <sheetName val="Data"/>
      <sheetName val="BS Recon"/>
      <sheetName val="Revenue Report"/>
      <sheetName val="Startup"/>
      <sheetName val="VersionHist"/>
    </sheetNames>
    <sheetDataSet>
      <sheetData sheetId="0"/>
      <sheetData sheetId="1"/>
      <sheetData sheetId="2"/>
      <sheetData sheetId="3"/>
      <sheetData sheetId="4"/>
      <sheetData sheetId="5">
        <row r="85">
          <cell r="O85">
            <v>201309</v>
          </cell>
          <cell r="P85">
            <v>201308</v>
          </cell>
          <cell r="Q85">
            <v>201307</v>
          </cell>
          <cell r="R85">
            <v>201306</v>
          </cell>
          <cell r="S85">
            <v>201305</v>
          </cell>
          <cell r="T85">
            <v>201304</v>
          </cell>
          <cell r="U85">
            <v>201303</v>
          </cell>
          <cell r="V85">
            <v>201302</v>
          </cell>
          <cell r="W85">
            <v>201301</v>
          </cell>
          <cell r="X85">
            <v>201212</v>
          </cell>
          <cell r="Y85">
            <v>201211</v>
          </cell>
          <cell r="Z85" t="str">
            <v/>
          </cell>
          <cell r="AA85" t="str">
            <v/>
          </cell>
          <cell r="AB85" t="str">
            <v/>
          </cell>
          <cell r="AC85" t="str">
            <v/>
          </cell>
          <cell r="AD85" t="str">
            <v/>
          </cell>
          <cell r="AE85" t="str">
            <v/>
          </cell>
          <cell r="AF85" t="str">
            <v/>
          </cell>
          <cell r="AG85" t="str">
            <v/>
          </cell>
          <cell r="AH85" t="str">
            <v/>
          </cell>
          <cell r="AI85" t="str">
            <v/>
          </cell>
          <cell r="AJ85" t="str">
            <v/>
          </cell>
          <cell r="AK85" t="str">
            <v/>
          </cell>
          <cell r="AL85" t="str">
            <v/>
          </cell>
          <cell r="AM85" t="str">
            <v/>
          </cell>
          <cell r="AN85" t="str">
            <v/>
          </cell>
          <cell r="AO85" t="str">
            <v/>
          </cell>
          <cell r="AP85" t="str">
            <v/>
          </cell>
          <cell r="AQ85" t="str">
            <v/>
          </cell>
          <cell r="AR85" t="str">
            <v/>
          </cell>
          <cell r="AS85" t="str">
            <v/>
          </cell>
          <cell r="AT85" t="str">
            <v/>
          </cell>
          <cell r="AU85" t="str">
            <v/>
          </cell>
          <cell r="AV85" t="str">
            <v/>
          </cell>
          <cell r="AW85" t="str">
            <v/>
          </cell>
          <cell r="AX85" t="str">
            <v/>
          </cell>
          <cell r="AY85" t="str">
            <v/>
          </cell>
          <cell r="AZ85" t="str">
            <v/>
          </cell>
          <cell r="BA85" t="str">
            <v/>
          </cell>
          <cell r="BB85" t="str">
            <v/>
          </cell>
          <cell r="BC85" t="str">
            <v/>
          </cell>
          <cell r="BD85" t="str">
            <v/>
          </cell>
          <cell r="BE85" t="str">
            <v/>
          </cell>
          <cell r="BF85" t="str">
            <v/>
          </cell>
          <cell r="BG85" t="str">
            <v/>
          </cell>
          <cell r="BH85" t="str">
            <v/>
          </cell>
          <cell r="BI85" t="str">
            <v/>
          </cell>
          <cell r="BJ85" t="str">
            <v/>
          </cell>
          <cell r="BK85" t="str">
            <v/>
          </cell>
        </row>
        <row r="86">
          <cell r="O86">
            <v>2013</v>
          </cell>
          <cell r="P86">
            <v>2013</v>
          </cell>
          <cell r="Q86">
            <v>2013</v>
          </cell>
          <cell r="R86">
            <v>2013</v>
          </cell>
          <cell r="S86">
            <v>2013</v>
          </cell>
          <cell r="T86">
            <v>2013</v>
          </cell>
          <cell r="U86">
            <v>2013</v>
          </cell>
          <cell r="V86">
            <v>2013</v>
          </cell>
          <cell r="W86">
            <v>2013</v>
          </cell>
          <cell r="X86">
            <v>2012</v>
          </cell>
          <cell r="Y86">
            <v>2012</v>
          </cell>
          <cell r="Z86" t="str">
            <v/>
          </cell>
          <cell r="AA86" t="str">
            <v/>
          </cell>
          <cell r="AB86" t="str">
            <v/>
          </cell>
          <cell r="AC86" t="str">
            <v/>
          </cell>
          <cell r="AD86" t="str">
            <v/>
          </cell>
          <cell r="AE86" t="str">
            <v/>
          </cell>
          <cell r="AF86" t="str">
            <v/>
          </cell>
          <cell r="AG86" t="str">
            <v/>
          </cell>
          <cell r="AH86" t="str">
            <v/>
          </cell>
          <cell r="AI86" t="str">
            <v/>
          </cell>
          <cell r="AJ86" t="str">
            <v/>
          </cell>
          <cell r="AK86" t="str">
            <v/>
          </cell>
          <cell r="AL86" t="str">
            <v/>
          </cell>
          <cell r="AM86" t="str">
            <v/>
          </cell>
          <cell r="AN86" t="str">
            <v/>
          </cell>
          <cell r="AO86" t="str">
            <v/>
          </cell>
          <cell r="AP86" t="str">
            <v/>
          </cell>
          <cell r="AQ86" t="str">
            <v/>
          </cell>
          <cell r="AR86" t="str">
            <v/>
          </cell>
          <cell r="AS86" t="str">
            <v/>
          </cell>
          <cell r="AT86" t="str">
            <v/>
          </cell>
          <cell r="AU86" t="str">
            <v/>
          </cell>
          <cell r="AV86" t="str">
            <v/>
          </cell>
          <cell r="AW86" t="str">
            <v/>
          </cell>
          <cell r="AX86" t="str">
            <v/>
          </cell>
          <cell r="AY86" t="str">
            <v/>
          </cell>
          <cell r="AZ86" t="str">
            <v/>
          </cell>
          <cell r="BA86" t="str">
            <v/>
          </cell>
          <cell r="BB86" t="str">
            <v/>
          </cell>
          <cell r="BC86" t="str">
            <v/>
          </cell>
          <cell r="BD86" t="str">
            <v/>
          </cell>
          <cell r="BE86" t="str">
            <v/>
          </cell>
          <cell r="BF86" t="str">
            <v/>
          </cell>
          <cell r="BG86" t="str">
            <v/>
          </cell>
          <cell r="BH86" t="str">
            <v/>
          </cell>
          <cell r="BI86" t="str">
            <v/>
          </cell>
          <cell r="BJ86" t="str">
            <v/>
          </cell>
          <cell r="BK86" t="str">
            <v/>
          </cell>
        </row>
        <row r="87">
          <cell r="O87">
            <v>9</v>
          </cell>
          <cell r="P87">
            <v>8</v>
          </cell>
          <cell r="Q87">
            <v>7</v>
          </cell>
          <cell r="R87">
            <v>6</v>
          </cell>
          <cell r="S87">
            <v>5</v>
          </cell>
          <cell r="T87">
            <v>4</v>
          </cell>
          <cell r="U87">
            <v>3</v>
          </cell>
          <cell r="V87">
            <v>2</v>
          </cell>
          <cell r="W87">
            <v>1</v>
          </cell>
          <cell r="X87">
            <v>12</v>
          </cell>
          <cell r="Y87">
            <v>11</v>
          </cell>
          <cell r="Z87" t="str">
            <v/>
          </cell>
          <cell r="AA87" t="str">
            <v/>
          </cell>
          <cell r="AB87" t="str">
            <v/>
          </cell>
          <cell r="AC87" t="str">
            <v/>
          </cell>
          <cell r="AD87" t="str">
            <v/>
          </cell>
          <cell r="AE87" t="str">
            <v/>
          </cell>
          <cell r="AF87" t="str">
            <v/>
          </cell>
          <cell r="AG87" t="str">
            <v/>
          </cell>
          <cell r="AH87" t="str">
            <v/>
          </cell>
          <cell r="AI87" t="str">
            <v/>
          </cell>
          <cell r="AJ87" t="str">
            <v/>
          </cell>
          <cell r="AK87" t="str">
            <v/>
          </cell>
          <cell r="AL87" t="str">
            <v/>
          </cell>
          <cell r="AM87" t="str">
            <v/>
          </cell>
          <cell r="AN87" t="str">
            <v/>
          </cell>
          <cell r="AO87" t="str">
            <v/>
          </cell>
          <cell r="AP87" t="str">
            <v/>
          </cell>
          <cell r="AQ87" t="str">
            <v/>
          </cell>
          <cell r="AR87" t="str">
            <v/>
          </cell>
          <cell r="AS87" t="str">
            <v/>
          </cell>
          <cell r="AT87" t="str">
            <v/>
          </cell>
          <cell r="AU87" t="str">
            <v/>
          </cell>
          <cell r="AV87" t="str">
            <v/>
          </cell>
          <cell r="AW87" t="str">
            <v/>
          </cell>
          <cell r="AX87" t="str">
            <v/>
          </cell>
          <cell r="AY87" t="str">
            <v/>
          </cell>
          <cell r="AZ87" t="str">
            <v/>
          </cell>
          <cell r="BA87" t="str">
            <v/>
          </cell>
          <cell r="BB87" t="str">
            <v/>
          </cell>
          <cell r="BC87" t="str">
            <v/>
          </cell>
          <cell r="BD87" t="str">
            <v/>
          </cell>
          <cell r="BE87" t="str">
            <v/>
          </cell>
          <cell r="BF87" t="str">
            <v/>
          </cell>
          <cell r="BG87" t="str">
            <v/>
          </cell>
          <cell r="BH87" t="str">
            <v/>
          </cell>
          <cell r="BI87" t="str">
            <v/>
          </cell>
          <cell r="BJ87" t="str">
            <v/>
          </cell>
          <cell r="BK87" t="str">
            <v/>
          </cell>
        </row>
        <row r="90">
          <cell r="O90">
            <v>43229342.950000003</v>
          </cell>
          <cell r="P90">
            <v>39503462.950000003</v>
          </cell>
          <cell r="Q90">
            <v>34231314.770000003</v>
          </cell>
          <cell r="R90">
            <v>29634770.5</v>
          </cell>
          <cell r="S90">
            <v>26798988.34</v>
          </cell>
          <cell r="T90">
            <v>23148314.719999999</v>
          </cell>
          <cell r="U90">
            <v>19685215.710000001</v>
          </cell>
          <cell r="V90">
            <v>18141793.66</v>
          </cell>
          <cell r="W90">
            <v>16266015.189999999</v>
          </cell>
          <cell r="X90">
            <v>15355903</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row>
        <row r="91">
          <cell r="O91">
            <v>-544594.73</v>
          </cell>
          <cell r="P91">
            <v>-454031.89</v>
          </cell>
          <cell r="Q91">
            <v>-375127.24</v>
          </cell>
          <cell r="R91">
            <v>-308196.38</v>
          </cell>
          <cell r="S91">
            <v>-250691.03</v>
          </cell>
          <cell r="T91">
            <v>-201627.21</v>
          </cell>
          <cell r="U91">
            <v>-160197.09</v>
          </cell>
          <cell r="V91">
            <v>-123394.65</v>
          </cell>
          <cell r="W91">
            <v>-90061.06</v>
          </cell>
          <cell r="X91">
            <v>-74306.5</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row>
        <row r="92">
          <cell r="O92">
            <v>1073931.06</v>
          </cell>
          <cell r="P92">
            <v>1008389.76</v>
          </cell>
          <cell r="Q92">
            <v>956524.42</v>
          </cell>
          <cell r="R92">
            <v>837901.1</v>
          </cell>
          <cell r="S92">
            <v>806659.83</v>
          </cell>
          <cell r="T92">
            <v>757994.64</v>
          </cell>
          <cell r="U92">
            <v>671359.75</v>
          </cell>
          <cell r="V92">
            <v>593604.97</v>
          </cell>
          <cell r="W92">
            <v>562993.46</v>
          </cell>
          <cell r="X92">
            <v>549445.43999999994</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row>
        <row r="93">
          <cell r="O93">
            <v>-5470324.8499999996</v>
          </cell>
          <cell r="P93">
            <v>-4499471</v>
          </cell>
          <cell r="Q93">
            <v>-3597164.69</v>
          </cell>
          <cell r="R93">
            <v>-2784611.12</v>
          </cell>
          <cell r="S93">
            <v>-2340945.09</v>
          </cell>
          <cell r="T93">
            <v>-1945663.31</v>
          </cell>
          <cell r="U93">
            <v>-1657444.61</v>
          </cell>
          <cell r="V93">
            <v>-1469947.28</v>
          </cell>
          <cell r="W93">
            <v>-1355034.62</v>
          </cell>
          <cell r="X93">
            <v>-1264419.3799999999</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row>
        <row r="94">
          <cell r="O94">
            <v>38288354.430000007</v>
          </cell>
          <cell r="P94">
            <v>35558349.82</v>
          </cell>
          <cell r="Q94">
            <v>31215547.260000002</v>
          </cell>
          <cell r="R94">
            <v>27379864.100000001</v>
          </cell>
          <cell r="S94">
            <v>25014012.049999997</v>
          </cell>
          <cell r="T94">
            <v>21759018.84</v>
          </cell>
          <cell r="U94">
            <v>18538933.760000002</v>
          </cell>
          <cell r="V94">
            <v>17142056.699999999</v>
          </cell>
          <cell r="W94">
            <v>15383912.969999999</v>
          </cell>
          <cell r="X94">
            <v>14566622.559999999</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row>
        <row r="95">
          <cell r="O95">
            <v>24484667.25</v>
          </cell>
          <cell r="P95">
            <v>22950924.23</v>
          </cell>
          <cell r="Q95">
            <v>21374996.030000001</v>
          </cell>
          <cell r="R95">
            <v>19969203</v>
          </cell>
          <cell r="S95">
            <v>18734092.809999999</v>
          </cell>
          <cell r="T95">
            <v>17478108.969999999</v>
          </cell>
          <cell r="U95">
            <v>16407881.5</v>
          </cell>
          <cell r="V95">
            <v>15697530.74</v>
          </cell>
          <cell r="W95">
            <v>14975267.77</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row>
        <row r="96">
          <cell r="O96">
            <v>24484667.25</v>
          </cell>
          <cell r="P96">
            <v>24484667.25</v>
          </cell>
          <cell r="Q96">
            <v>24484667.25</v>
          </cell>
          <cell r="R96">
            <v>24484667.25</v>
          </cell>
          <cell r="S96">
            <v>24484667.25</v>
          </cell>
          <cell r="T96">
            <v>24484667.25</v>
          </cell>
          <cell r="U96">
            <v>24484667.25</v>
          </cell>
          <cell r="V96">
            <v>24484667.25</v>
          </cell>
          <cell r="W96">
            <v>24484667.25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row>
        <row r="97">
          <cell r="O97">
            <v>2040388.94</v>
          </cell>
          <cell r="P97">
            <v>2040388.94</v>
          </cell>
          <cell r="Q97">
            <v>2040388.94</v>
          </cell>
          <cell r="R97">
            <v>2040388.94</v>
          </cell>
          <cell r="S97">
            <v>2040388.94</v>
          </cell>
          <cell r="T97">
            <v>2040388.94</v>
          </cell>
          <cell r="U97">
            <v>2040388.94</v>
          </cell>
          <cell r="V97">
            <v>2040388.94</v>
          </cell>
          <cell r="W97">
            <v>2040388.94</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row>
        <row r="98">
          <cell r="O98">
            <v>211698.25</v>
          </cell>
          <cell r="P98">
            <v>165075.4</v>
          </cell>
          <cell r="Q98">
            <v>217986.22999999998</v>
          </cell>
          <cell r="R98">
            <v>80822.62</v>
          </cell>
          <cell r="S98">
            <v>71313.100000000006</v>
          </cell>
          <cell r="T98">
            <v>32190.82</v>
          </cell>
          <cell r="U98">
            <v>103210.19</v>
          </cell>
          <cell r="V98">
            <v>-46019.8</v>
          </cell>
          <cell r="W98">
            <v>79174.740000000005</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row>
        <row r="99">
          <cell r="O99">
            <v>0.1101</v>
          </cell>
          <cell r="P99">
            <v>0.1101</v>
          </cell>
          <cell r="Q99">
            <v>0.1101</v>
          </cell>
          <cell r="R99">
            <v>0.1101</v>
          </cell>
          <cell r="S99">
            <v>0.1101</v>
          </cell>
          <cell r="T99">
            <v>0.1101</v>
          </cell>
          <cell r="U99">
            <v>0.1101</v>
          </cell>
          <cell r="V99">
            <v>0.1101</v>
          </cell>
          <cell r="W99">
            <v>0.1101</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row>
        <row r="100">
          <cell r="O100">
            <v>0.1101</v>
          </cell>
          <cell r="P100">
            <v>0.1101</v>
          </cell>
          <cell r="Q100">
            <v>0.1101</v>
          </cell>
          <cell r="R100">
            <v>0.1101</v>
          </cell>
          <cell r="S100">
            <v>0.1101</v>
          </cell>
          <cell r="T100">
            <v>0.1101</v>
          </cell>
          <cell r="U100">
            <v>0.1101</v>
          </cell>
          <cell r="V100">
            <v>0.1101</v>
          </cell>
          <cell r="W100">
            <v>0.1101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row>
        <row r="101">
          <cell r="O101">
            <v>436345.07</v>
          </cell>
          <cell r="P101">
            <v>389722.22</v>
          </cell>
          <cell r="Q101">
            <v>442633.05</v>
          </cell>
          <cell r="R101">
            <v>305469.44</v>
          </cell>
          <cell r="S101">
            <v>295959.92</v>
          </cell>
          <cell r="T101">
            <v>256837.64</v>
          </cell>
          <cell r="U101">
            <v>327857.01</v>
          </cell>
          <cell r="V101">
            <v>178627.02</v>
          </cell>
          <cell r="W101">
            <v>303821.56</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row>
        <row r="102">
          <cell r="O102">
            <v>436345.07</v>
          </cell>
          <cell r="P102">
            <v>389722.22</v>
          </cell>
          <cell r="Q102">
            <v>442633.05</v>
          </cell>
          <cell r="R102">
            <v>305469.44</v>
          </cell>
          <cell r="S102">
            <v>295959.92</v>
          </cell>
          <cell r="T102">
            <v>256837.64</v>
          </cell>
          <cell r="U102">
            <v>327857.01</v>
          </cell>
          <cell r="V102">
            <v>178627.02</v>
          </cell>
          <cell r="W102">
            <v>303821.56</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row>
        <row r="103">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row>
        <row r="112">
          <cell r="O112">
            <v>436345.07</v>
          </cell>
          <cell r="P112">
            <v>389722.22</v>
          </cell>
          <cell r="Q112">
            <v>442633.05</v>
          </cell>
          <cell r="R112">
            <v>305469.44</v>
          </cell>
          <cell r="S112">
            <v>295959.92</v>
          </cell>
          <cell r="T112">
            <v>256837.64</v>
          </cell>
          <cell r="U112">
            <v>327857.01</v>
          </cell>
          <cell r="V112">
            <v>178627.02</v>
          </cell>
          <cell r="W112">
            <v>303821.56</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row>
        <row r="113">
          <cell r="O113">
            <v>436345.07</v>
          </cell>
          <cell r="P113">
            <v>389722.22</v>
          </cell>
          <cell r="Q113">
            <v>442633.05</v>
          </cell>
          <cell r="R113">
            <v>305469.44</v>
          </cell>
          <cell r="S113">
            <v>295959.92</v>
          </cell>
          <cell r="T113">
            <v>256837.64</v>
          </cell>
          <cell r="U113">
            <v>327857.01</v>
          </cell>
          <cell r="V113">
            <v>178627.02</v>
          </cell>
          <cell r="W113">
            <v>303821.56</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row>
        <row r="114">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row>
        <row r="115">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row>
        <row r="116">
          <cell r="O116">
            <v>436345.07</v>
          </cell>
          <cell r="P116">
            <v>389722.22</v>
          </cell>
          <cell r="Q116">
            <v>442633.05</v>
          </cell>
          <cell r="R116">
            <v>305469.44</v>
          </cell>
          <cell r="S116">
            <v>295959.92</v>
          </cell>
          <cell r="T116">
            <v>256837.64</v>
          </cell>
          <cell r="U116">
            <v>327857.01</v>
          </cell>
          <cell r="V116">
            <v>178627.02</v>
          </cell>
          <cell r="W116">
            <v>303821.56</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row>
        <row r="117">
          <cell r="O117">
            <v>436345.07</v>
          </cell>
          <cell r="P117">
            <v>389722.22</v>
          </cell>
          <cell r="Q117">
            <v>442633.05</v>
          </cell>
          <cell r="R117">
            <v>305469.44</v>
          </cell>
          <cell r="S117">
            <v>295959.92</v>
          </cell>
          <cell r="T117">
            <v>256837.64</v>
          </cell>
          <cell r="U117">
            <v>327857.01</v>
          </cell>
          <cell r="V117">
            <v>178627.02</v>
          </cell>
          <cell r="W117">
            <v>303821.56</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row>
        <row r="118">
          <cell r="O118">
            <v>436345.07</v>
          </cell>
          <cell r="P118">
            <v>389722.22</v>
          </cell>
          <cell r="Q118">
            <v>442633.05</v>
          </cell>
          <cell r="R118">
            <v>305469.44</v>
          </cell>
          <cell r="S118">
            <v>295959.92</v>
          </cell>
          <cell r="T118">
            <v>256837.64</v>
          </cell>
          <cell r="U118">
            <v>327857.01</v>
          </cell>
          <cell r="V118">
            <v>178627.02</v>
          </cell>
          <cell r="W118">
            <v>303821.56</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row>
        <row r="119">
          <cell r="O119">
            <v>959875.17</v>
          </cell>
          <cell r="P119">
            <v>964058.08</v>
          </cell>
          <cell r="Q119">
            <v>964731.89</v>
          </cell>
          <cell r="R119">
            <v>967142.37</v>
          </cell>
          <cell r="S119">
            <v>972357.35</v>
          </cell>
          <cell r="T119">
            <v>977936.59</v>
          </cell>
          <cell r="U119">
            <v>971192.21</v>
          </cell>
          <cell r="V119">
            <v>971918.25</v>
          </cell>
          <cell r="W119">
            <v>442006.43</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row>
        <row r="120">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row>
        <row r="121">
          <cell r="O121">
            <v>-523530.10000000003</v>
          </cell>
          <cell r="P121">
            <v>-574335.86</v>
          </cell>
          <cell r="Q121">
            <v>-522098.84</v>
          </cell>
          <cell r="R121">
            <v>-661672.92999999993</v>
          </cell>
          <cell r="S121">
            <v>-676397.42999999993</v>
          </cell>
          <cell r="T121">
            <v>-721098.95</v>
          </cell>
          <cell r="U121">
            <v>-643335.19999999995</v>
          </cell>
          <cell r="V121">
            <v>-793291.23</v>
          </cell>
          <cell r="W121">
            <v>-138184.87</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row>
        <row r="129">
          <cell r="O129">
            <v>-523530.1</v>
          </cell>
          <cell r="P129">
            <v>-574335.86</v>
          </cell>
          <cell r="Q129">
            <v>-522098.84</v>
          </cell>
          <cell r="R129">
            <v>-661672.93000000005</v>
          </cell>
          <cell r="S129">
            <v>-676397.43</v>
          </cell>
          <cell r="T129">
            <v>-721098.95</v>
          </cell>
          <cell r="U129">
            <v>-643335.19999999995</v>
          </cell>
          <cell r="V129">
            <v>-793291.23</v>
          </cell>
          <cell r="W129">
            <v>-138184.87</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row>
        <row r="130">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row>
        <row r="131">
          <cell r="O131">
            <v>-523530.1</v>
          </cell>
          <cell r="P131">
            <v>-574335.86</v>
          </cell>
          <cell r="Q131">
            <v>-522098.84</v>
          </cell>
          <cell r="R131">
            <v>-661672.93000000005</v>
          </cell>
          <cell r="S131">
            <v>-676397.43</v>
          </cell>
          <cell r="T131">
            <v>-721098.95</v>
          </cell>
          <cell r="U131">
            <v>-643335.19999999995</v>
          </cell>
          <cell r="V131">
            <v>-793291.23</v>
          </cell>
          <cell r="W131">
            <v>-138184.87</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row>
        <row r="132">
          <cell r="O132">
            <v>-5253945.41</v>
          </cell>
          <cell r="P132">
            <v>-4730415.3099999996</v>
          </cell>
          <cell r="Q132">
            <v>-4156079.45</v>
          </cell>
          <cell r="R132">
            <v>-3633980.61</v>
          </cell>
          <cell r="S132">
            <v>-2972307.68</v>
          </cell>
          <cell r="T132">
            <v>-2295910.25</v>
          </cell>
          <cell r="U132">
            <v>-1574811.3</v>
          </cell>
          <cell r="V132">
            <v>-931476.1</v>
          </cell>
          <cell r="W132">
            <v>-138184.87</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5e@%2038.9%25" TargetMode="External"/><Relationship Id="rId1" Type="http://schemas.openxmlformats.org/officeDocument/2006/relationships/hyperlink" Target="mailto:%5e@%2038.9%25"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4" sqref="B4"/>
    </sheetView>
  </sheetViews>
  <sheetFormatPr defaultColWidth="30.85546875" defaultRowHeight="12.75"/>
  <cols>
    <col min="1" max="1" width="41.5703125" customWidth="1"/>
    <col min="2" max="2" width="42.140625" customWidth="1"/>
    <col min="4" max="4" width="24.42578125" customWidth="1"/>
  </cols>
  <sheetData>
    <row r="1" spans="1:6" ht="15.75">
      <c r="A1" s="248" t="s">
        <v>295</v>
      </c>
      <c r="B1" s="248" t="s">
        <v>296</v>
      </c>
      <c r="C1" s="248" t="s">
        <v>297</v>
      </c>
      <c r="D1" s="248" t="s">
        <v>298</v>
      </c>
      <c r="E1" s="248" t="s">
        <v>299</v>
      </c>
      <c r="F1" s="248" t="s">
        <v>298</v>
      </c>
    </row>
    <row r="3" spans="1:6" ht="153">
      <c r="A3" s="250">
        <v>41937</v>
      </c>
      <c r="B3" s="249" t="s">
        <v>302</v>
      </c>
      <c r="C3" s="252" t="s">
        <v>304</v>
      </c>
      <c r="D3" s="250">
        <v>41937</v>
      </c>
    </row>
    <row r="4" spans="1:6" ht="102">
      <c r="A4" s="250">
        <v>41937</v>
      </c>
      <c r="B4" s="251" t="s">
        <v>306</v>
      </c>
      <c r="C4" s="252" t="s">
        <v>304</v>
      </c>
      <c r="D4" s="250">
        <v>41937</v>
      </c>
    </row>
    <row r="5" spans="1:6" ht="72.75" customHeight="1">
      <c r="A5" s="250">
        <v>41937</v>
      </c>
      <c r="B5" s="251" t="s">
        <v>317</v>
      </c>
      <c r="C5" s="252" t="s">
        <v>304</v>
      </c>
      <c r="D5" s="250">
        <v>41937</v>
      </c>
    </row>
    <row r="6" spans="1:6" ht="89.25">
      <c r="A6" s="250">
        <v>41937</v>
      </c>
      <c r="B6" s="249" t="s">
        <v>303</v>
      </c>
      <c r="C6" s="252" t="s">
        <v>304</v>
      </c>
      <c r="D6" s="250">
        <v>41937</v>
      </c>
    </row>
    <row r="7" spans="1:6" ht="50.25" customHeight="1">
      <c r="A7" s="250">
        <v>41940</v>
      </c>
      <c r="B7" s="251" t="s">
        <v>305</v>
      </c>
      <c r="C7" s="252" t="s">
        <v>304</v>
      </c>
      <c r="D7" s="250">
        <v>41940</v>
      </c>
    </row>
    <row r="8" spans="1:6" ht="100.5" customHeight="1">
      <c r="A8" s="250">
        <v>41940</v>
      </c>
      <c r="B8" s="251" t="s">
        <v>321</v>
      </c>
      <c r="C8" s="252" t="s">
        <v>304</v>
      </c>
      <c r="D8" s="250">
        <v>41940</v>
      </c>
    </row>
    <row r="9" spans="1:6" ht="73.5" customHeight="1">
      <c r="A9" s="250">
        <v>41942</v>
      </c>
      <c r="B9" s="251" t="s">
        <v>324</v>
      </c>
      <c r="C9" s="252" t="s">
        <v>320</v>
      </c>
      <c r="D9" s="250">
        <v>41942</v>
      </c>
    </row>
    <row r="10" spans="1:6" ht="47.25" customHeight="1">
      <c r="A10" s="250">
        <v>41942</v>
      </c>
      <c r="B10" s="251" t="s">
        <v>322</v>
      </c>
      <c r="C10" s="252" t="s">
        <v>320</v>
      </c>
      <c r="D10" s="250">
        <v>41942</v>
      </c>
    </row>
    <row r="11" spans="1:6" ht="189" customHeight="1">
      <c r="A11" s="250">
        <v>41942</v>
      </c>
      <c r="B11" s="251" t="s">
        <v>323</v>
      </c>
      <c r="C11" s="252" t="s">
        <v>320</v>
      </c>
      <c r="D11" s="250">
        <v>41942</v>
      </c>
    </row>
    <row r="12" spans="1:6">
      <c r="A12" s="250"/>
      <c r="B12" s="251"/>
    </row>
    <row r="13" spans="1:6" ht="63.75">
      <c r="A13" s="250">
        <v>42291</v>
      </c>
      <c r="B13" s="272" t="s">
        <v>362</v>
      </c>
      <c r="C13" s="252" t="s">
        <v>304</v>
      </c>
      <c r="D13" s="250">
        <v>42291</v>
      </c>
      <c r="E13" s="252" t="s">
        <v>320</v>
      </c>
      <c r="F13" s="250">
        <v>42307</v>
      </c>
    </row>
    <row r="14" spans="1:6">
      <c r="B14" s="251"/>
    </row>
    <row r="15" spans="1:6" ht="38.25">
      <c r="A15" s="250">
        <v>42291</v>
      </c>
      <c r="B15" s="251" t="s">
        <v>357</v>
      </c>
      <c r="C15" s="252" t="s">
        <v>304</v>
      </c>
      <c r="D15" s="250">
        <v>42291</v>
      </c>
      <c r="E15" s="252" t="s">
        <v>320</v>
      </c>
      <c r="F15" s="250">
        <v>42307</v>
      </c>
    </row>
    <row r="16" spans="1:6">
      <c r="B16" s="251"/>
    </row>
    <row r="17" spans="1:6" ht="38.25">
      <c r="A17" s="250">
        <v>42306</v>
      </c>
      <c r="B17" s="251" t="s">
        <v>363</v>
      </c>
      <c r="C17" s="252" t="s">
        <v>304</v>
      </c>
      <c r="D17" s="250">
        <v>42306</v>
      </c>
      <c r="E17" s="252" t="s">
        <v>320</v>
      </c>
      <c r="F17" s="250">
        <v>42307</v>
      </c>
    </row>
    <row r="19" spans="1:6" ht="51">
      <c r="A19" s="250">
        <v>42663</v>
      </c>
      <c r="B19" s="251" t="s">
        <v>402</v>
      </c>
      <c r="C19" s="252" t="s">
        <v>304</v>
      </c>
      <c r="D19" s="250">
        <v>42663</v>
      </c>
      <c r="E19" s="250"/>
      <c r="F19" s="250"/>
    </row>
    <row r="21" spans="1:6" ht="38.25">
      <c r="A21" s="250">
        <v>42667</v>
      </c>
      <c r="B21" s="251" t="s">
        <v>409</v>
      </c>
      <c r="C21" s="252" t="s">
        <v>304</v>
      </c>
      <c r="D21" s="250">
        <v>42667</v>
      </c>
    </row>
    <row r="23" spans="1:6" ht="140.25">
      <c r="A23" s="250">
        <v>42667</v>
      </c>
      <c r="B23" s="251" t="s">
        <v>413</v>
      </c>
      <c r="C23" s="252" t="s">
        <v>304</v>
      </c>
      <c r="D23" s="250">
        <v>42667</v>
      </c>
    </row>
    <row r="25" spans="1:6">
      <c r="A25" s="250"/>
      <c r="B25" s="251"/>
      <c r="C25" s="252"/>
      <c r="D25" s="250"/>
    </row>
  </sheetData>
  <pageMargins left="0.7" right="0.7" top="0.75" bottom="0.75" header="0.3" footer="0.3"/>
  <pageSetup scale="2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8"/>
  <sheetViews>
    <sheetView topLeftCell="A3" zoomScaleNormal="100" workbookViewId="0">
      <selection activeCell="A3" sqref="A3"/>
    </sheetView>
  </sheetViews>
  <sheetFormatPr defaultRowHeight="15.75"/>
  <cols>
    <col min="1" max="1" width="9.140625" style="222"/>
    <col min="2" max="2" width="35" style="218" bestFit="1" customWidth="1"/>
    <col min="3" max="3" width="15.7109375" style="218" customWidth="1"/>
    <col min="4" max="4" width="18" style="218" bestFit="1" customWidth="1"/>
    <col min="5" max="5" width="18.42578125" style="218" bestFit="1" customWidth="1"/>
    <col min="6" max="6" width="17.140625" style="218" customWidth="1"/>
    <col min="7" max="8" width="16.85546875" style="218" bestFit="1" customWidth="1"/>
    <col min="9" max="9" width="17" style="218" bestFit="1" customWidth="1"/>
    <col min="10" max="10" width="12.28515625" style="222" bestFit="1" customWidth="1"/>
    <col min="11" max="11" width="16.140625" style="222" bestFit="1" customWidth="1"/>
    <col min="12" max="24" width="14.7109375" style="222" customWidth="1"/>
    <col min="25" max="25" width="9.140625" style="222"/>
    <col min="26" max="26" width="10.5703125" style="222" bestFit="1" customWidth="1"/>
    <col min="27" max="16384" width="9.140625" style="222"/>
  </cols>
  <sheetData>
    <row r="1" spans="1:24" ht="18.75">
      <c r="B1" s="540" t="s">
        <v>84</v>
      </c>
      <c r="C1" s="540"/>
      <c r="D1" s="540"/>
      <c r="E1" s="540"/>
      <c r="F1" s="540"/>
      <c r="G1" s="540"/>
      <c r="H1" s="540"/>
      <c r="I1" s="540"/>
      <c r="K1" s="238"/>
      <c r="L1" s="238"/>
      <c r="M1" s="238"/>
      <c r="N1" s="238"/>
      <c r="O1" s="238"/>
      <c r="P1" s="238"/>
      <c r="Q1" s="238"/>
      <c r="R1" s="239"/>
      <c r="S1" s="239"/>
      <c r="T1" s="239"/>
      <c r="U1" s="239"/>
      <c r="V1" s="239"/>
      <c r="W1" s="239"/>
      <c r="X1" s="239"/>
    </row>
    <row r="2" spans="1:24" ht="18.75">
      <c r="A2" s="540" t="s">
        <v>431</v>
      </c>
      <c r="B2" s="540"/>
      <c r="C2" s="540"/>
      <c r="D2" s="540"/>
      <c r="E2" s="540"/>
      <c r="F2" s="540"/>
      <c r="G2" s="540"/>
      <c r="H2" s="540"/>
      <c r="I2" s="540"/>
      <c r="J2" s="238"/>
      <c r="K2" s="238"/>
      <c r="L2" s="238"/>
      <c r="M2" s="238"/>
      <c r="N2" s="238"/>
      <c r="O2" s="238"/>
      <c r="P2" s="238"/>
      <c r="Q2" s="238"/>
      <c r="R2" s="239"/>
      <c r="S2" s="239"/>
      <c r="T2" s="239"/>
      <c r="U2" s="239"/>
      <c r="V2" s="239"/>
      <c r="W2" s="239"/>
      <c r="X2" s="239"/>
    </row>
    <row r="3" spans="1:24" ht="18.75">
      <c r="B3" s="540" t="s">
        <v>254</v>
      </c>
      <c r="C3" s="540"/>
      <c r="D3" s="540"/>
      <c r="E3" s="540"/>
      <c r="F3" s="540"/>
      <c r="G3" s="540"/>
      <c r="H3" s="540"/>
      <c r="I3" s="540"/>
      <c r="K3" s="238"/>
      <c r="L3" s="238"/>
      <c r="M3" s="238"/>
      <c r="N3" s="238"/>
      <c r="O3" s="238"/>
      <c r="P3" s="238"/>
      <c r="Q3" s="238"/>
      <c r="R3" s="239"/>
      <c r="S3" s="239"/>
      <c r="T3" s="239"/>
      <c r="U3" s="239"/>
      <c r="V3" s="239"/>
      <c r="W3" s="239"/>
      <c r="X3" s="239"/>
    </row>
    <row r="4" spans="1:24">
      <c r="K4" s="239"/>
      <c r="L4" s="239"/>
      <c r="M4" s="239"/>
      <c r="N4" s="239"/>
      <c r="O4" s="239"/>
      <c r="P4" s="239"/>
      <c r="R4" s="239"/>
      <c r="S4" s="239"/>
      <c r="T4" s="239"/>
      <c r="U4" s="239"/>
      <c r="V4" s="239"/>
      <c r="W4" s="239"/>
      <c r="X4" s="239"/>
    </row>
    <row r="5" spans="1:24">
      <c r="K5" s="239"/>
      <c r="L5" s="239"/>
      <c r="M5" s="239"/>
      <c r="N5" s="239"/>
      <c r="O5" s="239"/>
      <c r="P5" s="239"/>
      <c r="R5" s="239"/>
      <c r="S5" s="239"/>
      <c r="T5" s="239"/>
      <c r="U5" s="239"/>
      <c r="V5" s="239"/>
      <c r="W5" s="239"/>
      <c r="X5" s="239"/>
    </row>
    <row r="6" spans="1:24" s="223" customFormat="1">
      <c r="A6" s="243" t="s">
        <v>5</v>
      </c>
      <c r="B6" s="242"/>
      <c r="C6" s="242"/>
      <c r="D6" s="242"/>
      <c r="E6" s="242"/>
      <c r="F6" s="242"/>
      <c r="G6" s="242"/>
      <c r="H6" s="242"/>
      <c r="I6" s="243" t="s">
        <v>98</v>
      </c>
      <c r="K6" s="222"/>
      <c r="L6" s="222"/>
      <c r="M6" s="222"/>
      <c r="N6" s="222"/>
      <c r="O6" s="222"/>
      <c r="P6" s="222"/>
      <c r="Q6" s="222"/>
    </row>
    <row r="7" spans="1:24" ht="16.5" thickBot="1">
      <c r="A7" s="244" t="s">
        <v>6</v>
      </c>
      <c r="B7" s="244" t="s">
        <v>7</v>
      </c>
      <c r="C7" s="244" t="s">
        <v>170</v>
      </c>
      <c r="D7" s="244" t="s">
        <v>171</v>
      </c>
      <c r="E7" s="244" t="s">
        <v>172</v>
      </c>
      <c r="F7" s="244" t="s">
        <v>173</v>
      </c>
      <c r="G7" s="244" t="s">
        <v>174</v>
      </c>
      <c r="H7" s="244" t="s">
        <v>175</v>
      </c>
      <c r="I7" s="244" t="s">
        <v>414</v>
      </c>
    </row>
    <row r="8" spans="1:24">
      <c r="A8" s="271" t="s">
        <v>342</v>
      </c>
      <c r="B8" s="271" t="s">
        <v>343</v>
      </c>
      <c r="C8" s="271" t="s">
        <v>350</v>
      </c>
      <c r="D8" s="271" t="s">
        <v>351</v>
      </c>
      <c r="E8" s="271" t="s">
        <v>352</v>
      </c>
      <c r="F8" s="271" t="s">
        <v>353</v>
      </c>
      <c r="G8" s="271" t="s">
        <v>354</v>
      </c>
      <c r="H8" s="271" t="s">
        <v>355</v>
      </c>
      <c r="I8" s="271" t="s">
        <v>356</v>
      </c>
    </row>
    <row r="9" spans="1:24">
      <c r="B9" s="245"/>
      <c r="C9" s="245"/>
      <c r="D9" s="245"/>
      <c r="E9" s="245"/>
      <c r="F9" s="245"/>
      <c r="G9" s="245"/>
      <c r="H9" s="245"/>
      <c r="I9" s="245"/>
    </row>
    <row r="10" spans="1:24">
      <c r="A10" s="237">
        <v>1</v>
      </c>
      <c r="B10" s="218" t="s">
        <v>424</v>
      </c>
      <c r="C10" s="507">
        <f>'Capital Budget 2017'!K8+'Capital Budget 2017'!K10+'Capital Budget 2017'!K11+'Capital Budget 2017'!K14</f>
        <v>1522731.4700000002</v>
      </c>
      <c r="D10" s="507">
        <f>'Capital Budget 2017'!L8+'Capital Budget 2017'!L10+'Capital Budget 2017'!L11+'Capital Budget 2017'!L14</f>
        <v>1551030.29</v>
      </c>
      <c r="E10" s="507">
        <f>'Capital Budget 2017'!M8+'Capital Budget 2017'!M10+'Capital Budget 2017'!M11+'Capital Budget 2017'!M14</f>
        <v>1372552</v>
      </c>
      <c r="F10" s="507">
        <f>'Capital Budget 2017'!N8+'Capital Budget 2017'!N10+'Capital Budget 2017'!N11+'Capital Budget 2017'!N14</f>
        <v>1143969.48</v>
      </c>
      <c r="G10" s="507">
        <f>'Capital Budget 2017'!O8+'Capital Budget 2017'!O10+'Capital Budget 2017'!O11+'Capital Budget 2017'!O14</f>
        <v>982437.45000000007</v>
      </c>
      <c r="H10" s="507">
        <f>'Capital Budget 2017'!P8+'Capital Budget 2017'!P10+'Capital Budget 2017'!P11+'Capital Budget 2017'!P14</f>
        <v>907979.32000000007</v>
      </c>
      <c r="I10" s="507">
        <f>SUM(C10:H10)</f>
        <v>7480700.0100000007</v>
      </c>
      <c r="J10" s="246"/>
    </row>
    <row r="11" spans="1:24">
      <c r="A11" s="237">
        <f>A10+1</f>
        <v>2</v>
      </c>
      <c r="B11" s="218" t="s">
        <v>425</v>
      </c>
      <c r="C11" s="507">
        <f>SUM('Capital Budget 2017'!E18:J18,'Capital Budget 2017'!K18)</f>
        <v>1048966.73</v>
      </c>
      <c r="D11" s="507">
        <f>'Capital Budget 2017'!L18</f>
        <v>217512.74</v>
      </c>
      <c r="E11" s="507">
        <f>'Capital Budget 2017'!M18</f>
        <v>226910.96</v>
      </c>
      <c r="F11" s="507">
        <f>'Capital Budget 2017'!N18</f>
        <v>191014.53</v>
      </c>
      <c r="G11" s="507">
        <f>'Capital Budget 2017'!O18</f>
        <v>147110.96</v>
      </c>
      <c r="H11" s="507">
        <f>'Capital Budget 2017'!P18</f>
        <v>168770.96</v>
      </c>
      <c r="I11" s="507">
        <f>SUM(C11:H11)</f>
        <v>2000286.88</v>
      </c>
      <c r="J11" s="246"/>
    </row>
    <row r="12" spans="1:24">
      <c r="A12" s="237">
        <f>A11+1</f>
        <v>3</v>
      </c>
      <c r="B12" s="218" t="s">
        <v>146</v>
      </c>
      <c r="C12" s="507">
        <f>SUM('Capital Budget 2017'!K$12:K$13)</f>
        <v>161143.96000000002</v>
      </c>
      <c r="D12" s="507">
        <f>SUM('Capital Budget 2017'!L$12:L$13)</f>
        <v>196373.9</v>
      </c>
      <c r="E12" s="507">
        <f>SUM('Capital Budget 2017'!M$12:M$13)</f>
        <v>175932.78</v>
      </c>
      <c r="F12" s="507">
        <f>SUM('Capital Budget 2017'!N$12:N$13)</f>
        <v>181166.53</v>
      </c>
      <c r="G12" s="507">
        <f>SUM('Capital Budget 2017'!O$12:O$13)</f>
        <v>173112.47</v>
      </c>
      <c r="H12" s="507">
        <f>SUM('Capital Budget 2017'!P$12:P$13)</f>
        <v>146258.91</v>
      </c>
      <c r="I12" s="507">
        <f>SUM(C12:H12)</f>
        <v>1033988.55</v>
      </c>
      <c r="J12" s="246"/>
    </row>
    <row r="13" spans="1:24">
      <c r="A13" s="237">
        <f>A12+1</f>
        <v>4</v>
      </c>
      <c r="B13" s="218" t="s">
        <v>147</v>
      </c>
      <c r="C13" s="507">
        <f>'Capital Budget 2017'!K$9</f>
        <v>2185828.1800000002</v>
      </c>
      <c r="D13" s="507">
        <f>'Capital Budget 2017'!L$9</f>
        <v>2398315.15</v>
      </c>
      <c r="E13" s="507">
        <f>'Capital Budget 2017'!M$9</f>
        <v>2204702.96</v>
      </c>
      <c r="F13" s="507">
        <f>'Capital Budget 2017'!N$9</f>
        <v>2400243.48</v>
      </c>
      <c r="G13" s="507">
        <f>'Capital Budget 2017'!O$9</f>
        <v>2221422.0099999998</v>
      </c>
      <c r="H13" s="507">
        <f>'Capital Budget 2017'!P$9</f>
        <v>1859739.66</v>
      </c>
      <c r="I13" s="507">
        <f>SUM(C13:H13)</f>
        <v>13270251.439999999</v>
      </c>
      <c r="J13" s="246"/>
    </row>
    <row r="14" spans="1:24">
      <c r="A14" s="237">
        <f>A13+1</f>
        <v>5</v>
      </c>
      <c r="B14" s="218" t="s">
        <v>255</v>
      </c>
      <c r="C14" s="508">
        <f>SUM('Capital Budget 2017'!K$3:K$7)</f>
        <v>493451.51999999996</v>
      </c>
      <c r="D14" s="508">
        <f>SUM('Capital Budget 2017'!L$3:L$7)</f>
        <v>592619.37</v>
      </c>
      <c r="E14" s="508">
        <f>SUM('Capital Budget 2017'!M$3:M$7)</f>
        <v>524855.63</v>
      </c>
      <c r="F14" s="508">
        <f>SUM('Capital Budget 2017'!N$3:N$7)</f>
        <v>543667.11</v>
      </c>
      <c r="G14" s="508">
        <f>SUM('Capital Budget 2017'!O$3:O$7)</f>
        <v>521380.14999999997</v>
      </c>
      <c r="H14" s="508">
        <f>SUM('Capital Budget 2017'!P$3:P$7)</f>
        <v>476052.85999999993</v>
      </c>
      <c r="I14" s="508">
        <f>SUM(C14:H14)</f>
        <v>3152026.6399999997</v>
      </c>
      <c r="J14" s="379"/>
    </row>
    <row r="15" spans="1:24">
      <c r="A15" s="237">
        <f>A14+1</f>
        <v>6</v>
      </c>
      <c r="B15" s="218" t="s">
        <v>149</v>
      </c>
      <c r="C15" s="228">
        <f t="shared" ref="C15:I15" si="0">SUM(C10:C14)</f>
        <v>5412121.8599999994</v>
      </c>
      <c r="D15" s="228">
        <f t="shared" si="0"/>
        <v>4955851.45</v>
      </c>
      <c r="E15" s="228">
        <f t="shared" si="0"/>
        <v>4504954.33</v>
      </c>
      <c r="F15" s="228">
        <f t="shared" si="0"/>
        <v>4460061.13</v>
      </c>
      <c r="G15" s="228">
        <f t="shared" si="0"/>
        <v>4045463.0399999996</v>
      </c>
      <c r="H15" s="228">
        <f t="shared" si="0"/>
        <v>3558801.7099999995</v>
      </c>
      <c r="I15" s="228">
        <f t="shared" si="0"/>
        <v>26937253.520000003</v>
      </c>
      <c r="J15" s="246"/>
    </row>
    <row r="16" spans="1:24">
      <c r="C16" s="228"/>
      <c r="D16" s="228"/>
      <c r="E16" s="228"/>
      <c r="F16" s="228"/>
      <c r="G16" s="228"/>
      <c r="H16" s="228"/>
      <c r="I16" s="228"/>
      <c r="J16" s="246"/>
    </row>
    <row r="17" spans="1:10">
      <c r="A17" s="237">
        <f>A15+1</f>
        <v>7</v>
      </c>
      <c r="B17" s="218" t="s">
        <v>426</v>
      </c>
      <c r="C17" s="228"/>
      <c r="D17" s="228"/>
      <c r="E17" s="228"/>
      <c r="F17" s="228"/>
      <c r="G17" s="228"/>
      <c r="H17" s="228"/>
      <c r="I17" s="228">
        <f>SUM(C17:H17)</f>
        <v>0</v>
      </c>
      <c r="J17" s="246"/>
    </row>
    <row r="18" spans="1:10">
      <c r="A18" s="237">
        <f>A17+1</f>
        <v>8</v>
      </c>
      <c r="B18" s="218" t="s">
        <v>121</v>
      </c>
      <c r="C18" s="230"/>
      <c r="D18" s="230"/>
      <c r="E18" s="230"/>
      <c r="F18" s="230"/>
      <c r="G18" s="230"/>
      <c r="H18" s="230"/>
      <c r="I18" s="230">
        <f>SUM(C18:H18)</f>
        <v>0</v>
      </c>
      <c r="J18" s="246"/>
    </row>
    <row r="19" spans="1:10">
      <c r="A19" s="237">
        <f>A18+1</f>
        <v>9</v>
      </c>
      <c r="B19" s="218" t="s">
        <v>123</v>
      </c>
      <c r="C19" s="229"/>
      <c r="D19" s="229"/>
      <c r="E19" s="229"/>
      <c r="F19" s="229"/>
      <c r="G19" s="229"/>
      <c r="H19" s="229"/>
      <c r="I19" s="229">
        <f>SUM(C19:H19)</f>
        <v>0</v>
      </c>
      <c r="J19" s="246"/>
    </row>
    <row r="20" spans="1:10">
      <c r="A20" s="237">
        <f>A19+1</f>
        <v>10</v>
      </c>
      <c r="B20" s="218" t="s">
        <v>301</v>
      </c>
      <c r="C20" s="230">
        <f t="shared" ref="C20:I20" si="1">SUM(C17:C19)</f>
        <v>0</v>
      </c>
      <c r="D20" s="230">
        <f t="shared" si="1"/>
        <v>0</v>
      </c>
      <c r="E20" s="230">
        <f t="shared" si="1"/>
        <v>0</v>
      </c>
      <c r="F20" s="230">
        <f t="shared" si="1"/>
        <v>0</v>
      </c>
      <c r="G20" s="230">
        <f t="shared" si="1"/>
        <v>0</v>
      </c>
      <c r="H20" s="230">
        <f t="shared" si="1"/>
        <v>0</v>
      </c>
      <c r="I20" s="230">
        <f t="shared" si="1"/>
        <v>0</v>
      </c>
      <c r="J20" s="246"/>
    </row>
    <row r="21" spans="1:10">
      <c r="A21" s="237"/>
      <c r="C21" s="230"/>
      <c r="D21" s="230"/>
      <c r="E21" s="230"/>
      <c r="F21" s="230"/>
      <c r="G21" s="230"/>
      <c r="H21" s="230"/>
      <c r="I21" s="230"/>
      <c r="J21" s="246"/>
    </row>
    <row r="22" spans="1:10">
      <c r="A22" s="237">
        <f>A20+1</f>
        <v>11</v>
      </c>
      <c r="B22" s="218" t="s">
        <v>300</v>
      </c>
      <c r="C22" s="228">
        <v>0</v>
      </c>
      <c r="D22" s="228">
        <v>0</v>
      </c>
      <c r="E22" s="228">
        <v>0</v>
      </c>
      <c r="F22" s="228">
        <v>0</v>
      </c>
      <c r="G22" s="228">
        <f>-G32</f>
        <v>0</v>
      </c>
      <c r="H22" s="228">
        <v>0</v>
      </c>
      <c r="I22" s="228">
        <f>SUM(C22:H22)</f>
        <v>0</v>
      </c>
      <c r="J22" s="246"/>
    </row>
    <row r="23" spans="1:10">
      <c r="A23" s="237"/>
      <c r="C23" s="228"/>
      <c r="D23" s="228"/>
      <c r="E23" s="228"/>
      <c r="F23" s="228"/>
      <c r="G23" s="228"/>
      <c r="H23" s="228"/>
      <c r="I23" s="228"/>
      <c r="J23" s="246"/>
    </row>
    <row r="24" spans="1:10" ht="16.5" customHeight="1">
      <c r="A24" s="237">
        <f>A22+1</f>
        <v>12</v>
      </c>
      <c r="B24" s="218" t="s">
        <v>427</v>
      </c>
      <c r="C24" s="228">
        <f>SUM('Capital Budget 2017'!K$21:K$23)+'Capital Budget 2017'!K$26</f>
        <v>70680</v>
      </c>
      <c r="D24" s="228">
        <f>SUM('Capital Budget 2017'!L$21:L$23)+'Capital Budget 2017'!L$26</f>
        <v>76380</v>
      </c>
      <c r="E24" s="228">
        <f>SUM('Capital Budget 2017'!M$21:M$23)+'Capital Budget 2017'!M$26</f>
        <v>79800</v>
      </c>
      <c r="F24" s="228">
        <f>SUM('Capital Budget 2017'!N$21:N$23)+'Capital Budget 2017'!N$26</f>
        <v>70680</v>
      </c>
      <c r="G24" s="228">
        <f>SUM('Capital Budget 2017'!O$21:O$23)+'Capital Budget 2017'!O$26</f>
        <v>76380</v>
      </c>
      <c r="H24" s="228">
        <f>SUM('Capital Budget 2017'!P$21:P$23)+'Capital Budget 2017'!P$26</f>
        <v>79800</v>
      </c>
      <c r="I24" s="228">
        <f>SUM(C24:H24)</f>
        <v>453720</v>
      </c>
      <c r="J24" s="246"/>
    </row>
    <row r="25" spans="1:10">
      <c r="A25" s="237">
        <f>A24+1</f>
        <v>13</v>
      </c>
      <c r="B25" s="218" t="s">
        <v>151</v>
      </c>
      <c r="C25" s="228">
        <f>SUM('Capital Budget 2017'!K$24:K$25)</f>
        <v>28195.65</v>
      </c>
      <c r="D25" s="228">
        <f>SUM('Capital Budget 2017'!L$24:L$25)</f>
        <v>33454.080000000002</v>
      </c>
      <c r="E25" s="228">
        <f>SUM('Capital Budget 2017'!M$24:M$25)</f>
        <v>29623.45</v>
      </c>
      <c r="F25" s="228">
        <f>SUM('Capital Budget 2017'!N$24:N$25)</f>
        <v>34518.44</v>
      </c>
      <c r="G25" s="228">
        <f>SUM('Capital Budget 2017'!O$24:O$25)</f>
        <v>28899.46</v>
      </c>
      <c r="H25" s="228">
        <f>SUM('Capital Budget 2017'!P$24:P$25)</f>
        <v>27551.32</v>
      </c>
      <c r="I25" s="228">
        <f>SUM(C25:H25)</f>
        <v>182242.40000000002</v>
      </c>
      <c r="J25" s="246"/>
    </row>
    <row r="26" spans="1:10">
      <c r="A26" s="237">
        <f>A25+1</f>
        <v>14</v>
      </c>
      <c r="B26" s="218" t="s">
        <v>152</v>
      </c>
      <c r="C26" s="229">
        <v>0</v>
      </c>
      <c r="D26" s="229">
        <v>0</v>
      </c>
      <c r="E26" s="229">
        <v>0</v>
      </c>
      <c r="F26" s="229">
        <v>0</v>
      </c>
      <c r="G26" s="229">
        <v>0</v>
      </c>
      <c r="H26" s="229">
        <v>0</v>
      </c>
      <c r="I26" s="229">
        <f>SUM(C26:H26)</f>
        <v>0</v>
      </c>
      <c r="J26" s="379"/>
    </row>
    <row r="27" spans="1:10">
      <c r="A27" s="237">
        <f>A26+1</f>
        <v>15</v>
      </c>
      <c r="B27" s="218" t="s">
        <v>153</v>
      </c>
      <c r="C27" s="228">
        <f t="shared" ref="C27:I27" si="2">SUM(C24:C26)</f>
        <v>98875.65</v>
      </c>
      <c r="D27" s="228">
        <f t="shared" si="2"/>
        <v>109834.08</v>
      </c>
      <c r="E27" s="228">
        <f t="shared" si="2"/>
        <v>109423.45</v>
      </c>
      <c r="F27" s="228">
        <f t="shared" si="2"/>
        <v>105198.44</v>
      </c>
      <c r="G27" s="228">
        <f t="shared" si="2"/>
        <v>105279.45999999999</v>
      </c>
      <c r="H27" s="228">
        <f t="shared" si="2"/>
        <v>107351.32</v>
      </c>
      <c r="I27" s="228">
        <f t="shared" si="2"/>
        <v>635962.4</v>
      </c>
      <c r="J27" s="246"/>
    </row>
    <row r="28" spans="1:10">
      <c r="A28" s="237"/>
      <c r="C28" s="228"/>
      <c r="D28" s="228"/>
      <c r="E28" s="228"/>
      <c r="F28" s="228"/>
      <c r="G28" s="228"/>
      <c r="H28" s="228"/>
      <c r="I28" s="228"/>
      <c r="J28" s="246"/>
    </row>
    <row r="29" spans="1:10">
      <c r="A29" s="237">
        <f>A27+1</f>
        <v>16</v>
      </c>
      <c r="B29" s="218" t="s">
        <v>69</v>
      </c>
      <c r="C29" s="228">
        <f>'COS Budget 2017'!N33-'COS Budget 2017'!N32</f>
        <v>102067.34</v>
      </c>
      <c r="D29" s="228">
        <f>'COS Budget 2017'!O33-'COS Budget 2017'!O32</f>
        <v>136533.25999999992</v>
      </c>
      <c r="E29" s="228">
        <f>'COS Budget 2017'!P33-'COS Budget 2017'!P32</f>
        <v>129354.00000000003</v>
      </c>
      <c r="F29" s="228">
        <f>'COS Budget 2017'!Q33-'COS Budget 2017'!Q32</f>
        <v>148435.16999999995</v>
      </c>
      <c r="G29" s="228">
        <f>'COS Budget 2017'!R33-'COS Budget 2017'!R32</f>
        <v>116794.94999999998</v>
      </c>
      <c r="H29" s="228">
        <f>'COS Budget 2017'!S33-'COS Budget 2017'!S32</f>
        <v>115895.67000000001</v>
      </c>
      <c r="I29" s="228">
        <f>SUM(C29:H29)</f>
        <v>749080.3899999999</v>
      </c>
      <c r="J29" s="246"/>
    </row>
    <row r="30" spans="1:10">
      <c r="A30" s="237">
        <f>A29+1</f>
        <v>17</v>
      </c>
      <c r="B30" s="218" t="s">
        <v>292</v>
      </c>
      <c r="C30" s="228">
        <v>0</v>
      </c>
      <c r="D30" s="228">
        <v>0</v>
      </c>
      <c r="E30" s="228">
        <v>0</v>
      </c>
      <c r="F30" s="228">
        <v>0</v>
      </c>
      <c r="G30" s="228">
        <v>0</v>
      </c>
      <c r="H30" s="228">
        <v>0</v>
      </c>
      <c r="I30" s="228">
        <f>SUM(C30:H30)</f>
        <v>0</v>
      </c>
      <c r="J30" s="246"/>
    </row>
    <row r="32" spans="1:10">
      <c r="F32" s="269"/>
      <c r="G32" s="228"/>
    </row>
    <row r="34" spans="2:8">
      <c r="G34" s="222"/>
      <c r="H34" s="222"/>
    </row>
    <row r="35" spans="2:8">
      <c r="B35" s="222"/>
      <c r="C35" s="222"/>
      <c r="D35" s="222"/>
      <c r="E35" s="222"/>
      <c r="F35" s="222"/>
      <c r="G35" s="222"/>
      <c r="H35" s="222"/>
    </row>
    <row r="36" spans="2:8">
      <c r="B36" s="222"/>
      <c r="C36" s="222"/>
      <c r="D36" s="222"/>
      <c r="E36" s="222"/>
      <c r="F36" s="222"/>
      <c r="G36" s="222"/>
      <c r="H36" s="222"/>
    </row>
    <row r="37" spans="2:8">
      <c r="B37" s="222"/>
      <c r="C37" s="222"/>
      <c r="D37" s="222"/>
      <c r="E37" s="222"/>
      <c r="F37" s="222"/>
      <c r="G37" s="222"/>
      <c r="H37" s="222"/>
    </row>
    <row r="38" spans="2:8">
      <c r="B38" s="222"/>
      <c r="C38" s="222"/>
      <c r="D38" s="222"/>
      <c r="E38" s="222"/>
      <c r="F38" s="222"/>
      <c r="G38" s="222"/>
      <c r="H38" s="222"/>
    </row>
    <row r="39" spans="2:8">
      <c r="B39" s="222"/>
      <c r="C39" s="222"/>
      <c r="D39" s="222"/>
      <c r="E39" s="222"/>
      <c r="F39" s="222"/>
      <c r="G39" s="222"/>
      <c r="H39" s="222"/>
    </row>
    <row r="40" spans="2:8">
      <c r="B40" s="222"/>
      <c r="C40" s="222"/>
      <c r="D40" s="222"/>
      <c r="E40" s="222"/>
      <c r="F40" s="222"/>
      <c r="G40" s="222"/>
      <c r="H40" s="222"/>
    </row>
    <row r="41" spans="2:8">
      <c r="B41" s="222"/>
      <c r="C41" s="222"/>
      <c r="D41" s="222"/>
      <c r="E41" s="222"/>
      <c r="F41" s="222"/>
      <c r="G41" s="222"/>
      <c r="H41" s="222"/>
    </row>
    <row r="42" spans="2:8">
      <c r="B42" s="222"/>
      <c r="C42" s="222"/>
      <c r="D42" s="222"/>
      <c r="E42" s="222"/>
      <c r="F42" s="222"/>
      <c r="G42" s="222"/>
      <c r="H42" s="222"/>
    </row>
    <row r="43" spans="2:8">
      <c r="B43" s="222"/>
      <c r="C43" s="222"/>
      <c r="D43" s="222"/>
      <c r="E43" s="222"/>
      <c r="F43" s="222"/>
      <c r="G43" s="222"/>
      <c r="H43" s="222"/>
    </row>
    <row r="44" spans="2:8">
      <c r="B44" s="222"/>
      <c r="C44" s="222"/>
      <c r="D44" s="222"/>
      <c r="E44" s="222"/>
      <c r="F44" s="222"/>
      <c r="G44" s="222"/>
      <c r="H44" s="222"/>
    </row>
    <row r="45" spans="2:8">
      <c r="B45" s="222"/>
      <c r="C45" s="222"/>
      <c r="D45" s="222"/>
      <c r="E45" s="222"/>
      <c r="F45" s="222"/>
      <c r="G45" s="222"/>
      <c r="H45" s="222"/>
    </row>
    <row r="46" spans="2:8">
      <c r="B46" s="222"/>
      <c r="C46" s="222"/>
      <c r="D46" s="222"/>
      <c r="E46" s="222"/>
      <c r="F46" s="222"/>
      <c r="G46" s="222"/>
      <c r="H46" s="222"/>
    </row>
    <row r="47" spans="2:8">
      <c r="B47" s="222"/>
      <c r="C47" s="222"/>
      <c r="D47" s="222"/>
      <c r="E47" s="222"/>
      <c r="F47" s="222"/>
      <c r="G47" s="222"/>
      <c r="H47" s="222"/>
    </row>
    <row r="48" spans="2:8">
      <c r="B48" s="222"/>
      <c r="C48" s="222"/>
      <c r="D48" s="222"/>
      <c r="E48" s="222"/>
      <c r="F48" s="222"/>
      <c r="G48" s="222"/>
      <c r="H48" s="222"/>
    </row>
  </sheetData>
  <mergeCells count="3">
    <mergeCell ref="B1:I1"/>
    <mergeCell ref="B3:I3"/>
    <mergeCell ref="A2:I2"/>
  </mergeCells>
  <pageMargins left="0.7" right="0.7" top="0.75" bottom="0.75" header="0.3" footer="0.3"/>
  <pageSetup scale="76" orientation="landscape" r:id="rId1"/>
  <headerFooter>
    <oddFooter>&amp;R&amp;"Times New Roman,Bold"&amp;12Attachment to PSC Post Hearing Data Request Question No. 3
Revised Exhibit RMC-1
Page 5 of 12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431</v>
      </c>
      <c r="B2" s="561"/>
      <c r="C2" s="561"/>
      <c r="D2" s="561"/>
      <c r="E2" s="561"/>
      <c r="F2" s="561"/>
      <c r="G2" s="561"/>
      <c r="H2" s="561"/>
      <c r="I2" s="561"/>
      <c r="J2" s="561"/>
      <c r="K2" s="561"/>
      <c r="L2" s="561"/>
      <c r="M2" s="561"/>
      <c r="N2" s="561"/>
      <c r="O2" s="561"/>
      <c r="P2" s="561"/>
      <c r="Q2" s="561"/>
      <c r="R2" s="561"/>
    </row>
    <row r="3" spans="1:18" ht="18.75">
      <c r="A3" s="560" t="s">
        <v>364</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380"/>
      <c r="B5" s="84"/>
      <c r="C5" s="84"/>
      <c r="D5" s="84"/>
      <c r="E5" s="84"/>
      <c r="F5" s="84"/>
      <c r="G5" s="84"/>
      <c r="H5" s="84"/>
      <c r="I5" s="84"/>
      <c r="J5" s="84"/>
      <c r="K5" s="84"/>
      <c r="L5" s="84"/>
      <c r="M5" s="84"/>
      <c r="N5" s="84"/>
      <c r="O5" s="84"/>
      <c r="P5" s="84"/>
      <c r="Q5" s="84"/>
    </row>
    <row r="6" spans="1:18">
      <c r="C6" s="84"/>
      <c r="D6" s="84"/>
      <c r="E6" s="84"/>
      <c r="F6" s="84" t="s">
        <v>185</v>
      </c>
      <c r="G6" s="84"/>
      <c r="H6" s="84"/>
      <c r="I6" s="84"/>
      <c r="J6" s="84" t="s">
        <v>185</v>
      </c>
      <c r="K6" s="84"/>
      <c r="L6" s="84" t="s">
        <v>185</v>
      </c>
      <c r="M6" s="84"/>
      <c r="N6" s="84"/>
      <c r="O6" s="84"/>
      <c r="P6" s="84"/>
      <c r="Q6" s="84"/>
      <c r="R6" s="84" t="s">
        <v>185</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c r="H13" s="1">
        <f>1.61784%/12</f>
        <v>1.3481999999999999E-3</v>
      </c>
      <c r="J13" s="69">
        <f>F13*H13</f>
        <v>0</v>
      </c>
      <c r="L13" s="69">
        <f>'Cap&amp;OpEx 2017'!C10</f>
        <v>1522731.4700000002</v>
      </c>
      <c r="N13" s="69">
        <f>H13*L13*0.5</f>
        <v>1026.473283927</v>
      </c>
      <c r="P13" s="80">
        <f>J13+N13</f>
        <v>1026.473283927</v>
      </c>
      <c r="R13" s="80">
        <f>L13+F13</f>
        <v>1522731.4700000002</v>
      </c>
    </row>
    <row r="14" spans="1:18">
      <c r="A14" s="74">
        <f>A13+1</f>
        <v>2</v>
      </c>
      <c r="B14" s="67"/>
      <c r="C14" s="77" t="s">
        <v>73</v>
      </c>
      <c r="D14" s="74">
        <v>380</v>
      </c>
      <c r="F14" s="69"/>
      <c r="H14" s="1">
        <f>3.24424%/12</f>
        <v>2.7035333333333337E-3</v>
      </c>
      <c r="J14" s="69">
        <f>F14*H14</f>
        <v>0</v>
      </c>
      <c r="L14" s="69">
        <f>'Cap&amp;OpEx 2017'!C12</f>
        <v>161143.96000000002</v>
      </c>
      <c r="N14" s="69">
        <f>H14*L14*0.5</f>
        <v>217.82903366266672</v>
      </c>
      <c r="P14" s="80">
        <f>J14+N14</f>
        <v>217.82903366266672</v>
      </c>
      <c r="R14" s="80">
        <f>L14+F14</f>
        <v>161143.96000000002</v>
      </c>
    </row>
    <row r="15" spans="1:18">
      <c r="A15" s="74">
        <f>A14+1</f>
        <v>3</v>
      </c>
      <c r="B15" s="67"/>
      <c r="C15" s="77" t="s">
        <v>74</v>
      </c>
      <c r="D15" s="74">
        <v>380</v>
      </c>
      <c r="F15" s="69"/>
      <c r="H15" s="1">
        <f t="shared" ref="H15:H16" si="0">3.24424%/12</f>
        <v>2.7035333333333337E-3</v>
      </c>
      <c r="J15" s="69">
        <f>F15*H15</f>
        <v>0</v>
      </c>
      <c r="L15" s="69">
        <f>'Cap&amp;OpEx 2017'!C13</f>
        <v>2185828.1800000002</v>
      </c>
      <c r="N15" s="69">
        <f>H15*L15*0.5</f>
        <v>2954.7296727846674</v>
      </c>
      <c r="P15" s="80">
        <f>J15+N15</f>
        <v>2954.7296727846674</v>
      </c>
      <c r="R15" s="80">
        <f>L15+F15</f>
        <v>2185828.1800000002</v>
      </c>
    </row>
    <row r="16" spans="1:18">
      <c r="A16" s="74">
        <f>A15+1</f>
        <v>4</v>
      </c>
      <c r="B16" s="67"/>
      <c r="C16" s="67" t="s">
        <v>256</v>
      </c>
      <c r="D16" s="74">
        <v>380</v>
      </c>
      <c r="F16" s="69"/>
      <c r="H16" s="1">
        <f t="shared" si="0"/>
        <v>2.7035333333333337E-3</v>
      </c>
      <c r="J16" s="69">
        <f>F16*H16</f>
        <v>0</v>
      </c>
      <c r="L16" s="69">
        <f>'Cap&amp;OpEx 2017'!C14</f>
        <v>493451.51999999996</v>
      </c>
      <c r="N16" s="69">
        <f>H16*L16*0.5</f>
        <v>667.03131635200009</v>
      </c>
      <c r="P16" s="80">
        <f>J16+N16</f>
        <v>667.03131635200009</v>
      </c>
      <c r="R16" s="80">
        <f>L16+F16</f>
        <v>493451.51999999996</v>
      </c>
    </row>
    <row r="17" spans="1:18">
      <c r="A17" s="74">
        <f>A16+1</f>
        <v>5</v>
      </c>
      <c r="B17" s="67"/>
      <c r="C17" s="67" t="s">
        <v>26</v>
      </c>
      <c r="F17" s="81">
        <f>SUM(F13:F16)</f>
        <v>0</v>
      </c>
      <c r="J17" s="81">
        <f>SUM(J13:J16)</f>
        <v>0</v>
      </c>
      <c r="L17" s="81">
        <f>SUM(L13:L16)</f>
        <v>4363155.13</v>
      </c>
      <c r="N17" s="81">
        <f>SUM(N13:N16)</f>
        <v>4866.0633067263343</v>
      </c>
      <c r="P17" s="81">
        <f>SUM(P13:P16)</f>
        <v>4866.0633067263343</v>
      </c>
      <c r="R17" s="81">
        <f>SUM(R13:R16)</f>
        <v>4363155.13</v>
      </c>
    </row>
    <row r="18" spans="1:18">
      <c r="B18" s="67"/>
    </row>
    <row r="19" spans="1:18">
      <c r="B19" s="79" t="s">
        <v>13</v>
      </c>
      <c r="C19" s="79"/>
    </row>
    <row r="20" spans="1:18">
      <c r="A20" s="74">
        <f>A17+1</f>
        <v>6</v>
      </c>
      <c r="B20" s="67"/>
      <c r="C20" s="67" t="s">
        <v>25</v>
      </c>
      <c r="D20" s="74">
        <v>376</v>
      </c>
      <c r="F20" s="69"/>
      <c r="H20" s="1">
        <f>1.61784%/12</f>
        <v>1.3481999999999999E-3</v>
      </c>
      <c r="J20" s="69">
        <f>F20*H20</f>
        <v>0</v>
      </c>
      <c r="L20" s="69">
        <f>'Cap&amp;OpEx 2017'!C17</f>
        <v>0</v>
      </c>
      <c r="N20" s="69">
        <f>H20*L20*0.5</f>
        <v>0</v>
      </c>
      <c r="P20" s="80">
        <f>J20+N20</f>
        <v>0</v>
      </c>
      <c r="R20" s="80">
        <f>L20+F20</f>
        <v>0</v>
      </c>
    </row>
    <row r="21" spans="1:18">
      <c r="A21" s="74">
        <f>A20+1</f>
        <v>7</v>
      </c>
      <c r="B21" s="67"/>
      <c r="C21" s="77" t="s">
        <v>73</v>
      </c>
      <c r="D21" s="74">
        <v>380</v>
      </c>
      <c r="F21" s="69"/>
      <c r="H21" s="1">
        <f>3.24424%/12</f>
        <v>2.7035333333333337E-3</v>
      </c>
      <c r="J21" s="69">
        <f>F21*H21</f>
        <v>0</v>
      </c>
      <c r="L21" s="69">
        <f>'Cap&amp;OpEx 2017'!C18</f>
        <v>0</v>
      </c>
      <c r="N21" s="69">
        <f>H21*L21*0.5</f>
        <v>0</v>
      </c>
      <c r="P21" s="80">
        <f>J21+N21</f>
        <v>0</v>
      </c>
      <c r="R21" s="80">
        <f>L21+F21</f>
        <v>0</v>
      </c>
    </row>
    <row r="22" spans="1:18">
      <c r="A22" s="74">
        <f>A21+1</f>
        <v>8</v>
      </c>
      <c r="B22" s="67"/>
      <c r="C22" s="77" t="s">
        <v>74</v>
      </c>
      <c r="D22" s="74">
        <v>380</v>
      </c>
      <c r="F22" s="69"/>
      <c r="H22" s="1">
        <f t="shared" ref="H22" si="1">3.24424%/12</f>
        <v>2.7035333333333337E-3</v>
      </c>
      <c r="J22" s="69">
        <f>F22*H22</f>
        <v>0</v>
      </c>
      <c r="L22" s="69">
        <f>'Cap&amp;OpEx 2017'!C19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0</v>
      </c>
      <c r="J25" s="83">
        <f>J17+J23</f>
        <v>0</v>
      </c>
      <c r="L25" s="83">
        <f>L17+L23</f>
        <v>4363155.13</v>
      </c>
      <c r="N25" s="83">
        <f>N17+N23</f>
        <v>4866.0633067263343</v>
      </c>
      <c r="P25" s="83">
        <f>P17+P23</f>
        <v>4866.0633067263343</v>
      </c>
      <c r="R25" s="83">
        <f>R17+R23</f>
        <v>4363155.13</v>
      </c>
    </row>
    <row r="26" spans="1:18" ht="16.5" thickTop="1">
      <c r="B26" s="67"/>
    </row>
    <row r="27" spans="1:18">
      <c r="B27" s="82" t="s">
        <v>23</v>
      </c>
      <c r="C27" s="82"/>
    </row>
    <row r="28" spans="1:18">
      <c r="A28" s="74">
        <f>A25+1</f>
        <v>11</v>
      </c>
      <c r="B28" s="67"/>
      <c r="C28" s="67" t="s">
        <v>25</v>
      </c>
      <c r="D28" s="74">
        <v>376</v>
      </c>
      <c r="F28" s="69"/>
      <c r="L28" s="69">
        <f>'Cap&amp;OpEx 2017'!C24</f>
        <v>70680</v>
      </c>
      <c r="R28" s="80">
        <f>L28+F28</f>
        <v>70680</v>
      </c>
    </row>
    <row r="29" spans="1:18">
      <c r="A29" s="74">
        <f>A28+1</f>
        <v>12</v>
      </c>
      <c r="B29" s="67"/>
      <c r="C29" s="77" t="s">
        <v>73</v>
      </c>
      <c r="D29" s="74">
        <v>380</v>
      </c>
      <c r="F29" s="69"/>
      <c r="L29" s="69">
        <f>'Cap&amp;OpEx 2017'!C25</f>
        <v>28195.65</v>
      </c>
      <c r="R29" s="80">
        <f>L29+F29</f>
        <v>28195.65</v>
      </c>
    </row>
    <row r="30" spans="1:18">
      <c r="A30" s="74">
        <f>A29+1</f>
        <v>13</v>
      </c>
      <c r="B30" s="67"/>
      <c r="C30" s="77" t="s">
        <v>74</v>
      </c>
      <c r="D30" s="74">
        <v>380</v>
      </c>
      <c r="F30" s="69"/>
      <c r="L30" s="69">
        <f>'Cap&amp;OpEx 2017'!C26</f>
        <v>0</v>
      </c>
      <c r="R30" s="80">
        <f>L30+F30</f>
        <v>0</v>
      </c>
    </row>
    <row r="31" spans="1:18">
      <c r="A31" s="74">
        <f>A30+1</f>
        <v>14</v>
      </c>
      <c r="B31" s="67"/>
      <c r="C31" s="67" t="s">
        <v>28</v>
      </c>
      <c r="F31" s="81">
        <f>SUM(F28:F30)</f>
        <v>0</v>
      </c>
      <c r="J31" s="81">
        <f>SUM(J28:J30)</f>
        <v>0</v>
      </c>
      <c r="L31" s="81">
        <f>SUM(L28:L30)</f>
        <v>98875.65</v>
      </c>
      <c r="N31" s="81">
        <f>SUM(N28:N30)</f>
        <v>0</v>
      </c>
      <c r="P31" s="81">
        <f>SUM(P28:P30)</f>
        <v>0</v>
      </c>
      <c r="R31" s="81">
        <f>SUM(R28:R30)</f>
        <v>98875.65</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Roman,Bold"&amp;12Attachment to PSC Post Hearing Data Request Question No. 3
Revised Exhibit RMC-1
Page 6 of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431</v>
      </c>
      <c r="B2" s="561"/>
      <c r="C2" s="561"/>
      <c r="D2" s="561"/>
      <c r="E2" s="561"/>
      <c r="F2" s="561"/>
      <c r="G2" s="561"/>
      <c r="H2" s="561"/>
      <c r="I2" s="561"/>
      <c r="J2" s="561"/>
      <c r="K2" s="561"/>
      <c r="L2" s="561"/>
      <c r="M2" s="561"/>
      <c r="N2" s="561"/>
      <c r="O2" s="561"/>
      <c r="P2" s="561"/>
      <c r="Q2" s="561"/>
      <c r="R2" s="561"/>
    </row>
    <row r="3" spans="1:18" ht="18.75">
      <c r="A3" s="560" t="s">
        <v>365</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380"/>
      <c r="B5" s="84"/>
      <c r="C5" s="84"/>
      <c r="D5" s="84"/>
      <c r="E5" s="84"/>
      <c r="F5" s="84"/>
      <c r="G5" s="84"/>
      <c r="H5" s="84"/>
      <c r="I5" s="84"/>
      <c r="J5" s="84"/>
      <c r="K5" s="84"/>
      <c r="L5" s="84"/>
      <c r="M5" s="84"/>
      <c r="N5" s="84"/>
      <c r="O5" s="84"/>
      <c r="P5" s="84"/>
      <c r="Q5" s="84"/>
    </row>
    <row r="6" spans="1:18">
      <c r="C6" s="84"/>
      <c r="D6" s="84"/>
      <c r="E6" s="84"/>
      <c r="F6" s="84" t="s">
        <v>186</v>
      </c>
      <c r="G6" s="84"/>
      <c r="H6" s="84"/>
      <c r="I6" s="84"/>
      <c r="J6" s="84" t="s">
        <v>186</v>
      </c>
      <c r="K6" s="84"/>
      <c r="L6" s="84" t="s">
        <v>186</v>
      </c>
      <c r="M6" s="84"/>
      <c r="N6" s="84"/>
      <c r="O6" s="84"/>
      <c r="P6" s="84"/>
      <c r="Q6" s="84"/>
      <c r="R6" s="84" t="s">
        <v>186</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'201707 Bk Depr'!R13</f>
        <v>1522731.4700000002</v>
      </c>
      <c r="H13" s="1">
        <f>1.61784%/12</f>
        <v>1.3481999999999999E-3</v>
      </c>
      <c r="J13" s="69">
        <f>F13*H13</f>
        <v>2052.946567854</v>
      </c>
      <c r="L13" s="69">
        <f>'Cap&amp;OpEx 2017'!D10</f>
        <v>1551030.29</v>
      </c>
      <c r="N13" s="69">
        <f>H13*L13*0.5</f>
        <v>1045.5495184889999</v>
      </c>
      <c r="P13" s="80">
        <f>J13+N13</f>
        <v>3098.4960863429997</v>
      </c>
      <c r="R13" s="80">
        <f>L13+F13</f>
        <v>3073761.7600000002</v>
      </c>
    </row>
    <row r="14" spans="1:18">
      <c r="A14" s="74">
        <f>A13+1</f>
        <v>2</v>
      </c>
      <c r="B14" s="67"/>
      <c r="C14" s="77" t="s">
        <v>73</v>
      </c>
      <c r="D14" s="74">
        <v>380</v>
      </c>
      <c r="F14" s="69">
        <f>'201707 Bk Depr'!R14</f>
        <v>161143.96000000002</v>
      </c>
      <c r="H14" s="1">
        <f>3.24424%/12</f>
        <v>2.7035333333333337E-3</v>
      </c>
      <c r="J14" s="69">
        <f>F14*H14</f>
        <v>435.65806732533343</v>
      </c>
      <c r="L14" s="69">
        <f>'Cap&amp;OpEx 2017'!D12</f>
        <v>196373.9</v>
      </c>
      <c r="N14" s="69">
        <f>H14*L14*0.5</f>
        <v>265.45169222333334</v>
      </c>
      <c r="P14" s="80">
        <f>J14+N14</f>
        <v>701.10975954866672</v>
      </c>
      <c r="R14" s="80">
        <f>L14+F14</f>
        <v>357517.86</v>
      </c>
    </row>
    <row r="15" spans="1:18">
      <c r="A15" s="74">
        <f>A14+1</f>
        <v>3</v>
      </c>
      <c r="B15" s="67"/>
      <c r="C15" s="77" t="s">
        <v>74</v>
      </c>
      <c r="D15" s="74">
        <v>380</v>
      </c>
      <c r="F15" s="69">
        <f>'201707 Bk Depr'!R15</f>
        <v>2185828.1800000002</v>
      </c>
      <c r="H15" s="1">
        <f t="shared" ref="H15:H16" si="0">3.24424%/12</f>
        <v>2.7035333333333337E-3</v>
      </c>
      <c r="J15" s="69">
        <f>F15*H15</f>
        <v>5909.4593455693348</v>
      </c>
      <c r="L15" s="69">
        <f>'Cap&amp;OpEx 2017'!D13</f>
        <v>2398315.15</v>
      </c>
      <c r="N15" s="69">
        <f>H15*L15*0.5</f>
        <v>3241.9624759316671</v>
      </c>
      <c r="P15" s="80">
        <f>J15+N15</f>
        <v>9151.4218215010023</v>
      </c>
      <c r="R15" s="80">
        <f>L15+F15</f>
        <v>4584143.33</v>
      </c>
    </row>
    <row r="16" spans="1:18">
      <c r="A16" s="74">
        <f>A15+1</f>
        <v>4</v>
      </c>
      <c r="B16" s="67"/>
      <c r="C16" s="67" t="s">
        <v>256</v>
      </c>
      <c r="D16" s="74">
        <v>380</v>
      </c>
      <c r="F16" s="69">
        <f>'201707 Bk Depr'!R16</f>
        <v>493451.51999999996</v>
      </c>
      <c r="H16" s="1">
        <f t="shared" si="0"/>
        <v>2.7035333333333337E-3</v>
      </c>
      <c r="J16" s="69">
        <f>F16*H16</f>
        <v>1334.0626327040002</v>
      </c>
      <c r="L16" s="69">
        <f>'Cap&amp;OpEx 2017'!D14</f>
        <v>592619.37</v>
      </c>
      <c r="N16" s="69">
        <f>H16*L16*0.5</f>
        <v>801.08311038700015</v>
      </c>
      <c r="P16" s="80">
        <f>J16+N16</f>
        <v>2135.1457430910004</v>
      </c>
      <c r="R16" s="80">
        <f>L16+F16</f>
        <v>1086070.8899999999</v>
      </c>
    </row>
    <row r="17" spans="1:18">
      <c r="A17" s="74">
        <f>A16+1</f>
        <v>5</v>
      </c>
      <c r="B17" s="67"/>
      <c r="C17" s="67" t="s">
        <v>26</v>
      </c>
      <c r="F17" s="81">
        <f>SUM(F13:F16)</f>
        <v>4363155.13</v>
      </c>
      <c r="J17" s="81">
        <f>SUM(J13:J16)</f>
        <v>9732.1266134526686</v>
      </c>
      <c r="L17" s="81">
        <f>SUM(L13:L16)</f>
        <v>4738338.71</v>
      </c>
      <c r="N17" s="81">
        <f>SUM(N13:N16)</f>
        <v>5354.046797031001</v>
      </c>
      <c r="P17" s="81">
        <f>SUM(P13:P16)</f>
        <v>15086.173410483669</v>
      </c>
      <c r="R17" s="81">
        <f>SUM(R13:R16)</f>
        <v>9101493.8399999999</v>
      </c>
    </row>
    <row r="18" spans="1:18">
      <c r="B18" s="67"/>
    </row>
    <row r="19" spans="1:18">
      <c r="B19" s="79" t="s">
        <v>13</v>
      </c>
      <c r="C19" s="79"/>
    </row>
    <row r="20" spans="1:18">
      <c r="A20" s="74">
        <f>A17+1</f>
        <v>6</v>
      </c>
      <c r="B20" s="67"/>
      <c r="C20" s="67" t="s">
        <v>25</v>
      </c>
      <c r="D20" s="74">
        <v>376</v>
      </c>
      <c r="F20" s="69">
        <f>'201707 Bk Depr'!R20</f>
        <v>0</v>
      </c>
      <c r="H20" s="1">
        <f>1.61784%/12</f>
        <v>1.3481999999999999E-3</v>
      </c>
      <c r="J20" s="69">
        <f>F20*H20</f>
        <v>0</v>
      </c>
      <c r="L20" s="69">
        <f>'Cap&amp;OpEx 2017'!D17</f>
        <v>0</v>
      </c>
      <c r="N20" s="69">
        <f>H20*L20*0.5</f>
        <v>0</v>
      </c>
      <c r="P20" s="80">
        <f>J20+N20</f>
        <v>0</v>
      </c>
      <c r="R20" s="80">
        <f>L20+F20</f>
        <v>0</v>
      </c>
    </row>
    <row r="21" spans="1:18">
      <c r="A21" s="74">
        <f>A20+1</f>
        <v>7</v>
      </c>
      <c r="B21" s="67"/>
      <c r="C21" s="77" t="s">
        <v>73</v>
      </c>
      <c r="D21" s="74">
        <v>380</v>
      </c>
      <c r="F21" s="69">
        <f>'201707 Bk Depr'!R21</f>
        <v>0</v>
      </c>
      <c r="H21" s="1">
        <f>3.24424%/12</f>
        <v>2.7035333333333337E-3</v>
      </c>
      <c r="J21" s="69">
        <f>F21*H21</f>
        <v>0</v>
      </c>
      <c r="L21" s="69">
        <f>'Cap&amp;OpEx 2017'!D18</f>
        <v>0</v>
      </c>
      <c r="N21" s="69">
        <f>H21*L21*0.5</f>
        <v>0</v>
      </c>
      <c r="P21" s="80">
        <f>J21+N21</f>
        <v>0</v>
      </c>
      <c r="R21" s="80">
        <f>L21+F21</f>
        <v>0</v>
      </c>
    </row>
    <row r="22" spans="1:18">
      <c r="A22" s="74">
        <f>A21+1</f>
        <v>8</v>
      </c>
      <c r="B22" s="67"/>
      <c r="C22" s="77" t="s">
        <v>74</v>
      </c>
      <c r="D22" s="74">
        <v>380</v>
      </c>
      <c r="F22" s="69">
        <f>'201707 Bk Depr'!R22</f>
        <v>0</v>
      </c>
      <c r="H22" s="1">
        <f t="shared" ref="H22" si="1">3.24424%/12</f>
        <v>2.7035333333333337E-3</v>
      </c>
      <c r="J22" s="69">
        <f>F22*H22</f>
        <v>0</v>
      </c>
      <c r="L22" s="69">
        <f>'Cap&amp;OpEx 2017'!D19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4363155.13</v>
      </c>
      <c r="J25" s="83">
        <f>J17+J23</f>
        <v>9732.1266134526686</v>
      </c>
      <c r="L25" s="83">
        <f>L17+L23</f>
        <v>4738338.71</v>
      </c>
      <c r="N25" s="83">
        <f>N17+N23</f>
        <v>5354.046797031001</v>
      </c>
      <c r="P25" s="83">
        <f>P17+P23</f>
        <v>15086.173410483669</v>
      </c>
      <c r="R25" s="83">
        <f>R17+R23</f>
        <v>9101493.8399999999</v>
      </c>
    </row>
    <row r="26" spans="1:18" ht="16.5" thickTop="1">
      <c r="B26" s="67"/>
    </row>
    <row r="27" spans="1:18">
      <c r="B27" s="82" t="s">
        <v>23</v>
      </c>
      <c r="C27" s="82"/>
    </row>
    <row r="28" spans="1:18">
      <c r="A28" s="74">
        <f>A25+1</f>
        <v>11</v>
      </c>
      <c r="B28" s="67"/>
      <c r="C28" s="67" t="s">
        <v>25</v>
      </c>
      <c r="D28" s="74">
        <v>376</v>
      </c>
      <c r="F28" s="69">
        <f>'201707 Bk Depr'!R28</f>
        <v>70680</v>
      </c>
      <c r="L28" s="69">
        <f>'Cap&amp;OpEx 2017'!D24</f>
        <v>76380</v>
      </c>
      <c r="R28" s="80">
        <f>L28+F28</f>
        <v>147060</v>
      </c>
    </row>
    <row r="29" spans="1:18">
      <c r="A29" s="74">
        <f>A28+1</f>
        <v>12</v>
      </c>
      <c r="B29" s="67"/>
      <c r="C29" s="77" t="s">
        <v>73</v>
      </c>
      <c r="D29" s="74">
        <v>380</v>
      </c>
      <c r="F29" s="69">
        <f>'201707 Bk Depr'!R29</f>
        <v>28195.65</v>
      </c>
      <c r="L29" s="69">
        <f>'Cap&amp;OpEx 2017'!D25</f>
        <v>33454.080000000002</v>
      </c>
      <c r="R29" s="80">
        <f>L29+F29</f>
        <v>61649.73</v>
      </c>
    </row>
    <row r="30" spans="1:18">
      <c r="A30" s="74">
        <f>A29+1</f>
        <v>13</v>
      </c>
      <c r="B30" s="67"/>
      <c r="C30" s="77" t="s">
        <v>74</v>
      </c>
      <c r="D30" s="74">
        <v>380</v>
      </c>
      <c r="F30" s="69">
        <f>'201707 Bk Depr'!R30</f>
        <v>0</v>
      </c>
      <c r="L30" s="69">
        <f>'Cap&amp;OpEx 2017'!D26</f>
        <v>0</v>
      </c>
      <c r="R30" s="80">
        <f>L30+F30</f>
        <v>0</v>
      </c>
    </row>
    <row r="31" spans="1:18">
      <c r="A31" s="74">
        <f>A30+1</f>
        <v>14</v>
      </c>
      <c r="B31" s="67"/>
      <c r="C31" s="67" t="s">
        <v>28</v>
      </c>
      <c r="F31" s="81">
        <f>SUM(F28:F30)</f>
        <v>98875.65</v>
      </c>
      <c r="J31" s="81">
        <f>SUM(J28:J30)</f>
        <v>0</v>
      </c>
      <c r="L31" s="81">
        <f>SUM(L28:L30)</f>
        <v>109834.08</v>
      </c>
      <c r="N31" s="81">
        <f>SUM(N28:N30)</f>
        <v>0</v>
      </c>
      <c r="P31" s="81">
        <f>SUM(P28:P30)</f>
        <v>0</v>
      </c>
      <c r="R31" s="81">
        <f>SUM(R28:R30)</f>
        <v>208709.73</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Roman,Bold"&amp;12Attachment to PSC Post Hearing Data Request Question No. 3
Revised Exhibit RMC-1
Page 7 of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431</v>
      </c>
      <c r="B2" s="561"/>
      <c r="C2" s="561"/>
      <c r="D2" s="561"/>
      <c r="E2" s="561"/>
      <c r="F2" s="561"/>
      <c r="G2" s="561"/>
      <c r="H2" s="561"/>
      <c r="I2" s="561"/>
      <c r="J2" s="561"/>
      <c r="K2" s="561"/>
      <c r="L2" s="561"/>
      <c r="M2" s="561"/>
      <c r="N2" s="561"/>
      <c r="O2" s="561"/>
      <c r="P2" s="561"/>
      <c r="Q2" s="561"/>
      <c r="R2" s="561"/>
    </row>
    <row r="3" spans="1:18" ht="18.75">
      <c r="A3" s="560" t="s">
        <v>366</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380"/>
      <c r="B5" s="84"/>
      <c r="C5" s="84"/>
      <c r="D5" s="84"/>
      <c r="E5" s="84"/>
      <c r="F5" s="84"/>
      <c r="G5" s="84"/>
      <c r="H5" s="84"/>
      <c r="I5" s="84"/>
      <c r="J5" s="84"/>
      <c r="K5" s="84"/>
      <c r="L5" s="84"/>
      <c r="M5" s="84"/>
      <c r="N5" s="84"/>
      <c r="O5" s="84"/>
      <c r="P5" s="84"/>
      <c r="Q5" s="84"/>
    </row>
    <row r="6" spans="1:18">
      <c r="C6" s="84"/>
      <c r="D6" s="84"/>
      <c r="E6" s="84"/>
      <c r="F6" s="84" t="s">
        <v>187</v>
      </c>
      <c r="G6" s="84"/>
      <c r="H6" s="84"/>
      <c r="I6" s="84"/>
      <c r="J6" s="84" t="s">
        <v>187</v>
      </c>
      <c r="K6" s="84"/>
      <c r="L6" s="84" t="s">
        <v>187</v>
      </c>
      <c r="M6" s="84"/>
      <c r="N6" s="84"/>
      <c r="O6" s="84"/>
      <c r="P6" s="84"/>
      <c r="Q6" s="84"/>
      <c r="R6" s="84" t="s">
        <v>187</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'201708 Bk Depr'!R13</f>
        <v>3073761.7600000002</v>
      </c>
      <c r="H13" s="1">
        <f>1.61784%/12</f>
        <v>1.3481999999999999E-3</v>
      </c>
      <c r="J13" s="69">
        <f>F13*H13</f>
        <v>4144.0456048320002</v>
      </c>
      <c r="L13" s="69">
        <f>'Cap&amp;OpEx 2017'!E10</f>
        <v>1372552</v>
      </c>
      <c r="N13" s="69">
        <f>H13*L13*0.5</f>
        <v>925.23730319999993</v>
      </c>
      <c r="P13" s="80">
        <f>J13+N13</f>
        <v>5069.2829080319998</v>
      </c>
      <c r="R13" s="80">
        <f>L13+F13</f>
        <v>4446313.76</v>
      </c>
    </row>
    <row r="14" spans="1:18">
      <c r="A14" s="74">
        <f>A13+1</f>
        <v>2</v>
      </c>
      <c r="B14" s="67"/>
      <c r="C14" s="77" t="s">
        <v>73</v>
      </c>
      <c r="D14" s="74">
        <v>380</v>
      </c>
      <c r="F14" s="69">
        <f>'201708 Bk Depr'!R14</f>
        <v>357517.86</v>
      </c>
      <c r="H14" s="1">
        <f>3.24424%/12</f>
        <v>2.7035333333333337E-3</v>
      </c>
      <c r="J14" s="69">
        <f>F14*H14</f>
        <v>966.56145177200005</v>
      </c>
      <c r="L14" s="69">
        <f>'Cap&amp;OpEx 2017'!E12</f>
        <v>175932.78</v>
      </c>
      <c r="N14" s="69">
        <f>H14*L14*0.5</f>
        <v>237.82006757800002</v>
      </c>
      <c r="P14" s="80">
        <f>J14+N14</f>
        <v>1204.38151935</v>
      </c>
      <c r="R14" s="80">
        <f>L14+F14</f>
        <v>533450.64</v>
      </c>
    </row>
    <row r="15" spans="1:18">
      <c r="A15" s="74">
        <f>A14+1</f>
        <v>3</v>
      </c>
      <c r="B15" s="67"/>
      <c r="C15" s="77" t="s">
        <v>74</v>
      </c>
      <c r="D15" s="74">
        <v>380</v>
      </c>
      <c r="F15" s="69">
        <f>'201708 Bk Depr'!R15</f>
        <v>4584143.33</v>
      </c>
      <c r="H15" s="1">
        <f t="shared" ref="H15:H16" si="0">3.24424%/12</f>
        <v>2.7035333333333337E-3</v>
      </c>
      <c r="J15" s="69">
        <f>F15*H15</f>
        <v>12393.384297432669</v>
      </c>
      <c r="L15" s="69">
        <f>'Cap&amp;OpEx 2017'!E13</f>
        <v>2204702.96</v>
      </c>
      <c r="N15" s="69">
        <f>H15*L15*0.5</f>
        <v>2980.2439712293335</v>
      </c>
      <c r="P15" s="80">
        <f>J15+N15</f>
        <v>15373.628268662003</v>
      </c>
      <c r="R15" s="80">
        <f>L15+F15</f>
        <v>6788846.29</v>
      </c>
    </row>
    <row r="16" spans="1:18">
      <c r="A16" s="74">
        <f>A15+1</f>
        <v>4</v>
      </c>
      <c r="B16" s="67"/>
      <c r="C16" s="67" t="s">
        <v>256</v>
      </c>
      <c r="D16" s="74">
        <v>380</v>
      </c>
      <c r="F16" s="69">
        <f>'201708 Bk Depr'!R16</f>
        <v>1086070.8899999999</v>
      </c>
      <c r="H16" s="1">
        <f t="shared" si="0"/>
        <v>2.7035333333333337E-3</v>
      </c>
      <c r="J16" s="69">
        <f>F16*H16</f>
        <v>2936.228853478</v>
      </c>
      <c r="L16" s="69">
        <f>'Cap&amp;OpEx 2017'!E14</f>
        <v>524855.63</v>
      </c>
      <c r="N16" s="69">
        <f>H16*L16*0.5</f>
        <v>709.4823454463334</v>
      </c>
      <c r="P16" s="80">
        <f>J16+N16</f>
        <v>3645.7111989243335</v>
      </c>
      <c r="R16" s="80">
        <f>L16+F16</f>
        <v>1610926.52</v>
      </c>
    </row>
    <row r="17" spans="1:18">
      <c r="A17" s="74">
        <f>A16+1</f>
        <v>5</v>
      </c>
      <c r="B17" s="67"/>
      <c r="C17" s="67" t="s">
        <v>26</v>
      </c>
      <c r="F17" s="81">
        <f>SUM(F13:F16)</f>
        <v>9101493.8399999999</v>
      </c>
      <c r="J17" s="81">
        <f>SUM(J13:J16)</f>
        <v>20440.220207514671</v>
      </c>
      <c r="L17" s="81">
        <f>SUM(L13:L16)</f>
        <v>4278043.37</v>
      </c>
      <c r="N17" s="81">
        <f>SUM(N13:N16)</f>
        <v>4852.7836874536661</v>
      </c>
      <c r="P17" s="81">
        <f>SUM(P13:P16)</f>
        <v>25293.003894968337</v>
      </c>
      <c r="R17" s="81">
        <f>SUM(R13:R16)</f>
        <v>13379537.209999999</v>
      </c>
    </row>
    <row r="18" spans="1:18">
      <c r="B18" s="67"/>
    </row>
    <row r="19" spans="1:18">
      <c r="B19" s="79" t="s">
        <v>13</v>
      </c>
      <c r="C19" s="79"/>
    </row>
    <row r="20" spans="1:18">
      <c r="A20" s="74">
        <f>A17+1</f>
        <v>6</v>
      </c>
      <c r="B20" s="67"/>
      <c r="C20" s="67" t="s">
        <v>25</v>
      </c>
      <c r="D20" s="74">
        <v>376</v>
      </c>
      <c r="F20" s="69">
        <f>'201708 Bk Depr'!R20</f>
        <v>0</v>
      </c>
      <c r="H20" s="1">
        <f>1.61784%/12</f>
        <v>1.3481999999999999E-3</v>
      </c>
      <c r="J20" s="69">
        <f>F20*H20</f>
        <v>0</v>
      </c>
      <c r="L20" s="69">
        <f>'Cap&amp;OpEx 2017'!E17</f>
        <v>0</v>
      </c>
      <c r="N20" s="69">
        <f>H20*L20*0.5</f>
        <v>0</v>
      </c>
      <c r="P20" s="80">
        <f>J20+N20</f>
        <v>0</v>
      </c>
      <c r="R20" s="80">
        <f>L20+F20</f>
        <v>0</v>
      </c>
    </row>
    <row r="21" spans="1:18">
      <c r="A21" s="74">
        <f>A20+1</f>
        <v>7</v>
      </c>
      <c r="B21" s="67"/>
      <c r="C21" s="77" t="s">
        <v>73</v>
      </c>
      <c r="D21" s="74">
        <v>380</v>
      </c>
      <c r="F21" s="69">
        <f>'201708 Bk Depr'!R21</f>
        <v>0</v>
      </c>
      <c r="H21" s="1">
        <f>3.24424%/12</f>
        <v>2.7035333333333337E-3</v>
      </c>
      <c r="J21" s="69">
        <f>F21*H21</f>
        <v>0</v>
      </c>
      <c r="L21" s="69">
        <f>'Cap&amp;OpEx 2017'!E18</f>
        <v>0</v>
      </c>
      <c r="N21" s="69">
        <f>H21*L21*0.5</f>
        <v>0</v>
      </c>
      <c r="P21" s="80">
        <f>J21+N21</f>
        <v>0</v>
      </c>
      <c r="R21" s="80">
        <f>L21+F21</f>
        <v>0</v>
      </c>
    </row>
    <row r="22" spans="1:18">
      <c r="A22" s="74">
        <f>A21+1</f>
        <v>8</v>
      </c>
      <c r="B22" s="67"/>
      <c r="C22" s="77" t="s">
        <v>74</v>
      </c>
      <c r="D22" s="74">
        <v>380</v>
      </c>
      <c r="F22" s="69">
        <f>'201708 Bk Depr'!R22</f>
        <v>0</v>
      </c>
      <c r="H22" s="1">
        <f t="shared" ref="H22" si="1">3.24424%/12</f>
        <v>2.7035333333333337E-3</v>
      </c>
      <c r="J22" s="69">
        <f>F22*H22</f>
        <v>0</v>
      </c>
      <c r="L22" s="69">
        <f>'Cap&amp;OpEx 2017'!E19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9101493.8399999999</v>
      </c>
      <c r="J25" s="83">
        <f>J17+J23</f>
        <v>20440.220207514671</v>
      </c>
      <c r="L25" s="83">
        <f>L17+L23</f>
        <v>4278043.37</v>
      </c>
      <c r="N25" s="83">
        <f>N17+N23</f>
        <v>4852.7836874536661</v>
      </c>
      <c r="P25" s="83">
        <f>P17+P23</f>
        <v>25293.003894968337</v>
      </c>
      <c r="R25" s="83">
        <f>R17+R23</f>
        <v>13379537.209999999</v>
      </c>
    </row>
    <row r="26" spans="1:18" ht="16.5" thickTop="1">
      <c r="B26" s="67"/>
    </row>
    <row r="27" spans="1:18">
      <c r="B27" s="82" t="s">
        <v>23</v>
      </c>
      <c r="C27" s="82"/>
    </row>
    <row r="28" spans="1:18">
      <c r="A28" s="74">
        <f>A25+1</f>
        <v>11</v>
      </c>
      <c r="B28" s="67"/>
      <c r="C28" s="67" t="s">
        <v>25</v>
      </c>
      <c r="D28" s="74">
        <v>376</v>
      </c>
      <c r="F28" s="69">
        <f>'201708 Bk Depr'!R28</f>
        <v>147060</v>
      </c>
      <c r="L28" s="69">
        <f>'Cap&amp;OpEx 2017'!E24</f>
        <v>79800</v>
      </c>
      <c r="R28" s="80">
        <f>L28+F28</f>
        <v>226860</v>
      </c>
    </row>
    <row r="29" spans="1:18">
      <c r="A29" s="74">
        <f>A28+1</f>
        <v>12</v>
      </c>
      <c r="B29" s="67"/>
      <c r="C29" s="77" t="s">
        <v>73</v>
      </c>
      <c r="D29" s="74">
        <v>380</v>
      </c>
      <c r="F29" s="69">
        <f>'201708 Bk Depr'!R29</f>
        <v>61649.73</v>
      </c>
      <c r="L29" s="69">
        <f>'Cap&amp;OpEx 2017'!E25</f>
        <v>29623.45</v>
      </c>
      <c r="R29" s="80">
        <f>L29+F29</f>
        <v>91273.180000000008</v>
      </c>
    </row>
    <row r="30" spans="1:18">
      <c r="A30" s="74">
        <f>A29+1</f>
        <v>13</v>
      </c>
      <c r="B30" s="67"/>
      <c r="C30" s="77" t="s">
        <v>74</v>
      </c>
      <c r="D30" s="74">
        <v>380</v>
      </c>
      <c r="F30" s="69">
        <f>'201708 Bk Depr'!R30</f>
        <v>0</v>
      </c>
      <c r="L30" s="69">
        <f>'Cap&amp;OpEx 2017'!E26</f>
        <v>0</v>
      </c>
      <c r="R30" s="80">
        <f>L30+F30</f>
        <v>0</v>
      </c>
    </row>
    <row r="31" spans="1:18">
      <c r="A31" s="74">
        <f>A30+1</f>
        <v>14</v>
      </c>
      <c r="B31" s="67"/>
      <c r="C31" s="67" t="s">
        <v>28</v>
      </c>
      <c r="F31" s="81">
        <f>SUM(F28:F30)</f>
        <v>208709.73</v>
      </c>
      <c r="J31" s="81">
        <f>SUM(J28:J30)</f>
        <v>0</v>
      </c>
      <c r="L31" s="81">
        <f>SUM(L28:L30)</f>
        <v>109423.45</v>
      </c>
      <c r="N31" s="81">
        <f>SUM(N28:N30)</f>
        <v>0</v>
      </c>
      <c r="P31" s="81">
        <f>SUM(P28:P30)</f>
        <v>0</v>
      </c>
      <c r="R31" s="81">
        <f>SUM(R28:R30)</f>
        <v>318133.18</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Roman,Bold"&amp;12Attachment to PSC Post Hearing Data Request Question No. 3
Revised Exhibit RMC-1
Page 8 of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431</v>
      </c>
      <c r="B2" s="561"/>
      <c r="C2" s="561"/>
      <c r="D2" s="561"/>
      <c r="E2" s="561"/>
      <c r="F2" s="561"/>
      <c r="G2" s="561"/>
      <c r="H2" s="561"/>
      <c r="I2" s="561"/>
      <c r="J2" s="561"/>
      <c r="K2" s="561"/>
      <c r="L2" s="561"/>
      <c r="M2" s="561"/>
      <c r="N2" s="561"/>
      <c r="O2" s="561"/>
      <c r="P2" s="561"/>
      <c r="Q2" s="561"/>
      <c r="R2" s="561"/>
    </row>
    <row r="3" spans="1:18" ht="18.75">
      <c r="A3" s="560" t="s">
        <v>367</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380"/>
      <c r="B5" s="84"/>
      <c r="C5" s="84"/>
      <c r="D5" s="84"/>
      <c r="E5" s="84"/>
      <c r="F5" s="84"/>
      <c r="G5" s="84"/>
      <c r="H5" s="84"/>
      <c r="I5" s="84"/>
      <c r="J5" s="84"/>
      <c r="K5" s="84"/>
      <c r="L5" s="84"/>
      <c r="M5" s="84"/>
      <c r="N5" s="84"/>
      <c r="O5" s="84"/>
      <c r="P5" s="84"/>
      <c r="Q5" s="84"/>
    </row>
    <row r="6" spans="1:18">
      <c r="C6" s="84"/>
      <c r="D6" s="84"/>
      <c r="E6" s="84"/>
      <c r="F6" s="84" t="s">
        <v>188</v>
      </c>
      <c r="G6" s="84"/>
      <c r="H6" s="84"/>
      <c r="I6" s="84"/>
      <c r="J6" s="84" t="s">
        <v>188</v>
      </c>
      <c r="K6" s="84"/>
      <c r="L6" s="84" t="s">
        <v>188</v>
      </c>
      <c r="M6" s="84"/>
      <c r="N6" s="84"/>
      <c r="O6" s="84"/>
      <c r="P6" s="84"/>
      <c r="Q6" s="84"/>
      <c r="R6" s="84" t="s">
        <v>188</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'201709 Bk Depr'!R13</f>
        <v>4446313.76</v>
      </c>
      <c r="H13" s="1">
        <f>1.61784%/12</f>
        <v>1.3481999999999999E-3</v>
      </c>
      <c r="J13" s="69">
        <f>F13*H13</f>
        <v>5994.5202112319994</v>
      </c>
      <c r="L13" s="69">
        <f>'Cap&amp;OpEx 2017'!F10</f>
        <v>1143969.48</v>
      </c>
      <c r="N13" s="69">
        <f>H13*L13*0.5</f>
        <v>771.1498264679999</v>
      </c>
      <c r="P13" s="80">
        <f>J13+N13</f>
        <v>6765.6700376999997</v>
      </c>
      <c r="R13" s="80">
        <f>L13+F13</f>
        <v>5590283.2400000002</v>
      </c>
    </row>
    <row r="14" spans="1:18">
      <c r="A14" s="74">
        <f>A13+1</f>
        <v>2</v>
      </c>
      <c r="B14" s="67"/>
      <c r="C14" s="77" t="s">
        <v>73</v>
      </c>
      <c r="D14" s="74">
        <v>380</v>
      </c>
      <c r="F14" s="69">
        <f>'201709 Bk Depr'!R14</f>
        <v>533450.64</v>
      </c>
      <c r="H14" s="1">
        <f>3.24424%/12</f>
        <v>2.7035333333333337E-3</v>
      </c>
      <c r="J14" s="69">
        <f>F14*H14</f>
        <v>1442.2015869280003</v>
      </c>
      <c r="L14" s="69">
        <f>'Cap&amp;OpEx 2017'!F12</f>
        <v>181166.53</v>
      </c>
      <c r="N14" s="69">
        <f>H14*L14*0.5</f>
        <v>244.89487636966669</v>
      </c>
      <c r="P14" s="80">
        <f>J14+N14</f>
        <v>1687.096463297667</v>
      </c>
      <c r="R14" s="80">
        <f>L14+F14</f>
        <v>714617.17</v>
      </c>
    </row>
    <row r="15" spans="1:18">
      <c r="A15" s="74">
        <f>A14+1</f>
        <v>3</v>
      </c>
      <c r="B15" s="67"/>
      <c r="C15" s="77" t="s">
        <v>74</v>
      </c>
      <c r="D15" s="74">
        <v>380</v>
      </c>
      <c r="F15" s="69">
        <f>'201709 Bk Depr'!R15</f>
        <v>6788846.29</v>
      </c>
      <c r="H15" s="1">
        <f t="shared" ref="H15:H16" si="0">3.24424%/12</f>
        <v>2.7035333333333337E-3</v>
      </c>
      <c r="J15" s="69">
        <f>F15*H15</f>
        <v>18353.872239891338</v>
      </c>
      <c r="L15" s="69">
        <f>'Cap&amp;OpEx 2017'!F13</f>
        <v>2400243.48</v>
      </c>
      <c r="N15" s="69">
        <f>H15*L15*0.5</f>
        <v>3244.5691281480003</v>
      </c>
      <c r="P15" s="80">
        <f>J15+N15</f>
        <v>21598.441368039337</v>
      </c>
      <c r="R15" s="80">
        <f>L15+F15</f>
        <v>9189089.7699999996</v>
      </c>
    </row>
    <row r="16" spans="1:18">
      <c r="A16" s="74">
        <f>A15+1</f>
        <v>4</v>
      </c>
      <c r="B16" s="67"/>
      <c r="C16" s="67" t="s">
        <v>256</v>
      </c>
      <c r="D16" s="74">
        <v>380</v>
      </c>
      <c r="F16" s="69">
        <f>'201709 Bk Depr'!R16</f>
        <v>1610926.52</v>
      </c>
      <c r="H16" s="1">
        <f t="shared" si="0"/>
        <v>2.7035333333333337E-3</v>
      </c>
      <c r="J16" s="69">
        <f>F16*H16</f>
        <v>4355.193544370667</v>
      </c>
      <c r="L16" s="69">
        <f>'Cap&amp;OpEx 2017'!F14</f>
        <v>543667.11</v>
      </c>
      <c r="N16" s="69">
        <f>H16*L16*0.5</f>
        <v>734.91107706100013</v>
      </c>
      <c r="P16" s="80">
        <f>J16+N16</f>
        <v>5090.1046214316675</v>
      </c>
      <c r="R16" s="80">
        <f>L16+F16</f>
        <v>2154593.63</v>
      </c>
    </row>
    <row r="17" spans="1:18">
      <c r="A17" s="74">
        <f>A16+1</f>
        <v>5</v>
      </c>
      <c r="B17" s="67"/>
      <c r="C17" s="67" t="s">
        <v>26</v>
      </c>
      <c r="F17" s="81">
        <f>SUM(F13:F16)</f>
        <v>13379537.209999999</v>
      </c>
      <c r="J17" s="81">
        <f>SUM(J13:J16)</f>
        <v>30145.787582422006</v>
      </c>
      <c r="L17" s="81">
        <f>SUM(L13:L16)</f>
        <v>4269046.6000000006</v>
      </c>
      <c r="N17" s="81">
        <f>SUM(N13:N16)</f>
        <v>4995.5249080466674</v>
      </c>
      <c r="P17" s="81">
        <f>SUM(P13:P16)</f>
        <v>35141.31249046867</v>
      </c>
      <c r="R17" s="81">
        <f>SUM(R13:R16)</f>
        <v>17648583.809999999</v>
      </c>
    </row>
    <row r="18" spans="1:18">
      <c r="B18" s="67"/>
    </row>
    <row r="19" spans="1:18">
      <c r="B19" s="79" t="s">
        <v>13</v>
      </c>
      <c r="C19" s="79"/>
    </row>
    <row r="20" spans="1:18">
      <c r="A20" s="74">
        <f>A17+1</f>
        <v>6</v>
      </c>
      <c r="B20" s="67"/>
      <c r="C20" s="67" t="s">
        <v>25</v>
      </c>
      <c r="D20" s="74">
        <v>376</v>
      </c>
      <c r="F20" s="69">
        <f>'201709 Bk Depr'!R20</f>
        <v>0</v>
      </c>
      <c r="H20" s="1">
        <f>1.61784%/12</f>
        <v>1.3481999999999999E-3</v>
      </c>
      <c r="J20" s="69">
        <f>F20*H20</f>
        <v>0</v>
      </c>
      <c r="L20" s="69">
        <f>'Cap&amp;OpEx 2017'!F17</f>
        <v>0</v>
      </c>
      <c r="N20" s="69">
        <f>H20*L20*0.5</f>
        <v>0</v>
      </c>
      <c r="P20" s="80">
        <f>J20+N20</f>
        <v>0</v>
      </c>
      <c r="R20" s="80">
        <f>L20+F20</f>
        <v>0</v>
      </c>
    </row>
    <row r="21" spans="1:18">
      <c r="A21" s="74">
        <f>A20+1</f>
        <v>7</v>
      </c>
      <c r="B21" s="67"/>
      <c r="C21" s="77" t="s">
        <v>73</v>
      </c>
      <c r="D21" s="74">
        <v>380</v>
      </c>
      <c r="F21" s="69">
        <f>'201709 Bk Depr'!R21</f>
        <v>0</v>
      </c>
      <c r="H21" s="1">
        <f>3.24424%/12</f>
        <v>2.7035333333333337E-3</v>
      </c>
      <c r="J21" s="69">
        <f>F21*H21</f>
        <v>0</v>
      </c>
      <c r="L21" s="69">
        <f>'Cap&amp;OpEx 2017'!F18</f>
        <v>0</v>
      </c>
      <c r="N21" s="69">
        <f>H21*L21*0.5</f>
        <v>0</v>
      </c>
      <c r="P21" s="80">
        <f>J21+N21</f>
        <v>0</v>
      </c>
      <c r="R21" s="80">
        <f>L21+F21</f>
        <v>0</v>
      </c>
    </row>
    <row r="22" spans="1:18">
      <c r="A22" s="74">
        <f>A21+1</f>
        <v>8</v>
      </c>
      <c r="B22" s="67"/>
      <c r="C22" s="77" t="s">
        <v>74</v>
      </c>
      <c r="D22" s="74">
        <v>380</v>
      </c>
      <c r="F22" s="69">
        <f>'201709 Bk Depr'!R22</f>
        <v>0</v>
      </c>
      <c r="H22" s="1">
        <f t="shared" ref="H22" si="1">3.24424%/12</f>
        <v>2.7035333333333337E-3</v>
      </c>
      <c r="J22" s="69">
        <f>F22*H22</f>
        <v>0</v>
      </c>
      <c r="L22" s="69">
        <f>'Cap&amp;OpEx 2017'!F19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13379537.209999999</v>
      </c>
      <c r="J25" s="83">
        <f>J17+J23</f>
        <v>30145.787582422006</v>
      </c>
      <c r="L25" s="83">
        <f>L17+L23</f>
        <v>4269046.6000000006</v>
      </c>
      <c r="N25" s="83">
        <f>N17+N23</f>
        <v>4995.5249080466674</v>
      </c>
      <c r="P25" s="83">
        <f>P17+P23</f>
        <v>35141.31249046867</v>
      </c>
      <c r="R25" s="83">
        <f>R17+R23</f>
        <v>17648583.809999999</v>
      </c>
    </row>
    <row r="26" spans="1:18" ht="16.5" thickTop="1">
      <c r="B26" s="67"/>
    </row>
    <row r="27" spans="1:18">
      <c r="B27" s="82" t="s">
        <v>23</v>
      </c>
      <c r="C27" s="82"/>
    </row>
    <row r="28" spans="1:18">
      <c r="A28" s="74">
        <f>A25+1</f>
        <v>11</v>
      </c>
      <c r="B28" s="67"/>
      <c r="C28" s="67" t="s">
        <v>25</v>
      </c>
      <c r="D28" s="74">
        <v>376</v>
      </c>
      <c r="F28" s="69">
        <f>'201709 Bk Depr'!R28</f>
        <v>226860</v>
      </c>
      <c r="L28" s="69">
        <f>'Cap&amp;OpEx 2017'!F24</f>
        <v>70680</v>
      </c>
      <c r="R28" s="80">
        <f>L28+F28</f>
        <v>297540</v>
      </c>
    </row>
    <row r="29" spans="1:18">
      <c r="A29" s="74">
        <f>A28+1</f>
        <v>12</v>
      </c>
      <c r="B29" s="67"/>
      <c r="C29" s="77" t="s">
        <v>73</v>
      </c>
      <c r="D29" s="74">
        <v>380</v>
      </c>
      <c r="F29" s="69">
        <f>'201709 Bk Depr'!R29</f>
        <v>91273.180000000008</v>
      </c>
      <c r="L29" s="69">
        <f>'Cap&amp;OpEx 2017'!F25</f>
        <v>34518.44</v>
      </c>
      <c r="R29" s="80">
        <f>L29+F29</f>
        <v>125791.62000000001</v>
      </c>
    </row>
    <row r="30" spans="1:18">
      <c r="A30" s="74">
        <f>A29+1</f>
        <v>13</v>
      </c>
      <c r="B30" s="67"/>
      <c r="C30" s="77" t="s">
        <v>74</v>
      </c>
      <c r="D30" s="74">
        <v>380</v>
      </c>
      <c r="F30" s="69">
        <f>'201709 Bk Depr'!R30</f>
        <v>0</v>
      </c>
      <c r="L30" s="69">
        <f>'Cap&amp;OpEx 2017'!F26</f>
        <v>0</v>
      </c>
      <c r="R30" s="80">
        <f>L30+F30</f>
        <v>0</v>
      </c>
    </row>
    <row r="31" spans="1:18">
      <c r="A31" s="74">
        <f>A30+1</f>
        <v>14</v>
      </c>
      <c r="B31" s="67"/>
      <c r="C31" s="67" t="s">
        <v>28</v>
      </c>
      <c r="F31" s="81">
        <f>SUM(F28:F30)</f>
        <v>318133.18</v>
      </c>
      <c r="J31" s="81">
        <f>SUM(J28:J30)</f>
        <v>0</v>
      </c>
      <c r="L31" s="81">
        <f>SUM(L28:L30)</f>
        <v>105198.44</v>
      </c>
      <c r="N31" s="81">
        <f>SUM(N28:N30)</f>
        <v>0</v>
      </c>
      <c r="P31" s="81">
        <f>SUM(P28:P30)</f>
        <v>0</v>
      </c>
      <c r="R31" s="81">
        <f>SUM(R28:R30)</f>
        <v>423331.62</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Roman,Bold"&amp;12Attachment to PSC Post Hearing Data Request Question No. 3
Revised Exhibit RMC-1
Page 9 of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431</v>
      </c>
      <c r="B2" s="561"/>
      <c r="C2" s="561"/>
      <c r="D2" s="561"/>
      <c r="E2" s="561"/>
      <c r="F2" s="561"/>
      <c r="G2" s="561"/>
      <c r="H2" s="561"/>
      <c r="I2" s="561"/>
      <c r="J2" s="561"/>
      <c r="K2" s="561"/>
      <c r="L2" s="561"/>
      <c r="M2" s="561"/>
      <c r="N2" s="561"/>
      <c r="O2" s="561"/>
      <c r="P2" s="561"/>
      <c r="Q2" s="561"/>
      <c r="R2" s="561"/>
    </row>
    <row r="3" spans="1:18" ht="18.75">
      <c r="A3" s="560" t="s">
        <v>385</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380"/>
      <c r="B5" s="84"/>
      <c r="C5" s="84"/>
      <c r="D5" s="84"/>
      <c r="E5" s="84"/>
      <c r="F5" s="84"/>
      <c r="G5" s="84"/>
      <c r="H5" s="84"/>
      <c r="I5" s="84"/>
      <c r="J5" s="84"/>
      <c r="K5" s="84"/>
      <c r="L5" s="84"/>
      <c r="M5" s="84"/>
      <c r="N5" s="84"/>
      <c r="O5" s="84"/>
      <c r="P5" s="84"/>
      <c r="Q5" s="84"/>
    </row>
    <row r="6" spans="1:18">
      <c r="C6" s="84"/>
      <c r="D6" s="84"/>
      <c r="E6" s="84"/>
      <c r="F6" s="84" t="s">
        <v>189</v>
      </c>
      <c r="G6" s="84"/>
      <c r="H6" s="84"/>
      <c r="I6" s="84"/>
      <c r="J6" s="84" t="s">
        <v>189</v>
      </c>
      <c r="K6" s="84"/>
      <c r="L6" s="84" t="s">
        <v>189</v>
      </c>
      <c r="M6" s="84"/>
      <c r="N6" s="84"/>
      <c r="O6" s="84"/>
      <c r="P6" s="84"/>
      <c r="Q6" s="84"/>
      <c r="R6" s="84" t="s">
        <v>189</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'201710 Bk Depr'!R13</f>
        <v>5590283.2400000002</v>
      </c>
      <c r="H13" s="1">
        <f>1.61784%/12</f>
        <v>1.3481999999999999E-3</v>
      </c>
      <c r="J13" s="69">
        <f>F13*H13</f>
        <v>7536.8198641680001</v>
      </c>
      <c r="L13" s="69">
        <f>'Cap&amp;OpEx 2017'!G10</f>
        <v>982437.45000000007</v>
      </c>
      <c r="N13" s="69">
        <f>H13*L13*0.5</f>
        <v>662.26108504499996</v>
      </c>
      <c r="P13" s="80">
        <f>J13+N13</f>
        <v>8199.0809492129993</v>
      </c>
      <c r="R13" s="80">
        <f>L13+F13</f>
        <v>6572720.6900000004</v>
      </c>
    </row>
    <row r="14" spans="1:18">
      <c r="A14" s="74">
        <f>A13+1</f>
        <v>2</v>
      </c>
      <c r="B14" s="67"/>
      <c r="C14" s="77" t="s">
        <v>73</v>
      </c>
      <c r="D14" s="74">
        <v>380</v>
      </c>
      <c r="F14" s="69">
        <f>'201710 Bk Depr'!R14</f>
        <v>714617.17</v>
      </c>
      <c r="H14" s="1">
        <f>3.24424%/12</f>
        <v>2.7035333333333337E-3</v>
      </c>
      <c r="J14" s="69">
        <f>F14*H14</f>
        <v>1931.9913396673337</v>
      </c>
      <c r="L14" s="69">
        <f>'Cap&amp;OpEx 2017'!G12</f>
        <v>173112.47</v>
      </c>
      <c r="N14" s="69">
        <f>H14*L14*0.5</f>
        <v>234.00766653033338</v>
      </c>
      <c r="P14" s="80">
        <f>J14+N14</f>
        <v>2165.9990061976669</v>
      </c>
      <c r="R14" s="80">
        <f>L14+F14</f>
        <v>887729.64</v>
      </c>
    </row>
    <row r="15" spans="1:18">
      <c r="A15" s="74">
        <f>A14+1</f>
        <v>3</v>
      </c>
      <c r="B15" s="67"/>
      <c r="C15" s="77" t="s">
        <v>74</v>
      </c>
      <c r="D15" s="74">
        <v>380</v>
      </c>
      <c r="F15" s="69">
        <f>'201710 Bk Depr'!R15</f>
        <v>9189089.7699999996</v>
      </c>
      <c r="H15" s="1">
        <f t="shared" ref="H15:H16" si="0">3.24424%/12</f>
        <v>2.7035333333333337E-3</v>
      </c>
      <c r="J15" s="69">
        <f>F15*H15</f>
        <v>24843.010496187337</v>
      </c>
      <c r="L15" s="69">
        <f>'Cap&amp;OpEx 2017'!G13</f>
        <v>2221422.0099999998</v>
      </c>
      <c r="N15" s="69">
        <f>H15*L15*0.5</f>
        <v>3002.8442257176666</v>
      </c>
      <c r="P15" s="80">
        <f>J15+N15</f>
        <v>27845.854721905001</v>
      </c>
      <c r="R15" s="80">
        <f>L15+F15</f>
        <v>11410511.779999999</v>
      </c>
    </row>
    <row r="16" spans="1:18">
      <c r="A16" s="74">
        <f>A15+1</f>
        <v>4</v>
      </c>
      <c r="B16" s="67"/>
      <c r="C16" s="67" t="s">
        <v>256</v>
      </c>
      <c r="D16" s="74">
        <v>380</v>
      </c>
      <c r="F16" s="69">
        <f>'201710 Bk Depr'!R16</f>
        <v>2154593.63</v>
      </c>
      <c r="H16" s="1">
        <f t="shared" si="0"/>
        <v>2.7035333333333337E-3</v>
      </c>
      <c r="J16" s="69">
        <f>F16*H16</f>
        <v>5825.0156984926671</v>
      </c>
      <c r="L16" s="69">
        <f>'Cap&amp;OpEx 2017'!G14</f>
        <v>521380.14999999997</v>
      </c>
      <c r="N16" s="69">
        <f>H16*L16*0.5</f>
        <v>704.78430743166678</v>
      </c>
      <c r="P16" s="80">
        <f>J16+N16</f>
        <v>6529.8000059243341</v>
      </c>
      <c r="R16" s="80">
        <f>L16+F16</f>
        <v>2675973.7799999998</v>
      </c>
    </row>
    <row r="17" spans="1:18">
      <c r="A17" s="74">
        <f>A16+1</f>
        <v>5</v>
      </c>
      <c r="B17" s="67"/>
      <c r="C17" s="67" t="s">
        <v>26</v>
      </c>
      <c r="F17" s="81">
        <f>SUM(F13:F16)</f>
        <v>17648583.809999999</v>
      </c>
      <c r="J17" s="81">
        <f>SUM(J13:J16)</f>
        <v>40136.837398515338</v>
      </c>
      <c r="L17" s="81">
        <f>SUM(L13:L16)</f>
        <v>3898352.0799999996</v>
      </c>
      <c r="N17" s="81">
        <f>SUM(N13:N16)</f>
        <v>4603.8972847246669</v>
      </c>
      <c r="P17" s="81">
        <f>SUM(P13:P16)</f>
        <v>44740.734683240007</v>
      </c>
      <c r="R17" s="81">
        <f>SUM(R13:R16)</f>
        <v>21546935.890000001</v>
      </c>
    </row>
    <row r="18" spans="1:18">
      <c r="B18" s="67"/>
    </row>
    <row r="19" spans="1:18">
      <c r="B19" s="79" t="s">
        <v>13</v>
      </c>
      <c r="C19" s="79"/>
    </row>
    <row r="20" spans="1:18">
      <c r="A20" s="74">
        <f>A17+1</f>
        <v>6</v>
      </c>
      <c r="B20" s="67"/>
      <c r="C20" s="67" t="s">
        <v>25</v>
      </c>
      <c r="D20" s="74">
        <v>376</v>
      </c>
      <c r="F20" s="69">
        <f>'201710 Bk Depr'!R20</f>
        <v>0</v>
      </c>
      <c r="H20" s="1">
        <f>1.61784%/12</f>
        <v>1.3481999999999999E-3</v>
      </c>
      <c r="J20" s="69">
        <f>F20*H20</f>
        <v>0</v>
      </c>
      <c r="L20" s="69">
        <f>'Cap&amp;OpEx 2017'!G17</f>
        <v>0</v>
      </c>
      <c r="N20" s="69">
        <f>H20*L20*0.5</f>
        <v>0</v>
      </c>
      <c r="P20" s="80">
        <f>J20+N20</f>
        <v>0</v>
      </c>
      <c r="R20" s="80">
        <f>L20+F20</f>
        <v>0</v>
      </c>
    </row>
    <row r="21" spans="1:18">
      <c r="A21" s="74">
        <f>A20+1</f>
        <v>7</v>
      </c>
      <c r="B21" s="67"/>
      <c r="C21" s="77" t="s">
        <v>73</v>
      </c>
      <c r="D21" s="74">
        <v>380</v>
      </c>
      <c r="F21" s="69">
        <f>'201710 Bk Depr'!R21</f>
        <v>0</v>
      </c>
      <c r="H21" s="1">
        <f>3.24424%/12</f>
        <v>2.7035333333333337E-3</v>
      </c>
      <c r="J21" s="69">
        <f>F21*H21</f>
        <v>0</v>
      </c>
      <c r="L21" s="69">
        <f>'Cap&amp;OpEx 2017'!G18</f>
        <v>0</v>
      </c>
      <c r="N21" s="69">
        <f>H21*L21*0.5</f>
        <v>0</v>
      </c>
      <c r="P21" s="80">
        <f>J21+N21</f>
        <v>0</v>
      </c>
      <c r="R21" s="80">
        <f>L21+F21</f>
        <v>0</v>
      </c>
    </row>
    <row r="22" spans="1:18">
      <c r="A22" s="74">
        <f>A21+1</f>
        <v>8</v>
      </c>
      <c r="B22" s="67"/>
      <c r="C22" s="77" t="s">
        <v>74</v>
      </c>
      <c r="D22" s="74">
        <v>380</v>
      </c>
      <c r="F22" s="69">
        <f>'201710 Bk Depr'!R22</f>
        <v>0</v>
      </c>
      <c r="H22" s="1">
        <f t="shared" ref="H22" si="1">3.24424%/12</f>
        <v>2.7035333333333337E-3</v>
      </c>
      <c r="J22" s="69">
        <f>F22*H22</f>
        <v>0</v>
      </c>
      <c r="L22" s="69">
        <f>'Cap&amp;OpEx 2017'!G19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17648583.809999999</v>
      </c>
      <c r="J25" s="83">
        <f>J17+J23</f>
        <v>40136.837398515338</v>
      </c>
      <c r="L25" s="83">
        <f>L17+L23</f>
        <v>3898352.0799999996</v>
      </c>
      <c r="N25" s="83">
        <f>N17+N23</f>
        <v>4603.8972847246669</v>
      </c>
      <c r="P25" s="83">
        <f>P17+P23</f>
        <v>44740.734683240007</v>
      </c>
      <c r="R25" s="83">
        <f>R17+R23</f>
        <v>21546935.890000001</v>
      </c>
    </row>
    <row r="26" spans="1:18" ht="16.5" thickTop="1">
      <c r="B26" s="67"/>
    </row>
    <row r="27" spans="1:18">
      <c r="B27" s="82" t="s">
        <v>23</v>
      </c>
      <c r="C27" s="82"/>
    </row>
    <row r="28" spans="1:18">
      <c r="A28" s="74">
        <f>A25+1</f>
        <v>11</v>
      </c>
      <c r="B28" s="67"/>
      <c r="C28" s="67" t="s">
        <v>25</v>
      </c>
      <c r="D28" s="74">
        <v>376</v>
      </c>
      <c r="F28" s="69">
        <f>'201710 Bk Depr'!R28</f>
        <v>297540</v>
      </c>
      <c r="L28" s="69">
        <f>'Cap&amp;OpEx 2017'!G24</f>
        <v>76380</v>
      </c>
      <c r="R28" s="80">
        <f>L28+F28</f>
        <v>373920</v>
      </c>
    </row>
    <row r="29" spans="1:18">
      <c r="A29" s="74">
        <f>A28+1</f>
        <v>12</v>
      </c>
      <c r="B29" s="67"/>
      <c r="C29" s="77" t="s">
        <v>73</v>
      </c>
      <c r="D29" s="74">
        <v>380</v>
      </c>
      <c r="F29" s="69">
        <f>'201710 Bk Depr'!R29</f>
        <v>125791.62000000001</v>
      </c>
      <c r="L29" s="69">
        <f>'Cap&amp;OpEx 2017'!G25</f>
        <v>28899.46</v>
      </c>
      <c r="R29" s="80">
        <f>L29+F29</f>
        <v>154691.08000000002</v>
      </c>
    </row>
    <row r="30" spans="1:18">
      <c r="A30" s="74">
        <f>A29+1</f>
        <v>13</v>
      </c>
      <c r="B30" s="67"/>
      <c r="C30" s="77" t="s">
        <v>74</v>
      </c>
      <c r="D30" s="74">
        <v>380</v>
      </c>
      <c r="F30" s="69">
        <f>'201710 Bk Depr'!R30</f>
        <v>0</v>
      </c>
      <c r="L30" s="69">
        <f>'Cap&amp;OpEx 2017'!G26</f>
        <v>0</v>
      </c>
      <c r="R30" s="80">
        <f>L30+F30</f>
        <v>0</v>
      </c>
    </row>
    <row r="31" spans="1:18">
      <c r="A31" s="74">
        <f>A30+1</f>
        <v>14</v>
      </c>
      <c r="B31" s="67"/>
      <c r="C31" s="67" t="s">
        <v>28</v>
      </c>
      <c r="F31" s="81">
        <f>SUM(F28:F30)</f>
        <v>423331.62</v>
      </c>
      <c r="J31" s="81">
        <f>SUM(J28:J30)</f>
        <v>0</v>
      </c>
      <c r="L31" s="81">
        <f>SUM(L28:L30)</f>
        <v>105279.45999999999</v>
      </c>
      <c r="N31" s="81">
        <f>SUM(N28:N30)</f>
        <v>0</v>
      </c>
      <c r="P31" s="81">
        <f>SUM(P28:P30)</f>
        <v>0</v>
      </c>
      <c r="R31" s="81">
        <f>SUM(R28:R30)</f>
        <v>528611.08000000007</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Roman,Bold"&amp;12Attachment to PSC Post Hearing Data Request Question No. 3
Revised Exhibit RMC-1
Page 10 of 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16.7109375" style="67"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431</v>
      </c>
      <c r="B2" s="561"/>
      <c r="C2" s="561"/>
      <c r="D2" s="561"/>
      <c r="E2" s="561"/>
      <c r="F2" s="561"/>
      <c r="G2" s="561"/>
      <c r="H2" s="561"/>
      <c r="I2" s="561"/>
      <c r="J2" s="561"/>
      <c r="K2" s="561"/>
      <c r="L2" s="561"/>
      <c r="M2" s="561"/>
      <c r="N2" s="561"/>
      <c r="O2" s="561"/>
      <c r="P2" s="561"/>
      <c r="Q2" s="561"/>
      <c r="R2" s="561"/>
    </row>
    <row r="3" spans="1:18" ht="18.75">
      <c r="A3" s="560" t="s">
        <v>368</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380"/>
      <c r="B5" s="84"/>
      <c r="C5" s="84"/>
      <c r="D5" s="84"/>
      <c r="E5" s="84"/>
      <c r="F5" s="84"/>
      <c r="G5" s="84"/>
      <c r="H5" s="84"/>
      <c r="I5" s="84"/>
      <c r="J5" s="84"/>
      <c r="K5" s="84"/>
      <c r="L5" s="84"/>
      <c r="M5" s="84"/>
      <c r="N5" s="84"/>
      <c r="O5" s="84"/>
      <c r="P5" s="84"/>
      <c r="Q5" s="84"/>
    </row>
    <row r="6" spans="1:18">
      <c r="C6" s="84"/>
      <c r="D6" s="84"/>
      <c r="E6" s="84"/>
      <c r="F6" s="84" t="s">
        <v>190</v>
      </c>
      <c r="G6" s="84"/>
      <c r="H6" s="84"/>
      <c r="I6" s="84"/>
      <c r="J6" s="84" t="s">
        <v>190</v>
      </c>
      <c r="K6" s="84"/>
      <c r="L6" s="84" t="s">
        <v>190</v>
      </c>
      <c r="M6" s="84"/>
      <c r="N6" s="84"/>
      <c r="O6" s="84"/>
      <c r="P6" s="84"/>
      <c r="Q6" s="84"/>
      <c r="R6" s="84" t="s">
        <v>190</v>
      </c>
    </row>
    <row r="7" spans="1:18">
      <c r="C7" s="84"/>
      <c r="D7" s="84"/>
      <c r="E7" s="84"/>
      <c r="F7" s="84" t="s">
        <v>9</v>
      </c>
      <c r="G7" s="84"/>
      <c r="H7" s="84" t="s">
        <v>275</v>
      </c>
      <c r="I7" s="84"/>
      <c r="J7" s="84" t="s">
        <v>12</v>
      </c>
      <c r="K7" s="84"/>
      <c r="L7" s="84" t="s">
        <v>24</v>
      </c>
      <c r="M7" s="84"/>
      <c r="N7" s="84" t="s">
        <v>179</v>
      </c>
      <c r="O7" s="84"/>
      <c r="P7" s="84" t="s">
        <v>179</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45</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180</v>
      </c>
      <c r="Q10" s="76"/>
      <c r="R10" s="76" t="s">
        <v>21</v>
      </c>
    </row>
    <row r="12" spans="1:18">
      <c r="B12" s="79" t="s">
        <v>24</v>
      </c>
      <c r="C12" s="79"/>
    </row>
    <row r="13" spans="1:18">
      <c r="A13" s="74">
        <v>1</v>
      </c>
      <c r="B13" s="67"/>
      <c r="C13" s="67" t="s">
        <v>25</v>
      </c>
      <c r="D13" s="74">
        <v>376</v>
      </c>
      <c r="F13" s="69">
        <f>'201711 Bk Depr'!R13</f>
        <v>6572720.6900000004</v>
      </c>
      <c r="H13" s="1">
        <f>1.61784%/12</f>
        <v>1.3481999999999999E-3</v>
      </c>
      <c r="J13" s="69">
        <f>F13*H13</f>
        <v>8861.3420342579993</v>
      </c>
      <c r="L13" s="69">
        <f>'Cap&amp;OpEx 2017'!H10</f>
        <v>907979.32000000007</v>
      </c>
      <c r="N13" s="69">
        <f>H13*L13*0.5</f>
        <v>612.06885961199998</v>
      </c>
      <c r="P13" s="80">
        <f>J13+N13</f>
        <v>9473.4108938699992</v>
      </c>
      <c r="R13" s="80">
        <f>L13+F13</f>
        <v>7480700.0100000007</v>
      </c>
    </row>
    <row r="14" spans="1:18">
      <c r="A14" s="74">
        <f>A13+1</f>
        <v>2</v>
      </c>
      <c r="B14" s="67"/>
      <c r="C14" s="77" t="s">
        <v>73</v>
      </c>
      <c r="D14" s="74">
        <v>380</v>
      </c>
      <c r="F14" s="69">
        <f>'201711 Bk Depr'!R14</f>
        <v>887729.64</v>
      </c>
      <c r="H14" s="1">
        <f>3.24424%/12</f>
        <v>2.7035333333333337E-3</v>
      </c>
      <c r="J14" s="69">
        <f>F14*H14</f>
        <v>2400.0066727280005</v>
      </c>
      <c r="L14" s="69">
        <f>'Cap&amp;OpEx 2017'!H12</f>
        <v>146258.91</v>
      </c>
      <c r="N14" s="69">
        <f>H14*L14*0.5</f>
        <v>197.70791924100004</v>
      </c>
      <c r="P14" s="80">
        <f>J14+N14</f>
        <v>2597.7145919690006</v>
      </c>
      <c r="R14" s="80">
        <f>L14+F14</f>
        <v>1033988.55</v>
      </c>
    </row>
    <row r="15" spans="1:18">
      <c r="A15" s="74">
        <f>A14+1</f>
        <v>3</v>
      </c>
      <c r="B15" s="67"/>
      <c r="C15" s="77" t="s">
        <v>74</v>
      </c>
      <c r="D15" s="74">
        <v>380</v>
      </c>
      <c r="F15" s="69">
        <f>'201711 Bk Depr'!R15</f>
        <v>11410511.779999999</v>
      </c>
      <c r="H15" s="1">
        <f t="shared" ref="H15:H16" si="0">3.24424%/12</f>
        <v>2.7035333333333337E-3</v>
      </c>
      <c r="J15" s="69">
        <f>F15*H15</f>
        <v>30848.69894762267</v>
      </c>
      <c r="L15" s="69">
        <f>'Cap&amp;OpEx 2017'!H13</f>
        <v>1859739.66</v>
      </c>
      <c r="N15" s="69">
        <f>H15*L15*0.5</f>
        <v>2513.9340810660001</v>
      </c>
      <c r="P15" s="80">
        <f>J15+N15</f>
        <v>33362.633028688673</v>
      </c>
      <c r="R15" s="80">
        <f>L15+F15</f>
        <v>13270251.439999999</v>
      </c>
    </row>
    <row r="16" spans="1:18">
      <c r="A16" s="74">
        <f>A15+1</f>
        <v>4</v>
      </c>
      <c r="B16" s="67"/>
      <c r="C16" s="67" t="s">
        <v>256</v>
      </c>
      <c r="D16" s="74">
        <v>380</v>
      </c>
      <c r="F16" s="69">
        <f>'201711 Bk Depr'!R16</f>
        <v>2675973.7799999998</v>
      </c>
      <c r="H16" s="1">
        <f t="shared" si="0"/>
        <v>2.7035333333333337E-3</v>
      </c>
      <c r="J16" s="69">
        <f>F16*H16</f>
        <v>7234.5843133560002</v>
      </c>
      <c r="L16" s="69">
        <f>'Cap&amp;OpEx 2017'!H14</f>
        <v>476052.85999999993</v>
      </c>
      <c r="N16" s="69">
        <f>H16*L16*0.5</f>
        <v>643.51238771933333</v>
      </c>
      <c r="P16" s="80">
        <f>J16+N16</f>
        <v>7878.0967010753338</v>
      </c>
      <c r="R16" s="80">
        <f>L16+F16</f>
        <v>3152026.6399999997</v>
      </c>
    </row>
    <row r="17" spans="1:18">
      <c r="A17" s="74">
        <f>A16+1</f>
        <v>5</v>
      </c>
      <c r="B17" s="67"/>
      <c r="C17" s="67" t="s">
        <v>26</v>
      </c>
      <c r="F17" s="81">
        <f>SUM(F13:F16)</f>
        <v>21546935.890000001</v>
      </c>
      <c r="J17" s="81">
        <f>SUM(J13:J16)</f>
        <v>49344.631967964669</v>
      </c>
      <c r="L17" s="81">
        <f>SUM(L13:L16)</f>
        <v>3390030.7499999995</v>
      </c>
      <c r="N17" s="81">
        <f>SUM(N13:N16)</f>
        <v>3967.2232476383333</v>
      </c>
      <c r="P17" s="81">
        <f>SUM(P13:P16)</f>
        <v>53311.855215603005</v>
      </c>
      <c r="R17" s="81">
        <f>SUM(R13:R16)</f>
        <v>24936966.640000001</v>
      </c>
    </row>
    <row r="18" spans="1:18">
      <c r="B18" s="67"/>
    </row>
    <row r="19" spans="1:18">
      <c r="B19" s="79" t="s">
        <v>13</v>
      </c>
      <c r="C19" s="79"/>
    </row>
    <row r="20" spans="1:18">
      <c r="A20" s="74">
        <f>A17+1</f>
        <v>6</v>
      </c>
      <c r="B20" s="67"/>
      <c r="C20" s="67" t="s">
        <v>25</v>
      </c>
      <c r="D20" s="74">
        <v>376</v>
      </c>
      <c r="F20" s="69">
        <f>'201711 Bk Depr'!R20</f>
        <v>0</v>
      </c>
      <c r="H20" s="1">
        <f>1.61784%/12</f>
        <v>1.3481999999999999E-3</v>
      </c>
      <c r="J20" s="69">
        <f>F20*H20</f>
        <v>0</v>
      </c>
      <c r="L20" s="69">
        <f>'Cap&amp;OpEx 2017'!H17</f>
        <v>0</v>
      </c>
      <c r="N20" s="69">
        <f>H20*L20*0.5</f>
        <v>0</v>
      </c>
      <c r="P20" s="80">
        <f>J20+N20</f>
        <v>0</v>
      </c>
      <c r="R20" s="80">
        <f>L20+F20</f>
        <v>0</v>
      </c>
    </row>
    <row r="21" spans="1:18">
      <c r="A21" s="74">
        <f>A20+1</f>
        <v>7</v>
      </c>
      <c r="B21" s="67"/>
      <c r="C21" s="77" t="s">
        <v>73</v>
      </c>
      <c r="D21" s="74">
        <v>380</v>
      </c>
      <c r="F21" s="69">
        <f>'201711 Bk Depr'!R21</f>
        <v>0</v>
      </c>
      <c r="H21" s="1">
        <f>3.24424%/12</f>
        <v>2.7035333333333337E-3</v>
      </c>
      <c r="J21" s="69">
        <f>F21*H21</f>
        <v>0</v>
      </c>
      <c r="L21" s="69">
        <f>'Cap&amp;OpEx 2017'!H18</f>
        <v>0</v>
      </c>
      <c r="N21" s="69">
        <f>H21*L21*0.5</f>
        <v>0</v>
      </c>
      <c r="P21" s="80">
        <f>J21+N21</f>
        <v>0</v>
      </c>
      <c r="R21" s="80">
        <f>L21+F21</f>
        <v>0</v>
      </c>
    </row>
    <row r="22" spans="1:18">
      <c r="A22" s="74">
        <f>A21+1</f>
        <v>8</v>
      </c>
      <c r="B22" s="67"/>
      <c r="C22" s="77" t="s">
        <v>74</v>
      </c>
      <c r="D22" s="74">
        <v>380</v>
      </c>
      <c r="F22" s="69">
        <f>'201711 Bk Depr'!R22</f>
        <v>0</v>
      </c>
      <c r="H22" s="1">
        <f t="shared" ref="H22" si="1">3.24424%/12</f>
        <v>2.7035333333333337E-3</v>
      </c>
      <c r="J22" s="69">
        <f>F22*H22</f>
        <v>0</v>
      </c>
      <c r="L22" s="69">
        <f>'Cap&amp;OpEx 2017'!H19</f>
        <v>0</v>
      </c>
      <c r="N22" s="69">
        <f>H22*L22*0.5</f>
        <v>0</v>
      </c>
      <c r="P22" s="80">
        <f>J22+N22</f>
        <v>0</v>
      </c>
      <c r="R22" s="80">
        <f>L22+F22</f>
        <v>0</v>
      </c>
    </row>
    <row r="23" spans="1:18">
      <c r="A23" s="74">
        <f>A22+1</f>
        <v>9</v>
      </c>
      <c r="B23" s="67"/>
      <c r="C23" s="67" t="s">
        <v>27</v>
      </c>
      <c r="F23" s="81">
        <f>SUM(F20:F22)</f>
        <v>0</v>
      </c>
      <c r="J23" s="81">
        <f>SUM(J20:J22)</f>
        <v>0</v>
      </c>
      <c r="L23" s="81">
        <f>SUM(L20:L22)</f>
        <v>0</v>
      </c>
      <c r="N23" s="81">
        <f>SUM(N20:N22)</f>
        <v>0</v>
      </c>
      <c r="P23" s="81">
        <f>SUM(P20:P22)</f>
        <v>0</v>
      </c>
      <c r="R23" s="81">
        <f>SUM(R20:R22)</f>
        <v>0</v>
      </c>
    </row>
    <row r="24" spans="1:18">
      <c r="B24" s="67"/>
    </row>
    <row r="25" spans="1:18" ht="16.5" thickBot="1">
      <c r="A25" s="74">
        <f>A23+1</f>
        <v>10</v>
      </c>
      <c r="B25" s="82" t="s">
        <v>22</v>
      </c>
      <c r="C25" s="82"/>
      <c r="F25" s="83">
        <f>F17+F23</f>
        <v>21546935.890000001</v>
      </c>
      <c r="J25" s="83">
        <f>J17+J23</f>
        <v>49344.631967964669</v>
      </c>
      <c r="L25" s="83">
        <f>L17+L23</f>
        <v>3390030.7499999995</v>
      </c>
      <c r="N25" s="83">
        <f>N17+N23</f>
        <v>3967.2232476383333</v>
      </c>
      <c r="P25" s="83">
        <f>P17+P23</f>
        <v>53311.855215603005</v>
      </c>
      <c r="R25" s="83">
        <f>R17+R23</f>
        <v>24936966.640000001</v>
      </c>
    </row>
    <row r="26" spans="1:18" ht="16.5" thickTop="1">
      <c r="B26" s="67"/>
    </row>
    <row r="27" spans="1:18">
      <c r="B27" s="82" t="s">
        <v>23</v>
      </c>
      <c r="C27" s="82"/>
    </row>
    <row r="28" spans="1:18">
      <c r="A28" s="74">
        <f>A25+1</f>
        <v>11</v>
      </c>
      <c r="B28" s="67"/>
      <c r="C28" s="67" t="s">
        <v>25</v>
      </c>
      <c r="D28" s="74">
        <v>376</v>
      </c>
      <c r="F28" s="69">
        <f>'201711 Bk Depr'!R28</f>
        <v>373920</v>
      </c>
      <c r="L28" s="69">
        <f>'Cap&amp;OpEx 2017'!H24</f>
        <v>79800</v>
      </c>
      <c r="R28" s="80">
        <f>L28+F28</f>
        <v>453720</v>
      </c>
    </row>
    <row r="29" spans="1:18">
      <c r="A29" s="74">
        <f>A28+1</f>
        <v>12</v>
      </c>
      <c r="B29" s="67"/>
      <c r="C29" s="77" t="s">
        <v>73</v>
      </c>
      <c r="D29" s="74">
        <v>380</v>
      </c>
      <c r="F29" s="69">
        <f>'201711 Bk Depr'!R29</f>
        <v>154691.08000000002</v>
      </c>
      <c r="L29" s="69">
        <f>'Cap&amp;OpEx 2017'!H25</f>
        <v>27551.32</v>
      </c>
      <c r="R29" s="80">
        <f>L29+F29</f>
        <v>182242.40000000002</v>
      </c>
    </row>
    <row r="30" spans="1:18">
      <c r="A30" s="74">
        <f>A29+1</f>
        <v>13</v>
      </c>
      <c r="B30" s="67"/>
      <c r="C30" s="77" t="s">
        <v>74</v>
      </c>
      <c r="D30" s="74">
        <v>380</v>
      </c>
      <c r="F30" s="69">
        <f>'201711 Bk Depr'!R30</f>
        <v>0</v>
      </c>
      <c r="L30" s="69">
        <f>'Cap&amp;OpEx 2017'!H26</f>
        <v>0</v>
      </c>
      <c r="R30" s="80">
        <f>L30+F30</f>
        <v>0</v>
      </c>
    </row>
    <row r="31" spans="1:18">
      <c r="A31" s="74">
        <f>A30+1</f>
        <v>14</v>
      </c>
      <c r="B31" s="67"/>
      <c r="C31" s="67" t="s">
        <v>28</v>
      </c>
      <c r="F31" s="81">
        <f>SUM(F28:F30)</f>
        <v>528611.08000000007</v>
      </c>
      <c r="J31" s="81">
        <f>SUM(J28:J30)</f>
        <v>0</v>
      </c>
      <c r="L31" s="81">
        <f>SUM(L28:L30)</f>
        <v>107351.32</v>
      </c>
      <c r="N31" s="81">
        <f>SUM(N28:N30)</f>
        <v>0</v>
      </c>
      <c r="P31" s="81">
        <f>SUM(P28:P30)</f>
        <v>0</v>
      </c>
      <c r="R31" s="81">
        <f>SUM(R28:R30)</f>
        <v>635962.4</v>
      </c>
    </row>
  </sheetData>
  <mergeCells count="4">
    <mergeCell ref="A1:R1"/>
    <mergeCell ref="A2:R2"/>
    <mergeCell ref="A3:R3"/>
    <mergeCell ref="A4:R4"/>
  </mergeCells>
  <pageMargins left="0.7" right="0.7" top="0.75" bottom="0.75" header="0.3" footer="0.3"/>
  <pageSetup scale="82" orientation="landscape" r:id="rId1"/>
  <headerFooter>
    <oddFooter>&amp;R&amp;"Times New Roman,Bold"&amp;12Attachment to PSC Post Hearing Data Request Question No. 3
Revised Exhibit RMC-1
Page 11 of 12</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00"/>
  <sheetViews>
    <sheetView zoomScale="85" zoomScaleNormal="85" zoomScalePageLayoutView="70" workbookViewId="0">
      <selection sqref="A1:AP1"/>
    </sheetView>
  </sheetViews>
  <sheetFormatPr defaultRowHeight="12.75"/>
  <cols>
    <col min="1" max="1" width="5.140625" style="258" customWidth="1"/>
    <col min="2" max="2" width="3.28515625" style="258" customWidth="1"/>
    <col min="3" max="3" width="11.7109375" style="258" bestFit="1" customWidth="1"/>
    <col min="4" max="4" width="11.7109375" style="258" hidden="1" customWidth="1"/>
    <col min="5" max="5" width="1.28515625" style="258" customWidth="1"/>
    <col min="6" max="6" width="6.140625" style="258" bestFit="1" customWidth="1"/>
    <col min="7" max="7" width="1.28515625" style="258" customWidth="1"/>
    <col min="8" max="8" width="13.7109375" style="258" bestFit="1" customWidth="1"/>
    <col min="9" max="9" width="3.28515625" style="258" customWidth="1"/>
    <col min="10" max="10" width="13.7109375" style="258" bestFit="1" customWidth="1"/>
    <col min="11" max="11" width="3.28515625" style="258" customWidth="1"/>
    <col min="12" max="12" width="13.7109375" style="258" bestFit="1" customWidth="1"/>
    <col min="13" max="13" width="3.28515625" style="258" customWidth="1"/>
    <col min="14" max="14" width="13.7109375" style="258" customWidth="1"/>
    <col min="15" max="15" width="3.140625" style="258" customWidth="1"/>
    <col min="16" max="16" width="12.140625" style="258" customWidth="1"/>
    <col min="17" max="17" width="2.7109375" style="258" customWidth="1"/>
    <col min="18" max="18" width="14.28515625" style="258" bestFit="1" customWidth="1"/>
    <col min="19" max="19" width="2.85546875" style="258" customWidth="1"/>
    <col min="20" max="20" width="15" style="258" bestFit="1" customWidth="1"/>
    <col min="21" max="21" width="1.28515625" style="258" customWidth="1"/>
    <col min="22" max="22" width="13.7109375" style="258" bestFit="1" customWidth="1"/>
    <col min="23" max="23" width="1.7109375" style="258" customWidth="1"/>
    <col min="24" max="24" width="14.42578125" style="258" bestFit="1" customWidth="1"/>
    <col min="25" max="25" width="1.7109375" style="258" customWidth="1"/>
    <col min="26" max="26" width="13.7109375" style="258" bestFit="1" customWidth="1"/>
    <col min="27" max="27" width="1.7109375" style="258" customWidth="1"/>
    <col min="28" max="28" width="11.140625" style="258" customWidth="1"/>
    <col min="29" max="29" width="1.28515625" style="258" customWidth="1"/>
    <col min="30" max="30" width="10.85546875" style="258" customWidth="1"/>
    <col min="31" max="31" width="1.28515625" style="258" customWidth="1"/>
    <col min="32" max="32" width="11.42578125" style="258" customWidth="1"/>
    <col min="33" max="33" width="1.28515625" style="258" customWidth="1"/>
    <col min="34" max="34" width="11.140625" style="258" customWidth="1"/>
    <col min="35" max="35" width="1.7109375" style="258" customWidth="1"/>
    <col min="36" max="36" width="14.85546875" style="258" customWidth="1"/>
    <col min="37" max="37" width="1.7109375" style="258" customWidth="1"/>
    <col min="38" max="38" width="12" style="258" customWidth="1"/>
    <col min="39" max="39" width="2" style="258" customWidth="1"/>
    <col min="40" max="40" width="9.140625" style="258"/>
    <col min="41" max="41" width="1.85546875" style="258" customWidth="1"/>
    <col min="42" max="42" width="13.7109375" style="258" customWidth="1"/>
    <col min="43" max="45" width="9.140625" style="258"/>
    <col min="46" max="46" width="11.85546875" style="258" customWidth="1"/>
    <col min="47" max="16384" width="9.140625" style="258"/>
  </cols>
  <sheetData>
    <row r="1" spans="1:47" ht="18.75">
      <c r="A1" s="540" t="s">
        <v>84</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row>
    <row r="2" spans="1:47" ht="18.75">
      <c r="A2" s="561" t="s">
        <v>431</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row>
    <row r="3" spans="1:47" ht="18.75">
      <c r="A3" s="540" t="s">
        <v>138</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row>
    <row r="4" spans="1:47">
      <c r="A4" s="259"/>
    </row>
    <row r="6" spans="1:47">
      <c r="A6" s="260"/>
      <c r="B6" s="260"/>
      <c r="C6" s="260"/>
      <c r="D6" s="260" t="s">
        <v>29</v>
      </c>
      <c r="E6" s="260"/>
      <c r="F6" s="260"/>
      <c r="G6" s="260"/>
      <c r="H6" s="260"/>
      <c r="I6" s="260"/>
      <c r="J6" s="260"/>
      <c r="K6" s="260"/>
      <c r="L6" s="260"/>
      <c r="M6" s="260"/>
      <c r="N6" s="260"/>
      <c r="O6" s="260"/>
      <c r="P6" s="260"/>
      <c r="Q6" s="260"/>
      <c r="R6" s="260"/>
      <c r="S6" s="260"/>
      <c r="T6" s="511"/>
      <c r="U6" s="260"/>
      <c r="V6" s="260"/>
      <c r="W6" s="260"/>
      <c r="X6" s="260"/>
      <c r="Y6" s="260"/>
      <c r="Z6" s="260"/>
      <c r="AA6" s="260"/>
      <c r="AB6" s="260"/>
      <c r="AC6" s="260"/>
      <c r="AD6" s="260"/>
      <c r="AE6" s="260"/>
      <c r="AF6" s="260"/>
      <c r="AG6" s="260"/>
      <c r="AH6" s="260"/>
      <c r="AI6" s="260"/>
      <c r="AJ6" s="260"/>
    </row>
    <row r="7" spans="1:47" ht="25.5">
      <c r="A7" s="260"/>
      <c r="B7" s="260"/>
      <c r="C7" s="261" t="s">
        <v>319</v>
      </c>
      <c r="D7" s="260" t="s">
        <v>30</v>
      </c>
      <c r="E7" s="260"/>
      <c r="F7" s="260"/>
      <c r="G7" s="260"/>
      <c r="H7" s="260">
        <v>2012</v>
      </c>
      <c r="I7" s="260"/>
      <c r="J7" s="260">
        <v>2013</v>
      </c>
      <c r="K7" s="260"/>
      <c r="L7" s="260">
        <v>2014</v>
      </c>
      <c r="M7" s="260"/>
      <c r="N7" s="260">
        <v>2015</v>
      </c>
      <c r="O7" s="260"/>
      <c r="P7" s="260">
        <v>2016</v>
      </c>
      <c r="Q7" s="260"/>
      <c r="R7" s="260">
        <v>2017</v>
      </c>
      <c r="S7" s="260"/>
      <c r="T7" s="260"/>
      <c r="U7" s="260"/>
      <c r="V7" s="260" t="s">
        <v>42</v>
      </c>
      <c r="W7" s="260"/>
      <c r="X7" s="260"/>
      <c r="Y7" s="260"/>
      <c r="Z7" s="260"/>
      <c r="AA7" s="260"/>
      <c r="AB7" s="261" t="s">
        <v>307</v>
      </c>
      <c r="AC7" s="260"/>
      <c r="AD7" s="261" t="s">
        <v>308</v>
      </c>
      <c r="AE7" s="260"/>
      <c r="AF7" s="261" t="s">
        <v>313</v>
      </c>
      <c r="AG7" s="260"/>
      <c r="AH7" s="261" t="s">
        <v>315</v>
      </c>
      <c r="AI7" s="260"/>
      <c r="AJ7" s="260" t="s">
        <v>49</v>
      </c>
      <c r="AL7" s="261" t="s">
        <v>275</v>
      </c>
      <c r="AM7" s="260"/>
      <c r="AN7" s="261"/>
      <c r="AO7" s="260"/>
      <c r="AP7" s="261" t="s">
        <v>397</v>
      </c>
    </row>
    <row r="8" spans="1:47">
      <c r="A8" s="260" t="s">
        <v>5</v>
      </c>
      <c r="B8" s="260"/>
      <c r="C8" s="260" t="s">
        <v>31</v>
      </c>
      <c r="D8" s="260" t="s">
        <v>31</v>
      </c>
      <c r="E8" s="260"/>
      <c r="F8" s="260"/>
      <c r="G8" s="260"/>
      <c r="H8" s="260" t="s">
        <v>33</v>
      </c>
      <c r="I8" s="260"/>
      <c r="J8" s="260" t="s">
        <v>34</v>
      </c>
      <c r="K8" s="260"/>
      <c r="L8" s="260" t="s">
        <v>35</v>
      </c>
      <c r="M8" s="260"/>
      <c r="N8" s="260" t="s">
        <v>36</v>
      </c>
      <c r="O8" s="260"/>
      <c r="P8" s="260" t="s">
        <v>37</v>
      </c>
      <c r="Q8" s="260"/>
      <c r="R8" s="260" t="s">
        <v>38</v>
      </c>
      <c r="S8" s="260"/>
      <c r="T8" s="260" t="s">
        <v>41</v>
      </c>
      <c r="U8" s="260"/>
      <c r="V8" s="260" t="s">
        <v>43</v>
      </c>
      <c r="W8" s="260"/>
      <c r="X8" s="260" t="s">
        <v>45</v>
      </c>
      <c r="Y8" s="260"/>
      <c r="Z8" s="260"/>
      <c r="AA8" s="260"/>
      <c r="AB8" s="260" t="s">
        <v>41</v>
      </c>
      <c r="AC8" s="260"/>
      <c r="AD8" s="260" t="s">
        <v>41</v>
      </c>
      <c r="AE8" s="260"/>
      <c r="AF8" s="260" t="s">
        <v>314</v>
      </c>
      <c r="AG8" s="260"/>
      <c r="AH8" s="260" t="s">
        <v>318</v>
      </c>
      <c r="AI8" s="260"/>
      <c r="AJ8" s="260" t="s">
        <v>47</v>
      </c>
      <c r="AL8" s="260" t="s">
        <v>398</v>
      </c>
      <c r="AM8" s="260"/>
      <c r="AN8" s="260" t="s">
        <v>275</v>
      </c>
      <c r="AO8" s="260"/>
      <c r="AP8" s="260" t="s">
        <v>47</v>
      </c>
    </row>
    <row r="9" spans="1:47">
      <c r="A9" s="373" t="s">
        <v>6</v>
      </c>
      <c r="B9" s="373"/>
      <c r="C9" s="373" t="s">
        <v>3</v>
      </c>
      <c r="D9" s="373" t="s">
        <v>3</v>
      </c>
      <c r="E9" s="373"/>
      <c r="F9" s="373" t="s">
        <v>191</v>
      </c>
      <c r="G9" s="373"/>
      <c r="H9" s="373" t="s">
        <v>24</v>
      </c>
      <c r="I9" s="373"/>
      <c r="J9" s="373" t="s">
        <v>24</v>
      </c>
      <c r="K9" s="373"/>
      <c r="L9" s="373" t="s">
        <v>24</v>
      </c>
      <c r="M9" s="373"/>
      <c r="N9" s="373" t="s">
        <v>24</v>
      </c>
      <c r="O9" s="373"/>
      <c r="P9" s="373" t="s">
        <v>24</v>
      </c>
      <c r="Q9" s="373"/>
      <c r="R9" s="373" t="s">
        <v>24</v>
      </c>
      <c r="S9" s="373"/>
      <c r="T9" s="373" t="s">
        <v>1</v>
      </c>
      <c r="U9" s="373"/>
      <c r="V9" s="373" t="s">
        <v>44</v>
      </c>
      <c r="W9" s="373"/>
      <c r="X9" s="373" t="s">
        <v>1</v>
      </c>
      <c r="Y9" s="373"/>
      <c r="Z9" s="373" t="s">
        <v>46</v>
      </c>
      <c r="AA9" s="373"/>
      <c r="AB9" s="262" t="s">
        <v>309</v>
      </c>
      <c r="AC9" s="373"/>
      <c r="AD9" s="262" t="s">
        <v>312</v>
      </c>
      <c r="AE9" s="373"/>
      <c r="AF9" s="262" t="s">
        <v>309</v>
      </c>
      <c r="AG9" s="373"/>
      <c r="AH9" s="262" t="s">
        <v>13</v>
      </c>
      <c r="AI9" s="373"/>
      <c r="AJ9" s="373" t="s">
        <v>50</v>
      </c>
      <c r="AL9" s="262" t="s">
        <v>399</v>
      </c>
      <c r="AM9" s="390"/>
      <c r="AN9" s="262" t="s">
        <v>400</v>
      </c>
      <c r="AO9" s="390"/>
      <c r="AP9" s="390" t="s">
        <v>50</v>
      </c>
    </row>
    <row r="10" spans="1:47">
      <c r="C10" s="263"/>
      <c r="D10" s="263" t="s">
        <v>110</v>
      </c>
      <c r="E10" s="264"/>
      <c r="F10" s="264"/>
      <c r="G10" s="264"/>
      <c r="H10" s="264"/>
      <c r="I10" s="264"/>
      <c r="J10" s="264"/>
      <c r="K10" s="264"/>
      <c r="L10" s="264"/>
      <c r="M10" s="264"/>
      <c r="N10" s="264"/>
      <c r="O10" s="264"/>
      <c r="P10" s="264"/>
      <c r="Q10" s="264"/>
      <c r="R10" s="264"/>
      <c r="S10" s="264"/>
      <c r="U10" s="264"/>
      <c r="W10" s="264"/>
      <c r="Y10" s="264"/>
      <c r="AA10" s="264"/>
      <c r="AC10" s="264"/>
      <c r="AE10" s="264"/>
      <c r="AG10" s="264"/>
      <c r="AI10" s="264"/>
      <c r="AM10" s="264"/>
      <c r="AO10" s="264"/>
    </row>
    <row r="11" spans="1:47">
      <c r="A11" s="258">
        <v>1</v>
      </c>
      <c r="C11" s="263" t="s">
        <v>109</v>
      </c>
      <c r="D11" s="265"/>
      <c r="H11" s="219"/>
      <c r="I11" s="266"/>
      <c r="J11" s="219"/>
      <c r="K11" s="219"/>
      <c r="L11" s="219"/>
      <c r="M11" s="219"/>
      <c r="N11" s="219"/>
      <c r="O11" s="219"/>
      <c r="P11" s="219"/>
      <c r="Q11" s="219"/>
      <c r="R11" s="219">
        <f>SUM('Capital Budget 2017'!K15:P15)-R12-R13</f>
        <v>12894623.510000002</v>
      </c>
    </row>
    <row r="12" spans="1:47">
      <c r="A12" s="258">
        <v>2</v>
      </c>
      <c r="C12" s="263" t="s">
        <v>130</v>
      </c>
      <c r="D12" s="265"/>
      <c r="H12" s="219"/>
      <c r="J12" s="219"/>
      <c r="K12" s="219"/>
      <c r="L12" s="219"/>
      <c r="M12" s="219"/>
      <c r="N12" s="219"/>
      <c r="O12" s="219"/>
      <c r="P12" s="219"/>
      <c r="Q12" s="219"/>
      <c r="R12" s="219">
        <f>SUM('Capital Budget 2017'!K3:P5,'Capital Budget 2017'!K11:P14)</f>
        <v>4373636.9100000011</v>
      </c>
    </row>
    <row r="13" spans="1:47">
      <c r="A13" s="258">
        <v>3</v>
      </c>
      <c r="C13" s="263" t="s">
        <v>311</v>
      </c>
      <c r="D13" s="265"/>
      <c r="H13" s="219"/>
      <c r="J13" s="219"/>
      <c r="K13" s="219"/>
      <c r="L13" s="219"/>
      <c r="M13" s="219"/>
      <c r="N13" s="219"/>
      <c r="O13" s="219"/>
      <c r="P13" s="219"/>
      <c r="Q13" s="219"/>
      <c r="R13" s="219">
        <f>SUM('Capital Budget 2017'!K6:P7,'Capital Budget 2017'!K9:P9)*0.5</f>
        <v>7668706.2199999997</v>
      </c>
    </row>
    <row r="14" spans="1:47">
      <c r="C14" s="265"/>
      <c r="H14" s="219"/>
      <c r="L14" s="219"/>
      <c r="AR14" s="255"/>
      <c r="AS14" s="255"/>
      <c r="AT14" s="255"/>
      <c r="AU14" s="255"/>
    </row>
    <row r="15" spans="1:47">
      <c r="H15" s="563" t="s">
        <v>51</v>
      </c>
      <c r="I15" s="563"/>
      <c r="J15" s="563"/>
      <c r="K15" s="563"/>
      <c r="L15" s="563"/>
      <c r="M15" s="563"/>
      <c r="N15" s="563"/>
      <c r="O15" s="563"/>
      <c r="P15" s="563"/>
      <c r="Q15" s="563"/>
      <c r="R15" s="563"/>
      <c r="S15" s="563"/>
      <c r="T15" s="563"/>
      <c r="U15" s="563"/>
      <c r="V15" s="563"/>
      <c r="AR15" s="255"/>
      <c r="AS15" s="255"/>
      <c r="AT15" s="255"/>
      <c r="AU15" s="255"/>
    </row>
    <row r="16" spans="1:47">
      <c r="AH16" s="219"/>
      <c r="AJ16" s="219"/>
      <c r="AP16" s="219">
        <f>AJ16</f>
        <v>0</v>
      </c>
      <c r="AR16" s="255"/>
      <c r="AS16" s="255"/>
      <c r="AT16" s="255"/>
      <c r="AU16" s="255"/>
    </row>
    <row r="17" spans="1:47">
      <c r="A17" s="258">
        <f>A13+1</f>
        <v>4</v>
      </c>
      <c r="C17" s="267">
        <v>3.7499999999999999E-2</v>
      </c>
      <c r="D17" s="267">
        <v>0.05</v>
      </c>
      <c r="F17" s="258">
        <v>1</v>
      </c>
      <c r="H17" s="219"/>
      <c r="I17" s="266"/>
      <c r="J17" s="219"/>
      <c r="L17" s="219"/>
      <c r="N17" s="219"/>
      <c r="P17" s="219"/>
      <c r="R17" s="219"/>
      <c r="T17" s="219"/>
      <c r="V17" s="219"/>
      <c r="X17" s="219"/>
      <c r="Z17" s="219"/>
      <c r="AB17" s="219"/>
      <c r="AD17" s="219"/>
      <c r="AF17" s="219"/>
      <c r="AH17" s="219"/>
      <c r="AJ17" s="219"/>
      <c r="AL17" s="219">
        <f>AJ17-AJ16</f>
        <v>0</v>
      </c>
      <c r="AN17" s="392"/>
      <c r="AP17" s="219">
        <f>AP16+AL17*335/365</f>
        <v>0</v>
      </c>
      <c r="AR17" s="255"/>
      <c r="AS17" s="255"/>
      <c r="AT17" s="257"/>
      <c r="AU17" s="255"/>
    </row>
    <row r="18" spans="1:47">
      <c r="A18" s="258">
        <f>A17+1</f>
        <v>5</v>
      </c>
      <c r="C18" s="267">
        <v>7.2190000000000004E-2</v>
      </c>
      <c r="D18" s="267">
        <v>9.5000000000000001E-2</v>
      </c>
      <c r="F18" s="258">
        <v>2</v>
      </c>
      <c r="H18" s="219"/>
      <c r="I18" s="266"/>
      <c r="J18" s="219"/>
      <c r="L18" s="219"/>
      <c r="N18" s="219"/>
      <c r="P18" s="219"/>
      <c r="R18" s="219"/>
      <c r="T18" s="219"/>
      <c r="V18" s="219"/>
      <c r="X18" s="219"/>
      <c r="Z18" s="219"/>
      <c r="AB18" s="219"/>
      <c r="AD18" s="219"/>
      <c r="AF18" s="219"/>
      <c r="AH18" s="219"/>
      <c r="AJ18" s="219"/>
      <c r="AL18" s="219">
        <f t="shared" ref="AL18:AL28" si="0">AJ18-AJ17</f>
        <v>0</v>
      </c>
      <c r="AN18" s="392"/>
      <c r="AP18" s="219">
        <f>AP17+AL18*307/365</f>
        <v>0</v>
      </c>
      <c r="AR18" s="255"/>
      <c r="AS18" s="255"/>
      <c r="AT18" s="257"/>
      <c r="AU18" s="255"/>
    </row>
    <row r="19" spans="1:47">
      <c r="A19" s="258">
        <f t="shared" ref="A19:A44" si="1">A18+1</f>
        <v>6</v>
      </c>
      <c r="C19" s="267">
        <v>6.6769999999999996E-2</v>
      </c>
      <c r="D19" s="267">
        <v>8.5500000000000007E-2</v>
      </c>
      <c r="F19" s="258">
        <v>3</v>
      </c>
      <c r="H19" s="219"/>
      <c r="I19" s="266"/>
      <c r="J19" s="219"/>
      <c r="L19" s="219"/>
      <c r="N19" s="219"/>
      <c r="P19" s="219"/>
      <c r="R19" s="219"/>
      <c r="T19" s="219"/>
      <c r="V19" s="219"/>
      <c r="X19" s="219"/>
      <c r="Z19" s="219"/>
      <c r="AB19" s="219"/>
      <c r="AD19" s="219"/>
      <c r="AF19" s="219"/>
      <c r="AH19" s="219"/>
      <c r="AJ19" s="219"/>
      <c r="AL19" s="219">
        <f t="shared" si="0"/>
        <v>0</v>
      </c>
      <c r="AN19" s="392"/>
      <c r="AP19" s="219">
        <f>AP18+AL19*276/365</f>
        <v>0</v>
      </c>
      <c r="AR19" s="255"/>
      <c r="AS19" s="255"/>
      <c r="AT19" s="257"/>
      <c r="AU19" s="255"/>
    </row>
    <row r="20" spans="1:47">
      <c r="A20" s="258">
        <f t="shared" si="1"/>
        <v>7</v>
      </c>
      <c r="C20" s="267">
        <v>6.1769999999999999E-2</v>
      </c>
      <c r="D20" s="267">
        <v>7.6999999999999999E-2</v>
      </c>
      <c r="F20" s="258">
        <v>4</v>
      </c>
      <c r="H20" s="219"/>
      <c r="I20" s="266"/>
      <c r="J20" s="219"/>
      <c r="L20" s="219"/>
      <c r="N20" s="219"/>
      <c r="P20" s="219"/>
      <c r="R20" s="219"/>
      <c r="T20" s="219"/>
      <c r="V20" s="219"/>
      <c r="X20" s="219"/>
      <c r="Z20" s="219"/>
      <c r="AB20" s="219"/>
      <c r="AD20" s="219"/>
      <c r="AF20" s="219"/>
      <c r="AH20" s="219"/>
      <c r="AJ20" s="219"/>
      <c r="AL20" s="219">
        <f t="shared" si="0"/>
        <v>0</v>
      </c>
      <c r="AN20" s="392"/>
      <c r="AP20" s="219">
        <f>AP19+AL20*246/365</f>
        <v>0</v>
      </c>
      <c r="AR20" s="255"/>
      <c r="AS20" s="509"/>
      <c r="AT20" s="257"/>
      <c r="AU20" s="255"/>
    </row>
    <row r="21" spans="1:47">
      <c r="A21" s="258">
        <f t="shared" si="1"/>
        <v>8</v>
      </c>
      <c r="C21" s="267">
        <v>5.713E-2</v>
      </c>
      <c r="D21" s="267">
        <v>6.93E-2</v>
      </c>
      <c r="F21" s="258">
        <v>5</v>
      </c>
      <c r="H21" s="219"/>
      <c r="I21" s="266"/>
      <c r="J21" s="219"/>
      <c r="L21" s="219"/>
      <c r="N21" s="219"/>
      <c r="P21" s="219"/>
      <c r="R21" s="219"/>
      <c r="T21" s="219"/>
      <c r="V21" s="219"/>
      <c r="X21" s="219"/>
      <c r="Z21" s="219"/>
      <c r="AB21" s="219"/>
      <c r="AD21" s="219"/>
      <c r="AF21" s="219"/>
      <c r="AH21" s="219"/>
      <c r="AJ21" s="219"/>
      <c r="AL21" s="219">
        <f t="shared" si="0"/>
        <v>0</v>
      </c>
      <c r="AN21" s="392"/>
      <c r="AP21" s="219">
        <f>AP20+AL21*215/365</f>
        <v>0</v>
      </c>
      <c r="AR21" s="255"/>
      <c r="AS21" s="255"/>
      <c r="AT21" s="257"/>
      <c r="AU21" s="255"/>
    </row>
    <row r="22" spans="1:47">
      <c r="A22" s="258">
        <f t="shared" si="1"/>
        <v>9</v>
      </c>
      <c r="C22" s="267">
        <v>5.2850000000000001E-2</v>
      </c>
      <c r="D22" s="267">
        <v>6.2300000000000001E-2</v>
      </c>
      <c r="F22" s="258">
        <v>6</v>
      </c>
      <c r="H22" s="219"/>
      <c r="I22" s="266"/>
      <c r="J22" s="219"/>
      <c r="L22" s="219"/>
      <c r="N22" s="219"/>
      <c r="P22" s="219"/>
      <c r="R22" s="219"/>
      <c r="T22" s="219"/>
      <c r="V22" s="219"/>
      <c r="X22" s="219"/>
      <c r="Z22" s="219"/>
      <c r="AB22" s="219"/>
      <c r="AD22" s="219"/>
      <c r="AF22" s="219"/>
      <c r="AH22" s="219"/>
      <c r="AJ22" s="219"/>
      <c r="AL22" s="219">
        <f t="shared" si="0"/>
        <v>0</v>
      </c>
      <c r="AN22" s="392"/>
      <c r="AP22" s="219">
        <f>AP21+AL22*185/365</f>
        <v>0</v>
      </c>
      <c r="AR22" s="255"/>
      <c r="AS22" s="255"/>
      <c r="AT22" s="255"/>
      <c r="AU22" s="255"/>
    </row>
    <row r="23" spans="1:47">
      <c r="A23" s="258">
        <f t="shared" si="1"/>
        <v>10</v>
      </c>
      <c r="C23" s="267">
        <v>4.888E-2</v>
      </c>
      <c r="D23" s="267">
        <v>5.8999999999999997E-2</v>
      </c>
      <c r="F23" s="258">
        <v>7</v>
      </c>
      <c r="H23" s="219"/>
      <c r="I23" s="266"/>
      <c r="J23" s="219"/>
      <c r="L23" s="219"/>
      <c r="N23" s="219"/>
      <c r="P23" s="219"/>
      <c r="R23" s="512">
        <f>(('201707 Bk Depr'!$L$17-SUM('Capital Budget 2017'!K$3:K$5,'Capital Budget 2017'!K$11:K$14)-(1/6*R13))*$C$17)+SUM('Capital Budget 2017'!K$3:K$5,'Capital Budget 2017'!K$11:K$14)+(1/6*R13)</f>
        <v>2162738.8767083329</v>
      </c>
      <c r="T23" s="219">
        <f t="shared" ref="T23:T28" si="2">SUM(H23:S23)</f>
        <v>2162738.8767083329</v>
      </c>
      <c r="V23" s="219">
        <f>'201707 Bk Depr'!L$31</f>
        <v>98875.65</v>
      </c>
      <c r="X23" s="219">
        <f>'201707 Bk Depr'!P$17</f>
        <v>4866.0633067263343</v>
      </c>
      <c r="Z23" s="219">
        <f t="shared" ref="Z23:Z28" si="3">T23+V23-X23</f>
        <v>2256748.4634016063</v>
      </c>
      <c r="AB23" s="219">
        <f t="shared" ref="AB23:AB28" si="4">Z23*0.35</f>
        <v>789861.96219056216</v>
      </c>
      <c r="AD23" s="219">
        <f t="shared" ref="AD23:AD28" si="5">AB71</f>
        <v>61593.610436596413</v>
      </c>
      <c r="AF23" s="219">
        <f t="shared" ref="AF23:AF28" si="6">-AD23*0.35</f>
        <v>-21557.763652808742</v>
      </c>
      <c r="AH23" s="219"/>
      <c r="AJ23" s="219">
        <f>AJ22+AB23+AD23+AF23+AH23</f>
        <v>829897.80897434987</v>
      </c>
      <c r="AL23" s="219">
        <f t="shared" si="0"/>
        <v>829897.80897434987</v>
      </c>
      <c r="AN23" s="392" t="s">
        <v>423</v>
      </c>
      <c r="AP23" s="219">
        <f>AP22+AL23*154/184</f>
        <v>694588.38359809713</v>
      </c>
      <c r="AR23" s="255"/>
      <c r="AS23" s="255"/>
      <c r="AT23" s="255"/>
      <c r="AU23" s="255"/>
    </row>
    <row r="24" spans="1:47">
      <c r="A24" s="258">
        <f t="shared" si="1"/>
        <v>11</v>
      </c>
      <c r="C24" s="267">
        <v>4.5220000000000003E-2</v>
      </c>
      <c r="D24" s="267">
        <v>5.8999999999999997E-2</v>
      </c>
      <c r="F24" s="258">
        <v>8</v>
      </c>
      <c r="H24" s="219"/>
      <c r="I24" s="266"/>
      <c r="J24" s="219"/>
      <c r="L24" s="219"/>
      <c r="N24" s="219"/>
      <c r="P24" s="219"/>
      <c r="R24" s="512">
        <f>(('201708 Bk Depr'!$L$17-SUM('Capital Budget 2017'!L$3:L$5,'Capital Budget 2017'!L$11:L$14)-(1/6*R13))*$C$17)+SUM('Capital Budget 2017'!L$3:L$5,'Capital Budget 2017'!L$11:L$14)+(1/6*R13)</f>
        <v>2275903.141458333</v>
      </c>
      <c r="T24" s="219">
        <f t="shared" si="2"/>
        <v>2275903.141458333</v>
      </c>
      <c r="V24" s="219">
        <f>'201708 Bk Depr'!L$31</f>
        <v>109834.08</v>
      </c>
      <c r="X24" s="219">
        <f>'201708 Bk Depr'!P$17</f>
        <v>15086.173410483669</v>
      </c>
      <c r="Z24" s="219">
        <f t="shared" si="3"/>
        <v>2370651.0480478494</v>
      </c>
      <c r="AB24" s="219">
        <f t="shared" si="4"/>
        <v>829727.86681674724</v>
      </c>
      <c r="AD24" s="219">
        <f t="shared" si="5"/>
        <v>68427.765515370978</v>
      </c>
      <c r="AF24" s="219">
        <f t="shared" si="6"/>
        <v>-23949.71793037984</v>
      </c>
      <c r="AH24" s="219"/>
      <c r="AJ24" s="219">
        <f t="shared" ref="AJ24:AJ28" si="7">AJ23+AB24+AD24+AF24+AH24</f>
        <v>1704103.7233760883</v>
      </c>
      <c r="AL24" s="219">
        <f t="shared" si="0"/>
        <v>874205.91440173844</v>
      </c>
      <c r="AN24" s="392" t="s">
        <v>422</v>
      </c>
      <c r="AP24" s="219">
        <f>AP23+AL24*123/184</f>
        <v>1278976.0328992591</v>
      </c>
      <c r="AR24" s="510"/>
      <c r="AS24" s="255"/>
      <c r="AT24" s="255"/>
      <c r="AU24" s="255"/>
    </row>
    <row r="25" spans="1:47">
      <c r="A25" s="258">
        <f t="shared" si="1"/>
        <v>12</v>
      </c>
      <c r="C25" s="267">
        <v>4.462E-2</v>
      </c>
      <c r="D25" s="267">
        <v>5.91E-2</v>
      </c>
      <c r="F25" s="258">
        <v>9</v>
      </c>
      <c r="H25" s="219"/>
      <c r="I25" s="266"/>
      <c r="J25" s="219"/>
      <c r="L25" s="219"/>
      <c r="N25" s="219"/>
      <c r="P25" s="219"/>
      <c r="R25" s="512">
        <f>(('201709 Bk Depr'!$L$17-SUM('Capital Budget 2017'!M$3:M$5,'Capital Budget 2017'!M$11:M$14)-(1/6*R13))*$C$17)+SUM('Capital Budget 2017'!M$3:M$5,'Capital Budget 2017'!M$11:M$14)+(1/6*R13)</f>
        <v>2163587.327583333</v>
      </c>
      <c r="T25" s="219">
        <f t="shared" si="2"/>
        <v>2163587.327583333</v>
      </c>
      <c r="V25" s="219">
        <f>'201709 Bk Depr'!L$31</f>
        <v>109423.45</v>
      </c>
      <c r="X25" s="219">
        <f>'201709 Bk Depr'!P$17</f>
        <v>25293.003894968337</v>
      </c>
      <c r="Z25" s="219">
        <f t="shared" si="3"/>
        <v>2247717.7736883648</v>
      </c>
      <c r="AB25" s="219">
        <f t="shared" si="4"/>
        <v>786701.22079092765</v>
      </c>
      <c r="AD25" s="219">
        <f t="shared" si="5"/>
        <v>61051.769053801894</v>
      </c>
      <c r="AF25" s="219">
        <f t="shared" si="6"/>
        <v>-21368.119168830661</v>
      </c>
      <c r="AH25" s="219"/>
      <c r="AJ25" s="219">
        <f t="shared" si="7"/>
        <v>2530488.5940519874</v>
      </c>
      <c r="AL25" s="219">
        <f t="shared" si="0"/>
        <v>826384.87067589909</v>
      </c>
      <c r="AN25" s="392" t="s">
        <v>421</v>
      </c>
      <c r="AP25" s="219">
        <f>AP24+AL25*93/184</f>
        <v>1696659.6903604472</v>
      </c>
    </row>
    <row r="26" spans="1:47">
      <c r="A26" s="258">
        <f t="shared" si="1"/>
        <v>13</v>
      </c>
      <c r="C26" s="267">
        <v>4.4609999999999997E-2</v>
      </c>
      <c r="D26" s="267">
        <v>5.8999999999999997E-2</v>
      </c>
      <c r="F26" s="258">
        <v>10</v>
      </c>
      <c r="H26" s="219"/>
      <c r="I26" s="266"/>
      <c r="J26" s="219"/>
      <c r="L26" s="219"/>
      <c r="N26" s="219"/>
      <c r="P26" s="219"/>
      <c r="R26" s="512">
        <f>(('201710 Bk Depr'!$L$17-SUM('Capital Budget 2017'!N$3:N$5,'Capital Budget 2017'!N$11:N$14)-(1/6*R13))*$C$17)+SUM('Capital Budget 2017'!N$3:N$5,'Capital Budget 2017'!N$11:N$14)+(1/6*R13)</f>
        <v>2052252.6777083329</v>
      </c>
      <c r="T26" s="219">
        <f t="shared" si="2"/>
        <v>2052252.6777083329</v>
      </c>
      <c r="V26" s="219">
        <f>'201710 Bk Depr'!L$31</f>
        <v>105198.44</v>
      </c>
      <c r="X26" s="219">
        <f>'201710 Bk Depr'!P$17</f>
        <v>35141.31249046867</v>
      </c>
      <c r="Z26" s="219">
        <f t="shared" si="3"/>
        <v>2122309.805217864</v>
      </c>
      <c r="AB26" s="219">
        <f t="shared" si="4"/>
        <v>742808.43182625237</v>
      </c>
      <c r="AD26" s="219">
        <f t="shared" si="5"/>
        <v>53527.290945571869</v>
      </c>
      <c r="AF26" s="219">
        <f t="shared" si="6"/>
        <v>-18734.551830950153</v>
      </c>
      <c r="AH26" s="219"/>
      <c r="AJ26" s="219">
        <f t="shared" si="7"/>
        <v>3308089.7649928615</v>
      </c>
      <c r="AL26" s="219">
        <f t="shared" si="0"/>
        <v>777601.17094087414</v>
      </c>
      <c r="AN26" s="392" t="s">
        <v>420</v>
      </c>
      <c r="AP26" s="219">
        <f>AP25+AL26*62/184</f>
        <v>1958677.4762209591</v>
      </c>
    </row>
    <row r="27" spans="1:47">
      <c r="A27" s="258">
        <f t="shared" si="1"/>
        <v>14</v>
      </c>
      <c r="C27" s="267">
        <v>4.462E-2</v>
      </c>
      <c r="D27" s="267">
        <v>5.91E-2</v>
      </c>
      <c r="F27" s="258">
        <v>11</v>
      </c>
      <c r="H27" s="219"/>
      <c r="I27" s="266"/>
      <c r="J27" s="219"/>
      <c r="L27" s="219"/>
      <c r="N27" s="219"/>
      <c r="P27" s="219"/>
      <c r="R27" s="512">
        <f>(('201711 Bk Depr'!$L$17-SUM('Capital Budget 2017'!O$3:O$5,'Capital Budget 2017'!O$11:O$14)-(1/6*R13))*$C$17)+SUM('Capital Budget 2017'!O$3:O$5,'Capital Budget 2017'!O$11:O$14)+(1/6*R13)</f>
        <v>2013737.938333333</v>
      </c>
      <c r="T27" s="219">
        <f t="shared" si="2"/>
        <v>2013737.938333333</v>
      </c>
      <c r="V27" s="219">
        <f>'201711 Bk Depr'!L$31</f>
        <v>105279.45999999999</v>
      </c>
      <c r="X27" s="219">
        <f>'201711 Bk Depr'!P$17</f>
        <v>44740.734683240007</v>
      </c>
      <c r="Z27" s="219">
        <f t="shared" si="3"/>
        <v>2074276.6636500929</v>
      </c>
      <c r="AB27" s="219">
        <f t="shared" si="4"/>
        <v>725996.83227753243</v>
      </c>
      <c r="AD27" s="219">
        <f t="shared" si="5"/>
        <v>50645.302451505588</v>
      </c>
      <c r="AF27" s="219">
        <f t="shared" si="6"/>
        <v>-17725.855858026953</v>
      </c>
      <c r="AH27" s="219"/>
      <c r="AJ27" s="219">
        <f t="shared" si="7"/>
        <v>4067006.0438638725</v>
      </c>
      <c r="AL27" s="219">
        <f t="shared" si="0"/>
        <v>758916.27887101099</v>
      </c>
      <c r="AN27" s="392" t="s">
        <v>419</v>
      </c>
      <c r="AP27" s="219">
        <f>AP26+AL27*32/184</f>
        <v>2090662.9160246132</v>
      </c>
    </row>
    <row r="28" spans="1:47">
      <c r="A28" s="258">
        <f t="shared" si="1"/>
        <v>15</v>
      </c>
      <c r="C28" s="267">
        <v>4.4609999999999997E-2</v>
      </c>
      <c r="D28" s="267">
        <v>5.8999999999999997E-2</v>
      </c>
      <c r="F28" s="258">
        <v>12</v>
      </c>
      <c r="H28" s="219"/>
      <c r="I28" s="266"/>
      <c r="J28" s="219"/>
      <c r="L28" s="219"/>
      <c r="N28" s="219"/>
      <c r="P28" s="219"/>
      <c r="R28" s="512">
        <f>(('201712 Bk Depr'!$L$17-SUM('Capital Budget 2017'!P$3:P$5,'Capital Budget 2017'!P$11:P$14)-(1/6*R13))*$C$17)+SUM('Capital Budget 2017'!P$3:P$5,'Capital Budget 2017'!P$11:P$14)+(1/6*R13)</f>
        <v>1857671.5498333331</v>
      </c>
      <c r="T28" s="219">
        <f t="shared" si="2"/>
        <v>1857671.5498333331</v>
      </c>
      <c r="V28" s="219">
        <f>'201712 Bk Depr'!L$31</f>
        <v>107351.32</v>
      </c>
      <c r="X28" s="219">
        <f>'201712 Bk Depr'!P$17</f>
        <v>53311.855215603005</v>
      </c>
      <c r="Z28" s="219">
        <f t="shared" si="3"/>
        <v>1911711.0146177302</v>
      </c>
      <c r="AB28" s="219">
        <f t="shared" si="4"/>
        <v>669098.85511620552</v>
      </c>
      <c r="AD28" s="219">
        <f t="shared" si="5"/>
        <v>40891.363509563809</v>
      </c>
      <c r="AF28" s="219">
        <f t="shared" si="6"/>
        <v>-14311.977228347332</v>
      </c>
      <c r="AH28" s="219"/>
      <c r="AJ28" s="219">
        <f t="shared" si="7"/>
        <v>4762684.2852612948</v>
      </c>
      <c r="AL28" s="219">
        <f t="shared" si="0"/>
        <v>695678.24139742227</v>
      </c>
      <c r="AN28" s="392" t="s">
        <v>418</v>
      </c>
      <c r="AP28" s="219">
        <f>AP27+AL28*1/184</f>
        <v>2094443.7760322078</v>
      </c>
    </row>
    <row r="29" spans="1:47">
      <c r="A29" s="258">
        <f t="shared" si="1"/>
        <v>16</v>
      </c>
      <c r="C29" s="267">
        <v>4.462E-2</v>
      </c>
      <c r="D29" s="267">
        <v>5.91E-2</v>
      </c>
      <c r="H29" s="219"/>
      <c r="J29" s="219"/>
      <c r="L29" s="219"/>
      <c r="N29" s="219"/>
      <c r="P29" s="219"/>
      <c r="R29" s="219"/>
      <c r="T29" s="219"/>
      <c r="V29" s="219"/>
      <c r="X29" s="219"/>
      <c r="Z29" s="219"/>
      <c r="AB29" s="219"/>
      <c r="AD29" s="219"/>
      <c r="AF29" s="219"/>
      <c r="AH29" s="219" t="str">
        <f t="shared" ref="AH29:AH43" si="8">IF(AF29="","",AF29*0.389)</f>
        <v/>
      </c>
      <c r="AJ29" s="268"/>
      <c r="AP29" s="219"/>
    </row>
    <row r="30" spans="1:47">
      <c r="A30" s="258">
        <f t="shared" si="1"/>
        <v>17</v>
      </c>
      <c r="C30" s="267">
        <v>4.4609999999999997E-2</v>
      </c>
      <c r="D30" s="267">
        <v>5.8999999999999997E-2</v>
      </c>
      <c r="H30" s="219"/>
      <c r="J30" s="219"/>
      <c r="L30" s="219"/>
      <c r="N30" s="219"/>
      <c r="P30" s="219"/>
      <c r="R30" s="219"/>
      <c r="T30" s="219"/>
      <c r="V30" s="219"/>
      <c r="X30" s="219"/>
      <c r="Z30" s="219"/>
      <c r="AB30" s="219"/>
      <c r="AD30" s="219"/>
      <c r="AF30" s="219"/>
      <c r="AH30" s="219" t="str">
        <f t="shared" si="8"/>
        <v/>
      </c>
      <c r="AJ30" s="219" t="str">
        <f t="shared" ref="AJ30:AJ43" si="9">IF(AB30="","",AJ29+AB30)</f>
        <v/>
      </c>
    </row>
    <row r="31" spans="1:47">
      <c r="A31" s="258">
        <f t="shared" si="1"/>
        <v>18</v>
      </c>
      <c r="C31" s="267">
        <v>4.462E-2</v>
      </c>
      <c r="D31" s="267">
        <v>5.91E-2</v>
      </c>
      <c r="H31" s="219"/>
      <c r="J31" s="268"/>
      <c r="L31" s="219"/>
      <c r="N31" s="219"/>
      <c r="P31" s="219"/>
      <c r="R31" s="219"/>
      <c r="T31" s="219"/>
      <c r="V31" s="219"/>
      <c r="X31" s="219"/>
      <c r="Z31" s="219"/>
      <c r="AB31" s="219"/>
      <c r="AD31" s="219"/>
      <c r="AF31" s="219"/>
      <c r="AH31" s="219" t="str">
        <f t="shared" si="8"/>
        <v/>
      </c>
      <c r="AJ31" s="219" t="str">
        <f t="shared" si="9"/>
        <v/>
      </c>
    </row>
    <row r="32" spans="1:47">
      <c r="A32" s="258">
        <f t="shared" si="1"/>
        <v>19</v>
      </c>
      <c r="C32" s="267">
        <v>4.4609999999999997E-2</v>
      </c>
      <c r="D32" s="267">
        <v>2.9499999999999998E-2</v>
      </c>
      <c r="H32" s="219"/>
      <c r="J32" s="219"/>
      <c r="L32" s="219"/>
      <c r="N32" s="219"/>
      <c r="P32" s="219"/>
      <c r="R32" s="219"/>
      <c r="T32" s="219"/>
      <c r="V32" s="219"/>
      <c r="X32" s="219"/>
      <c r="Z32" s="219"/>
      <c r="AB32" s="219"/>
      <c r="AD32" s="219"/>
      <c r="AF32" s="219"/>
      <c r="AH32" s="219" t="str">
        <f t="shared" si="8"/>
        <v/>
      </c>
      <c r="AJ32" s="219" t="str">
        <f t="shared" si="9"/>
        <v/>
      </c>
    </row>
    <row r="33" spans="1:36">
      <c r="A33" s="258">
        <f t="shared" si="1"/>
        <v>20</v>
      </c>
      <c r="C33" s="267">
        <v>4.462E-2</v>
      </c>
      <c r="D33" s="267">
        <v>0</v>
      </c>
      <c r="H33" s="219"/>
      <c r="J33" s="219"/>
      <c r="L33" s="219"/>
      <c r="N33" s="219"/>
      <c r="P33" s="219"/>
      <c r="R33" s="219"/>
      <c r="T33" s="219"/>
      <c r="V33" s="219"/>
      <c r="X33" s="219"/>
      <c r="Z33" s="219"/>
      <c r="AB33" s="219"/>
      <c r="AD33" s="219"/>
      <c r="AF33" s="219"/>
      <c r="AH33" s="219" t="str">
        <f t="shared" si="8"/>
        <v/>
      </c>
      <c r="AJ33" s="219" t="str">
        <f t="shared" si="9"/>
        <v/>
      </c>
    </row>
    <row r="34" spans="1:36">
      <c r="A34" s="258">
        <f t="shared" si="1"/>
        <v>21</v>
      </c>
      <c r="C34" s="267">
        <v>4.4609999999999997E-2</v>
      </c>
      <c r="D34" s="267">
        <v>0</v>
      </c>
      <c r="H34" s="219"/>
      <c r="J34" s="219"/>
      <c r="L34" s="219"/>
      <c r="N34" s="219"/>
      <c r="P34" s="219"/>
      <c r="R34" s="219"/>
      <c r="T34" s="219"/>
      <c r="V34" s="219"/>
      <c r="X34" s="219"/>
      <c r="Z34" s="219"/>
      <c r="AB34" s="219"/>
      <c r="AD34" s="219"/>
      <c r="AF34" s="219"/>
      <c r="AH34" s="219" t="str">
        <f t="shared" si="8"/>
        <v/>
      </c>
      <c r="AJ34" s="219" t="str">
        <f t="shared" si="9"/>
        <v/>
      </c>
    </row>
    <row r="35" spans="1:36">
      <c r="A35" s="258">
        <f t="shared" si="1"/>
        <v>22</v>
      </c>
      <c r="C35" s="267">
        <v>4.462E-2</v>
      </c>
      <c r="D35" s="267">
        <v>0</v>
      </c>
      <c r="H35" s="219"/>
      <c r="J35" s="219"/>
      <c r="L35" s="219"/>
      <c r="N35" s="219"/>
      <c r="P35" s="219"/>
      <c r="R35" s="219"/>
      <c r="T35" s="219"/>
      <c r="V35" s="219"/>
      <c r="X35" s="219"/>
      <c r="Z35" s="219"/>
      <c r="AB35" s="219"/>
      <c r="AD35" s="219"/>
      <c r="AF35" s="219"/>
      <c r="AH35" s="219" t="str">
        <f t="shared" si="8"/>
        <v/>
      </c>
      <c r="AJ35" s="219" t="str">
        <f t="shared" si="9"/>
        <v/>
      </c>
    </row>
    <row r="36" spans="1:36">
      <c r="A36" s="258">
        <f t="shared" si="1"/>
        <v>23</v>
      </c>
      <c r="C36" s="267">
        <v>4.4609999999999997E-2</v>
      </c>
      <c r="D36" s="267">
        <v>0</v>
      </c>
      <c r="H36" s="219"/>
      <c r="J36" s="219"/>
      <c r="L36" s="219"/>
      <c r="N36" s="219"/>
      <c r="P36" s="219"/>
      <c r="R36" s="219"/>
      <c r="T36" s="219"/>
      <c r="V36" s="219"/>
      <c r="X36" s="219"/>
      <c r="Z36" s="219"/>
      <c r="AB36" s="219"/>
      <c r="AD36" s="219"/>
      <c r="AF36" s="219"/>
      <c r="AH36" s="219" t="str">
        <f t="shared" si="8"/>
        <v/>
      </c>
      <c r="AJ36" s="219" t="str">
        <f t="shared" si="9"/>
        <v/>
      </c>
    </row>
    <row r="37" spans="1:36">
      <c r="A37" s="258">
        <f t="shared" si="1"/>
        <v>24</v>
      </c>
      <c r="C37" s="267">
        <v>2.231E-2</v>
      </c>
      <c r="D37" s="267">
        <v>0</v>
      </c>
      <c r="H37" s="219"/>
      <c r="J37" s="219"/>
      <c r="L37" s="219"/>
      <c r="N37" s="219"/>
      <c r="P37" s="219"/>
      <c r="R37" s="219"/>
      <c r="T37" s="219"/>
      <c r="V37" s="219"/>
      <c r="X37" s="219"/>
      <c r="Z37" s="219"/>
      <c r="AB37" s="219"/>
      <c r="AD37" s="219"/>
      <c r="AF37" s="219"/>
      <c r="AH37" s="219" t="str">
        <f t="shared" si="8"/>
        <v/>
      </c>
      <c r="AJ37" s="219" t="str">
        <f t="shared" si="9"/>
        <v/>
      </c>
    </row>
    <row r="38" spans="1:36">
      <c r="A38" s="258">
        <f t="shared" si="1"/>
        <v>25</v>
      </c>
      <c r="C38" s="267">
        <v>0</v>
      </c>
      <c r="D38" s="267">
        <v>0</v>
      </c>
      <c r="J38" s="219"/>
      <c r="L38" s="219"/>
      <c r="N38" s="219"/>
      <c r="P38" s="219"/>
      <c r="R38" s="219"/>
      <c r="T38" s="219"/>
      <c r="V38" s="219"/>
      <c r="X38" s="219"/>
      <c r="Z38" s="219"/>
      <c r="AB38" s="219"/>
      <c r="AD38" s="219"/>
      <c r="AF38" s="219"/>
      <c r="AH38" s="219" t="str">
        <f t="shared" si="8"/>
        <v/>
      </c>
      <c r="AJ38" s="219" t="str">
        <f t="shared" si="9"/>
        <v/>
      </c>
    </row>
    <row r="39" spans="1:36">
      <c r="A39" s="258">
        <f t="shared" si="1"/>
        <v>26</v>
      </c>
      <c r="C39" s="267">
        <v>0</v>
      </c>
      <c r="L39" s="219"/>
      <c r="N39" s="219"/>
      <c r="P39" s="219"/>
      <c r="R39" s="219"/>
      <c r="T39" s="219"/>
      <c r="Z39" s="219"/>
      <c r="AB39" s="219"/>
      <c r="AD39" s="219"/>
      <c r="AF39" s="219"/>
      <c r="AH39" s="219" t="str">
        <f t="shared" si="8"/>
        <v/>
      </c>
      <c r="AJ39" s="219" t="str">
        <f t="shared" si="9"/>
        <v/>
      </c>
    </row>
    <row r="40" spans="1:36">
      <c r="A40" s="258">
        <f t="shared" si="1"/>
        <v>27</v>
      </c>
      <c r="C40" s="267">
        <v>0</v>
      </c>
      <c r="N40" s="219"/>
      <c r="P40" s="219"/>
      <c r="R40" s="219"/>
      <c r="T40" s="219"/>
      <c r="Z40" s="219"/>
      <c r="AB40" s="219"/>
      <c r="AD40" s="219"/>
      <c r="AF40" s="219"/>
      <c r="AH40" s="219" t="str">
        <f t="shared" si="8"/>
        <v/>
      </c>
      <c r="AJ40" s="219" t="str">
        <f t="shared" si="9"/>
        <v/>
      </c>
    </row>
    <row r="41" spans="1:36">
      <c r="A41" s="258">
        <f t="shared" si="1"/>
        <v>28</v>
      </c>
      <c r="C41" s="267">
        <v>0</v>
      </c>
      <c r="P41" s="219"/>
      <c r="R41" s="219"/>
      <c r="T41" s="219"/>
      <c r="Z41" s="219"/>
      <c r="AB41" s="219"/>
      <c r="AD41" s="219"/>
      <c r="AF41" s="219"/>
      <c r="AH41" s="219" t="str">
        <f t="shared" si="8"/>
        <v/>
      </c>
      <c r="AJ41" s="219" t="str">
        <f t="shared" si="9"/>
        <v/>
      </c>
    </row>
    <row r="42" spans="1:36">
      <c r="A42" s="258">
        <f t="shared" si="1"/>
        <v>29</v>
      </c>
      <c r="C42" s="267">
        <v>0</v>
      </c>
      <c r="R42" s="219"/>
      <c r="T42" s="219"/>
      <c r="Z42" s="219"/>
      <c r="AB42" s="219"/>
      <c r="AD42" s="219"/>
      <c r="AF42" s="219"/>
      <c r="AH42" s="219" t="str">
        <f t="shared" si="8"/>
        <v/>
      </c>
      <c r="AJ42" s="219" t="str">
        <f t="shared" si="9"/>
        <v/>
      </c>
    </row>
    <row r="43" spans="1:36">
      <c r="A43" s="258">
        <f t="shared" si="1"/>
        <v>30</v>
      </c>
      <c r="C43" s="267">
        <v>0</v>
      </c>
      <c r="T43" s="219"/>
      <c r="Z43" s="219"/>
      <c r="AB43" s="219"/>
      <c r="AD43" s="219"/>
      <c r="AF43" s="219"/>
      <c r="AH43" s="219" t="str">
        <f t="shared" si="8"/>
        <v/>
      </c>
      <c r="AJ43" s="219" t="str">
        <f t="shared" si="9"/>
        <v/>
      </c>
    </row>
    <row r="44" spans="1:36">
      <c r="A44" s="258">
        <f t="shared" si="1"/>
        <v>31</v>
      </c>
      <c r="H44" s="219">
        <f>SUM(H17:H43)</f>
        <v>0</v>
      </c>
      <c r="I44" s="266" t="s">
        <v>278</v>
      </c>
      <c r="J44" s="219">
        <f>SUM(J17:J43)</f>
        <v>0</v>
      </c>
      <c r="K44" s="266" t="s">
        <v>279</v>
      </c>
      <c r="L44" s="219">
        <f>SUM(L17:L43)</f>
        <v>0</v>
      </c>
      <c r="M44" s="266" t="s">
        <v>280</v>
      </c>
      <c r="N44" s="219">
        <f>SUM(N17:N43)</f>
        <v>0</v>
      </c>
      <c r="O44" s="266" t="s">
        <v>293</v>
      </c>
      <c r="P44" s="219">
        <f>SUM(P17:P43)</f>
        <v>0</v>
      </c>
      <c r="Q44" s="266" t="s">
        <v>361</v>
      </c>
      <c r="R44" s="219">
        <f>SUM(R17:R43)</f>
        <v>12525891.511624997</v>
      </c>
      <c r="S44" s="266" t="s">
        <v>386</v>
      </c>
      <c r="T44" s="219">
        <f>SUM(T17:T43)</f>
        <v>12525891.511624997</v>
      </c>
      <c r="V44" s="219">
        <f>SUM(V17:V43)</f>
        <v>635962.39999999991</v>
      </c>
      <c r="X44" s="219">
        <f>SUM(X17:X43)</f>
        <v>178439.14300149004</v>
      </c>
      <c r="Z44" s="219">
        <f>SUM(Z17:Z43)</f>
        <v>12983414.768623509</v>
      </c>
      <c r="AB44" s="219">
        <f>SUM(AB17:AB43)</f>
        <v>4544195.1690182276</v>
      </c>
      <c r="AD44" s="219">
        <f>SUM(AD17:AD43)</f>
        <v>336137.10191241052</v>
      </c>
      <c r="AF44" s="219">
        <f>SUM(AF17:AF43)</f>
        <v>-117647.98566934367</v>
      </c>
      <c r="AG44" s="266"/>
      <c r="AH44" s="219">
        <f>SUM(AH17:AH43)</f>
        <v>0</v>
      </c>
      <c r="AI44" s="266"/>
      <c r="AJ44" s="219">
        <f>AVERAGE(AJ16:AJ28)</f>
        <v>2867045.0367534091</v>
      </c>
    </row>
    <row r="45" spans="1:36">
      <c r="I45" s="266"/>
      <c r="J45" s="219"/>
      <c r="K45" s="266"/>
      <c r="L45" s="219"/>
      <c r="M45" s="266"/>
      <c r="N45" s="219"/>
      <c r="P45" s="219"/>
      <c r="R45" s="219"/>
      <c r="T45" s="219"/>
      <c r="V45" s="219"/>
      <c r="X45" s="219"/>
      <c r="AJ45" s="219"/>
    </row>
    <row r="46" spans="1:36">
      <c r="L46" s="268"/>
      <c r="N46" s="219"/>
      <c r="AD46" s="219"/>
      <c r="AF46" s="219"/>
      <c r="AH46" s="219"/>
    </row>
    <row r="47" spans="1:36">
      <c r="B47" s="266" t="s">
        <v>278</v>
      </c>
      <c r="C47" s="258" t="s">
        <v>387</v>
      </c>
    </row>
    <row r="48" spans="1:36">
      <c r="B48" s="266" t="s">
        <v>279</v>
      </c>
      <c r="C48" s="258" t="s">
        <v>388</v>
      </c>
    </row>
    <row r="49" spans="1:36">
      <c r="B49" s="266" t="s">
        <v>280</v>
      </c>
      <c r="C49" s="258" t="s">
        <v>389</v>
      </c>
    </row>
    <row r="50" spans="1:36">
      <c r="B50" s="266" t="s">
        <v>293</v>
      </c>
      <c r="C50" s="258" t="s">
        <v>390</v>
      </c>
      <c r="AC50" s="260"/>
      <c r="AD50" s="260"/>
      <c r="AE50" s="260"/>
      <c r="AF50" s="260"/>
      <c r="AG50" s="260"/>
      <c r="AH50" s="260"/>
    </row>
    <row r="51" spans="1:36">
      <c r="B51" s="266" t="s">
        <v>361</v>
      </c>
      <c r="C51" s="258" t="s">
        <v>391</v>
      </c>
      <c r="AC51" s="260"/>
      <c r="AD51" s="260"/>
      <c r="AE51" s="260"/>
      <c r="AF51" s="260"/>
      <c r="AG51" s="260"/>
      <c r="AH51" s="260"/>
    </row>
    <row r="52" spans="1:36">
      <c r="B52" s="266" t="s">
        <v>386</v>
      </c>
      <c r="C52" s="258" t="s">
        <v>395</v>
      </c>
      <c r="AC52" s="260"/>
      <c r="AD52" s="260"/>
      <c r="AE52" s="260"/>
      <c r="AF52" s="260"/>
      <c r="AG52" s="260"/>
      <c r="AH52" s="260"/>
    </row>
    <row r="53" spans="1:36">
      <c r="AC53" s="260"/>
      <c r="AD53" s="253"/>
      <c r="AE53" s="254"/>
      <c r="AF53" s="253"/>
      <c r="AG53" s="254"/>
      <c r="AH53" s="253"/>
    </row>
    <row r="54" spans="1:36">
      <c r="A54" s="260"/>
      <c r="B54" s="260"/>
      <c r="C54" s="260"/>
      <c r="D54" s="260" t="s">
        <v>29</v>
      </c>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54"/>
      <c r="AE54" s="254"/>
      <c r="AF54" s="254"/>
      <c r="AG54" s="254"/>
      <c r="AH54" s="254"/>
      <c r="AI54" s="260"/>
      <c r="AJ54" s="260"/>
    </row>
    <row r="55" spans="1:36" ht="25.5">
      <c r="A55" s="260"/>
      <c r="B55" s="260"/>
      <c r="C55" s="261" t="s">
        <v>319</v>
      </c>
      <c r="D55" s="260" t="s">
        <v>30</v>
      </c>
      <c r="E55" s="260"/>
      <c r="F55" s="260"/>
      <c r="G55" s="260"/>
      <c r="H55" s="260">
        <v>2012</v>
      </c>
      <c r="I55" s="260"/>
      <c r="J55" s="260">
        <v>2013</v>
      </c>
      <c r="K55" s="260"/>
      <c r="L55" s="260">
        <v>2014</v>
      </c>
      <c r="M55" s="260"/>
      <c r="N55" s="260">
        <v>2015</v>
      </c>
      <c r="O55" s="260"/>
      <c r="P55" s="260">
        <v>2016</v>
      </c>
      <c r="Q55" s="260"/>
      <c r="R55" s="260">
        <v>2017</v>
      </c>
      <c r="S55" s="260"/>
      <c r="T55" s="260"/>
      <c r="U55" s="260"/>
      <c r="V55" s="260" t="s">
        <v>42</v>
      </c>
      <c r="W55" s="260"/>
      <c r="X55" s="260"/>
      <c r="Y55" s="260"/>
      <c r="Z55" s="260"/>
      <c r="AA55" s="260"/>
      <c r="AB55" s="261" t="s">
        <v>308</v>
      </c>
      <c r="AC55" s="254"/>
      <c r="AI55" s="260"/>
      <c r="AJ55" s="254"/>
    </row>
    <row r="56" spans="1:36">
      <c r="A56" s="260" t="s">
        <v>5</v>
      </c>
      <c r="B56" s="260"/>
      <c r="C56" s="260" t="s">
        <v>31</v>
      </c>
      <c r="D56" s="260" t="s">
        <v>31</v>
      </c>
      <c r="E56" s="260"/>
      <c r="F56" s="260"/>
      <c r="G56" s="260"/>
      <c r="H56" s="260" t="s">
        <v>33</v>
      </c>
      <c r="I56" s="260"/>
      <c r="J56" s="260" t="s">
        <v>34</v>
      </c>
      <c r="K56" s="260"/>
      <c r="L56" s="260" t="s">
        <v>35</v>
      </c>
      <c r="M56" s="260"/>
      <c r="N56" s="260" t="s">
        <v>36</v>
      </c>
      <c r="O56" s="260"/>
      <c r="P56" s="260" t="s">
        <v>37</v>
      </c>
      <c r="Q56" s="260"/>
      <c r="R56" s="260" t="s">
        <v>38</v>
      </c>
      <c r="S56" s="260"/>
      <c r="T56" s="260" t="s">
        <v>41</v>
      </c>
      <c r="U56" s="260"/>
      <c r="V56" s="260" t="s">
        <v>43</v>
      </c>
      <c r="W56" s="260"/>
      <c r="X56" s="260" t="s">
        <v>45</v>
      </c>
      <c r="Y56" s="260"/>
      <c r="Z56" s="260"/>
      <c r="AA56" s="260"/>
      <c r="AB56" s="260" t="s">
        <v>41</v>
      </c>
      <c r="AC56" s="264"/>
      <c r="AI56" s="254"/>
      <c r="AJ56" s="254"/>
    </row>
    <row r="57" spans="1:36">
      <c r="A57" s="373" t="s">
        <v>6</v>
      </c>
      <c r="B57" s="373"/>
      <c r="C57" s="373" t="s">
        <v>3</v>
      </c>
      <c r="D57" s="373" t="s">
        <v>3</v>
      </c>
      <c r="E57" s="373"/>
      <c r="F57" s="373" t="s">
        <v>191</v>
      </c>
      <c r="G57" s="373"/>
      <c r="H57" s="373" t="s">
        <v>24</v>
      </c>
      <c r="I57" s="373"/>
      <c r="J57" s="373" t="s">
        <v>24</v>
      </c>
      <c r="K57" s="373"/>
      <c r="L57" s="373" t="s">
        <v>24</v>
      </c>
      <c r="M57" s="373"/>
      <c r="N57" s="373" t="s">
        <v>24</v>
      </c>
      <c r="O57" s="373"/>
      <c r="P57" s="373" t="s">
        <v>24</v>
      </c>
      <c r="Q57" s="373"/>
      <c r="R57" s="373" t="s">
        <v>24</v>
      </c>
      <c r="S57" s="373"/>
      <c r="T57" s="373" t="s">
        <v>1</v>
      </c>
      <c r="U57" s="373"/>
      <c r="V57" s="373" t="s">
        <v>44</v>
      </c>
      <c r="W57" s="373"/>
      <c r="X57" s="373" t="s">
        <v>1</v>
      </c>
      <c r="Y57" s="373"/>
      <c r="Z57" s="373" t="s">
        <v>46</v>
      </c>
      <c r="AA57" s="373"/>
      <c r="AB57" s="262" t="s">
        <v>310</v>
      </c>
      <c r="AI57" s="254"/>
      <c r="AJ57" s="254"/>
    </row>
    <row r="58" spans="1:36">
      <c r="C58" s="263"/>
      <c r="D58" s="263" t="s">
        <v>110</v>
      </c>
      <c r="E58" s="264"/>
      <c r="F58" s="264"/>
      <c r="G58" s="264"/>
      <c r="H58" s="264"/>
      <c r="I58" s="264"/>
      <c r="J58" s="264"/>
      <c r="K58" s="264"/>
      <c r="L58" s="264"/>
      <c r="M58" s="264"/>
      <c r="N58" s="264"/>
      <c r="O58" s="264"/>
      <c r="P58" s="264"/>
      <c r="Q58" s="264"/>
      <c r="R58" s="264"/>
      <c r="S58" s="264"/>
      <c r="U58" s="264"/>
      <c r="W58" s="264"/>
      <c r="Y58" s="264"/>
      <c r="AA58" s="264"/>
      <c r="AI58" s="256"/>
      <c r="AJ58" s="255"/>
    </row>
    <row r="59" spans="1:36">
      <c r="A59" s="258">
        <v>1</v>
      </c>
      <c r="C59" s="263" t="s">
        <v>109</v>
      </c>
      <c r="D59" s="265"/>
      <c r="H59" s="219"/>
      <c r="I59" s="266"/>
      <c r="J59" s="219"/>
      <c r="K59" s="219"/>
      <c r="L59" s="219"/>
      <c r="M59" s="219"/>
      <c r="N59" s="219"/>
      <c r="O59" s="219"/>
      <c r="P59" s="219"/>
      <c r="Q59" s="219"/>
      <c r="R59" s="219">
        <f>R11+R13</f>
        <v>20563329.73</v>
      </c>
      <c r="T59" s="268"/>
      <c r="AI59" s="255"/>
      <c r="AJ59" s="255"/>
    </row>
    <row r="60" spans="1:36">
      <c r="A60" s="258">
        <v>2</v>
      </c>
      <c r="C60" s="263" t="s">
        <v>130</v>
      </c>
      <c r="D60" s="265"/>
      <c r="H60" s="219"/>
      <c r="J60" s="219"/>
      <c r="K60" s="219"/>
      <c r="L60" s="219"/>
      <c r="M60" s="219"/>
      <c r="N60" s="219"/>
      <c r="O60" s="219"/>
      <c r="P60" s="219"/>
      <c r="Q60" s="219"/>
      <c r="R60" s="219">
        <f>R12</f>
        <v>4373636.9100000011</v>
      </c>
      <c r="AJ60" s="255"/>
    </row>
    <row r="61" spans="1:36">
      <c r="A61" s="258">
        <v>3</v>
      </c>
      <c r="C61" s="263" t="s">
        <v>311</v>
      </c>
      <c r="D61" s="265"/>
      <c r="H61" s="219"/>
      <c r="J61" s="219"/>
      <c r="K61" s="219"/>
      <c r="L61" s="219"/>
      <c r="M61" s="219"/>
      <c r="N61" s="219"/>
      <c r="O61" s="219"/>
      <c r="P61" s="219"/>
      <c r="Q61" s="219"/>
      <c r="R61" s="219"/>
      <c r="AJ61" s="255"/>
    </row>
    <row r="62" spans="1:36">
      <c r="C62" s="265"/>
      <c r="H62" s="219"/>
      <c r="L62" s="219"/>
      <c r="AJ62" s="255"/>
    </row>
    <row r="63" spans="1:36">
      <c r="H63" s="563" t="s">
        <v>51</v>
      </c>
      <c r="I63" s="563"/>
      <c r="J63" s="563"/>
      <c r="K63" s="563"/>
      <c r="L63" s="563"/>
      <c r="M63" s="563"/>
      <c r="N63" s="563"/>
      <c r="O63" s="563"/>
      <c r="P63" s="563"/>
      <c r="Q63" s="563"/>
      <c r="R63" s="563"/>
      <c r="S63" s="563"/>
      <c r="T63" s="563"/>
      <c r="U63" s="563"/>
      <c r="V63" s="563"/>
      <c r="AJ63" s="255"/>
    </row>
    <row r="64" spans="1:36">
      <c r="AJ64" s="257"/>
    </row>
    <row r="65" spans="1:36">
      <c r="A65" s="258">
        <f>A61+1</f>
        <v>4</v>
      </c>
      <c r="C65" s="267">
        <v>3.7499999999999999E-2</v>
      </c>
      <c r="D65" s="267">
        <v>0.05</v>
      </c>
      <c r="F65" s="258">
        <v>1</v>
      </c>
      <c r="H65" s="219"/>
      <c r="I65" s="266"/>
      <c r="J65" s="219"/>
      <c r="L65" s="219"/>
      <c r="N65" s="219"/>
      <c r="P65" s="219"/>
      <c r="R65" s="219"/>
      <c r="T65" s="219"/>
      <c r="V65" s="219"/>
      <c r="X65" s="219"/>
      <c r="Z65" s="219"/>
      <c r="AB65" s="219"/>
      <c r="AJ65" s="257"/>
    </row>
    <row r="66" spans="1:36">
      <c r="A66" s="258">
        <f>A65+1</f>
        <v>5</v>
      </c>
      <c r="C66" s="267">
        <v>7.2190000000000004E-2</v>
      </c>
      <c r="D66" s="267">
        <v>9.5000000000000001E-2</v>
      </c>
      <c r="F66" s="258">
        <v>2</v>
      </c>
      <c r="H66" s="219"/>
      <c r="I66" s="266"/>
      <c r="J66" s="219"/>
      <c r="L66" s="219"/>
      <c r="N66" s="219"/>
      <c r="P66" s="219"/>
      <c r="R66" s="219"/>
      <c r="T66" s="219"/>
      <c r="V66" s="219"/>
      <c r="X66" s="219"/>
      <c r="Z66" s="219"/>
      <c r="AB66" s="219"/>
      <c r="AJ66" s="257"/>
    </row>
    <row r="67" spans="1:36">
      <c r="A67" s="258">
        <f t="shared" ref="A67:A92" si="10">A66+1</f>
        <v>6</v>
      </c>
      <c r="C67" s="267">
        <v>6.6769999999999996E-2</v>
      </c>
      <c r="D67" s="267">
        <v>8.5500000000000007E-2</v>
      </c>
      <c r="F67" s="258">
        <v>3</v>
      </c>
      <c r="H67" s="219"/>
      <c r="I67" s="266"/>
      <c r="J67" s="219"/>
      <c r="L67" s="219"/>
      <c r="N67" s="219"/>
      <c r="P67" s="219"/>
      <c r="R67" s="219"/>
      <c r="T67" s="219"/>
      <c r="V67" s="219"/>
      <c r="X67" s="219"/>
      <c r="Z67" s="219"/>
      <c r="AB67" s="219"/>
      <c r="AJ67" s="257"/>
    </row>
    <row r="68" spans="1:36">
      <c r="A68" s="258">
        <f t="shared" si="10"/>
        <v>7</v>
      </c>
      <c r="C68" s="267">
        <v>6.1769999999999999E-2</v>
      </c>
      <c r="D68" s="267">
        <v>7.6999999999999999E-2</v>
      </c>
      <c r="F68" s="258">
        <v>4</v>
      </c>
      <c r="H68" s="219"/>
      <c r="I68" s="266"/>
      <c r="J68" s="219"/>
      <c r="L68" s="219"/>
      <c r="N68" s="219"/>
      <c r="P68" s="219"/>
      <c r="R68" s="219"/>
      <c r="T68" s="219"/>
      <c r="V68" s="219"/>
      <c r="X68" s="219"/>
      <c r="Z68" s="219"/>
      <c r="AB68" s="219"/>
      <c r="AJ68" s="257"/>
    </row>
    <row r="69" spans="1:36">
      <c r="A69" s="258">
        <f t="shared" si="10"/>
        <v>8</v>
      </c>
      <c r="C69" s="267">
        <v>5.713E-2</v>
      </c>
      <c r="D69" s="267">
        <v>6.93E-2</v>
      </c>
      <c r="F69" s="258">
        <v>5</v>
      </c>
      <c r="H69" s="219"/>
      <c r="I69" s="266"/>
      <c r="J69" s="219"/>
      <c r="L69" s="219"/>
      <c r="N69" s="219"/>
      <c r="P69" s="219"/>
      <c r="R69" s="219"/>
      <c r="T69" s="219"/>
      <c r="V69" s="219"/>
      <c r="X69" s="219"/>
      <c r="Z69" s="219"/>
      <c r="AB69" s="219"/>
      <c r="AJ69" s="257"/>
    </row>
    <row r="70" spans="1:36">
      <c r="A70" s="258">
        <f t="shared" si="10"/>
        <v>9</v>
      </c>
      <c r="C70" s="267">
        <v>5.2850000000000001E-2</v>
      </c>
      <c r="D70" s="267">
        <v>6.2300000000000001E-2</v>
      </c>
      <c r="F70" s="258">
        <v>6</v>
      </c>
      <c r="H70" s="219"/>
      <c r="I70" s="266"/>
      <c r="J70" s="219"/>
      <c r="L70" s="219"/>
      <c r="N70" s="219"/>
      <c r="P70" s="219"/>
      <c r="R70" s="219"/>
      <c r="T70" s="219"/>
      <c r="V70" s="219"/>
      <c r="X70" s="219"/>
      <c r="Z70" s="219"/>
      <c r="AB70" s="219"/>
      <c r="AJ70" s="257"/>
    </row>
    <row r="71" spans="1:36">
      <c r="A71" s="258">
        <f t="shared" si="10"/>
        <v>10</v>
      </c>
      <c r="C71" s="267">
        <v>4.888E-2</v>
      </c>
      <c r="D71" s="267">
        <v>5.8999999999999997E-2</v>
      </c>
      <c r="F71" s="258">
        <v>7</v>
      </c>
      <c r="H71" s="219"/>
      <c r="I71" s="266"/>
      <c r="J71" s="219"/>
      <c r="L71" s="219"/>
      <c r="N71" s="219"/>
      <c r="P71" s="219"/>
      <c r="R71" s="219">
        <f>(('201707 Bk Depr'!$L$17-SUM('Capital Budget 2017'!K$3:K$5,'Capital Budget 2017'!K$11:K$14))*'Tax Depr 2017'!$C$65)+SUM('Capital Budget 2017'!K$3:K$5,'Capital Budget 2017'!K$11:K$14)</f>
        <v>932550.58724999987</v>
      </c>
      <c r="T71" s="219">
        <f t="shared" ref="T71:T76" si="11">SUM(H71:S71)</f>
        <v>932550.58724999987</v>
      </c>
      <c r="V71" s="219">
        <f>'201707 Bk Depr'!L$31</f>
        <v>98875.65</v>
      </c>
      <c r="X71" s="219">
        <f>'201707 Bk Depr'!P$17</f>
        <v>4866.0633067263343</v>
      </c>
      <c r="Z71" s="219">
        <f t="shared" ref="Z71:Z76" si="12">T71+V71-X71</f>
        <v>1026560.1739432736</v>
      </c>
      <c r="AB71" s="219">
        <f t="shared" ref="AB71:AB76" si="13">Z71*0.06</f>
        <v>61593.610436596413</v>
      </c>
      <c r="AJ71" s="257"/>
    </row>
    <row r="72" spans="1:36">
      <c r="A72" s="258">
        <f t="shared" si="10"/>
        <v>11</v>
      </c>
      <c r="C72" s="267">
        <v>4.5220000000000003E-2</v>
      </c>
      <c r="D72" s="267">
        <v>5.8999999999999997E-2</v>
      </c>
      <c r="F72" s="258">
        <v>8</v>
      </c>
      <c r="H72" s="219"/>
      <c r="I72" s="266"/>
      <c r="J72" s="219"/>
      <c r="L72" s="219"/>
      <c r="N72" s="219"/>
      <c r="P72" s="219"/>
      <c r="R72" s="219">
        <f>(('201708 Bk Depr'!$L$17-SUM('Capital Budget 2017'!L$3:L$5,'Capital Budget 2017'!L$11:L$14))*'Tax Depr 2017'!$C$65)+SUM('Capital Budget 2017'!L$3:L$5,'Capital Budget 2017'!L$11:L$14)</f>
        <v>1045714.852</v>
      </c>
      <c r="T72" s="219">
        <f t="shared" si="11"/>
        <v>1045714.852</v>
      </c>
      <c r="V72" s="219">
        <f>'201708 Bk Depr'!L$31</f>
        <v>109834.08</v>
      </c>
      <c r="X72" s="219">
        <f>'201708 Bk Depr'!P$17</f>
        <v>15086.173410483669</v>
      </c>
      <c r="Z72" s="219">
        <f t="shared" si="12"/>
        <v>1140462.7585895164</v>
      </c>
      <c r="AB72" s="219">
        <f t="shared" si="13"/>
        <v>68427.765515370978</v>
      </c>
      <c r="AJ72" s="257"/>
    </row>
    <row r="73" spans="1:36">
      <c r="A73" s="258">
        <f t="shared" si="10"/>
        <v>12</v>
      </c>
      <c r="C73" s="267">
        <v>4.462E-2</v>
      </c>
      <c r="D73" s="267">
        <v>5.91E-2</v>
      </c>
      <c r="F73" s="258">
        <v>9</v>
      </c>
      <c r="H73" s="219"/>
      <c r="I73" s="266"/>
      <c r="J73" s="219"/>
      <c r="L73" s="219"/>
      <c r="N73" s="219"/>
      <c r="P73" s="219"/>
      <c r="R73" s="219">
        <f>(('201709 Bk Depr'!$L$17-SUM('Capital Budget 2017'!M$3:M$5,'Capital Budget 2017'!M$11:M$14))*'Tax Depr 2017'!$C$65)+SUM('Capital Budget 2017'!M$3:M$5,'Capital Budget 2017'!M$11:M$14)</f>
        <v>933399.03812499996</v>
      </c>
      <c r="T73" s="219">
        <f t="shared" si="11"/>
        <v>933399.03812499996</v>
      </c>
      <c r="V73" s="219">
        <f>'201709 Bk Depr'!L$31</f>
        <v>109423.45</v>
      </c>
      <c r="X73" s="219">
        <f>'201709 Bk Depr'!P$17</f>
        <v>25293.003894968337</v>
      </c>
      <c r="Z73" s="219">
        <f t="shared" si="12"/>
        <v>1017529.4842300316</v>
      </c>
      <c r="AB73" s="219">
        <f t="shared" si="13"/>
        <v>61051.769053801894</v>
      </c>
      <c r="AJ73" s="257"/>
    </row>
    <row r="74" spans="1:36">
      <c r="A74" s="258">
        <f t="shared" si="10"/>
        <v>13</v>
      </c>
      <c r="C74" s="267">
        <v>4.4609999999999997E-2</v>
      </c>
      <c r="D74" s="267">
        <v>5.8999999999999997E-2</v>
      </c>
      <c r="F74" s="258">
        <v>10</v>
      </c>
      <c r="H74" s="219"/>
      <c r="I74" s="266"/>
      <c r="J74" s="219"/>
      <c r="L74" s="219"/>
      <c r="N74" s="219"/>
      <c r="P74" s="219"/>
      <c r="R74" s="219">
        <f>(('201710 Bk Depr'!$L$17-SUM('Capital Budget 2017'!N$3:N$5,'Capital Budget 2017'!N$11:N$14))*'Tax Depr 2017'!$C$65)+SUM('Capital Budget 2017'!N$3:N$5,'Capital Budget 2017'!N$11:N$14)</f>
        <v>822064.38824999984</v>
      </c>
      <c r="T74" s="219">
        <f t="shared" si="11"/>
        <v>822064.38824999984</v>
      </c>
      <c r="V74" s="219">
        <f>'201710 Bk Depr'!L$31</f>
        <v>105198.44</v>
      </c>
      <c r="X74" s="219">
        <f>'201710 Bk Depr'!P$17</f>
        <v>35141.31249046867</v>
      </c>
      <c r="Z74" s="219">
        <f t="shared" si="12"/>
        <v>892121.51575953118</v>
      </c>
      <c r="AB74" s="219">
        <f t="shared" si="13"/>
        <v>53527.290945571869</v>
      </c>
      <c r="AJ74" s="257"/>
    </row>
    <row r="75" spans="1:36">
      <c r="A75" s="258">
        <f t="shared" si="10"/>
        <v>14</v>
      </c>
      <c r="C75" s="267">
        <v>4.462E-2</v>
      </c>
      <c r="D75" s="267">
        <v>5.91E-2</v>
      </c>
      <c r="F75" s="258">
        <v>11</v>
      </c>
      <c r="H75" s="219"/>
      <c r="I75" s="266"/>
      <c r="J75" s="219"/>
      <c r="L75" s="219"/>
      <c r="N75" s="219"/>
      <c r="P75" s="219"/>
      <c r="R75" s="219">
        <f>(('201711 Bk Depr'!$L$17-SUM('Capital Budget 2017'!O$3:O$5,'Capital Budget 2017'!O$11:O$14))*'Tax Depr 2017'!$C$65)+SUM('Capital Budget 2017'!O$3:O$5,'Capital Budget 2017'!O$11:O$14)</f>
        <v>783549.64887499996</v>
      </c>
      <c r="T75" s="219">
        <f t="shared" si="11"/>
        <v>783549.64887499996</v>
      </c>
      <c r="V75" s="219">
        <f>'201711 Bk Depr'!L$31</f>
        <v>105279.45999999999</v>
      </c>
      <c r="X75" s="219">
        <f>'201711 Bk Depr'!P$17</f>
        <v>44740.734683240007</v>
      </c>
      <c r="Z75" s="219">
        <f t="shared" si="12"/>
        <v>844088.37419175985</v>
      </c>
      <c r="AB75" s="219">
        <f t="shared" si="13"/>
        <v>50645.302451505588</v>
      </c>
      <c r="AJ75" s="257"/>
    </row>
    <row r="76" spans="1:36">
      <c r="A76" s="258">
        <f t="shared" si="10"/>
        <v>15</v>
      </c>
      <c r="C76" s="267">
        <v>4.4609999999999997E-2</v>
      </c>
      <c r="D76" s="267">
        <v>5.8999999999999997E-2</v>
      </c>
      <c r="F76" s="258">
        <v>12</v>
      </c>
      <c r="H76" s="219"/>
      <c r="I76" s="266"/>
      <c r="J76" s="219"/>
      <c r="L76" s="219"/>
      <c r="N76" s="219"/>
      <c r="P76" s="219"/>
      <c r="R76" s="219">
        <f>(('201712 Bk Depr'!$L$17-SUM('Capital Budget 2017'!P$3:P$5,'Capital Budget 2017'!P$11:P$14))*'Tax Depr 2017'!$C$65)+SUM('Capital Budget 2017'!P$3:P$5,'Capital Budget 2017'!P$11:P$14)</f>
        <v>627483.26037499995</v>
      </c>
      <c r="T76" s="219">
        <f t="shared" si="11"/>
        <v>627483.26037499995</v>
      </c>
      <c r="V76" s="219">
        <f>'201712 Bk Depr'!L$31</f>
        <v>107351.32</v>
      </c>
      <c r="X76" s="219">
        <f>'201712 Bk Depr'!P$17</f>
        <v>53311.855215603005</v>
      </c>
      <c r="Z76" s="219">
        <f t="shared" si="12"/>
        <v>681522.72515939688</v>
      </c>
      <c r="AB76" s="219">
        <f t="shared" si="13"/>
        <v>40891.363509563809</v>
      </c>
      <c r="AJ76" s="257"/>
    </row>
    <row r="77" spans="1:36">
      <c r="A77" s="258">
        <f t="shared" si="10"/>
        <v>16</v>
      </c>
      <c r="C77" s="267">
        <v>4.462E-2</v>
      </c>
      <c r="D77" s="267">
        <v>5.91E-2</v>
      </c>
      <c r="H77" s="219"/>
      <c r="J77" s="219"/>
      <c r="L77" s="219"/>
      <c r="N77" s="219"/>
      <c r="P77" s="219"/>
      <c r="R77" s="219"/>
      <c r="T77" s="219"/>
      <c r="V77" s="219"/>
      <c r="X77" s="219"/>
      <c r="Z77" s="219" t="str">
        <f t="shared" ref="Z77:Z91" si="14">IF(X77=0,"",T77+V77-X77)</f>
        <v/>
      </c>
      <c r="AB77" s="219" t="str">
        <f t="shared" ref="AB77:AB91" si="15">IF(Z77="","",Z77*0.389)</f>
        <v/>
      </c>
      <c r="AD77" s="257"/>
      <c r="AE77" s="255"/>
      <c r="AF77" s="257"/>
      <c r="AG77" s="255"/>
      <c r="AH77" s="257"/>
      <c r="AJ77" s="219" t="str">
        <f t="shared" ref="AJ77:AJ91" si="16">IF(AB77="","",AJ76+AB77)</f>
        <v/>
      </c>
    </row>
    <row r="78" spans="1:36">
      <c r="A78" s="258">
        <f t="shared" si="10"/>
        <v>17</v>
      </c>
      <c r="C78" s="267">
        <v>4.4609999999999997E-2</v>
      </c>
      <c r="D78" s="267">
        <v>5.8999999999999997E-2</v>
      </c>
      <c r="H78" s="219"/>
      <c r="J78" s="219"/>
      <c r="L78" s="219"/>
      <c r="N78" s="219"/>
      <c r="P78" s="219"/>
      <c r="R78" s="219"/>
      <c r="T78" s="219"/>
      <c r="V78" s="219"/>
      <c r="X78" s="219"/>
      <c r="Z78" s="219" t="str">
        <f t="shared" si="14"/>
        <v/>
      </c>
      <c r="AB78" s="219" t="str">
        <f t="shared" si="15"/>
        <v/>
      </c>
      <c r="AD78" s="257"/>
      <c r="AE78" s="255"/>
      <c r="AF78" s="257"/>
      <c r="AG78" s="255"/>
      <c r="AH78" s="257"/>
      <c r="AJ78" s="219" t="str">
        <f t="shared" si="16"/>
        <v/>
      </c>
    </row>
    <row r="79" spans="1:36">
      <c r="A79" s="258">
        <f t="shared" si="10"/>
        <v>18</v>
      </c>
      <c r="C79" s="267">
        <v>4.462E-2</v>
      </c>
      <c r="D79" s="267">
        <v>5.91E-2</v>
      </c>
      <c r="H79" s="219"/>
      <c r="J79" s="268"/>
      <c r="L79" s="219"/>
      <c r="N79" s="219"/>
      <c r="P79" s="219"/>
      <c r="R79" s="219"/>
      <c r="T79" s="219"/>
      <c r="V79" s="219"/>
      <c r="X79" s="219"/>
      <c r="Z79" s="219" t="str">
        <f t="shared" si="14"/>
        <v/>
      </c>
      <c r="AB79" s="219" t="str">
        <f t="shared" si="15"/>
        <v/>
      </c>
      <c r="AD79" s="257"/>
      <c r="AE79" s="255"/>
      <c r="AF79" s="257"/>
      <c r="AG79" s="255"/>
      <c r="AH79" s="257"/>
      <c r="AJ79" s="219" t="str">
        <f t="shared" si="16"/>
        <v/>
      </c>
    </row>
    <row r="80" spans="1:36">
      <c r="A80" s="258">
        <f t="shared" si="10"/>
        <v>19</v>
      </c>
      <c r="C80" s="267">
        <v>4.4609999999999997E-2</v>
      </c>
      <c r="D80" s="267">
        <v>2.9499999999999998E-2</v>
      </c>
      <c r="H80" s="219"/>
      <c r="J80" s="219"/>
      <c r="L80" s="219"/>
      <c r="N80" s="219"/>
      <c r="P80" s="219"/>
      <c r="R80" s="219"/>
      <c r="T80" s="219"/>
      <c r="V80" s="219"/>
      <c r="X80" s="219"/>
      <c r="Z80" s="219" t="str">
        <f t="shared" si="14"/>
        <v/>
      </c>
      <c r="AB80" s="219" t="str">
        <f t="shared" si="15"/>
        <v/>
      </c>
      <c r="AD80" s="257"/>
      <c r="AE80" s="255"/>
      <c r="AF80" s="257"/>
      <c r="AG80" s="255"/>
      <c r="AH80" s="257"/>
      <c r="AJ80" s="219" t="str">
        <f t="shared" si="16"/>
        <v/>
      </c>
    </row>
    <row r="81" spans="1:36">
      <c r="A81" s="258">
        <f t="shared" si="10"/>
        <v>20</v>
      </c>
      <c r="C81" s="267">
        <v>4.462E-2</v>
      </c>
      <c r="D81" s="267">
        <v>0</v>
      </c>
      <c r="H81" s="219"/>
      <c r="J81" s="219"/>
      <c r="L81" s="219"/>
      <c r="N81" s="219"/>
      <c r="P81" s="219"/>
      <c r="R81" s="219"/>
      <c r="T81" s="219"/>
      <c r="V81" s="219"/>
      <c r="X81" s="219"/>
      <c r="Z81" s="219" t="str">
        <f t="shared" si="14"/>
        <v/>
      </c>
      <c r="AB81" s="219" t="str">
        <f t="shared" si="15"/>
        <v/>
      </c>
      <c r="AD81" s="257"/>
      <c r="AE81" s="255"/>
      <c r="AF81" s="257"/>
      <c r="AG81" s="255"/>
      <c r="AH81" s="257"/>
      <c r="AJ81" s="219" t="str">
        <f t="shared" si="16"/>
        <v/>
      </c>
    </row>
    <row r="82" spans="1:36">
      <c r="A82" s="258">
        <f t="shared" si="10"/>
        <v>21</v>
      </c>
      <c r="C82" s="267">
        <v>4.4609999999999997E-2</v>
      </c>
      <c r="D82" s="267">
        <v>0</v>
      </c>
      <c r="H82" s="219"/>
      <c r="J82" s="219"/>
      <c r="L82" s="219"/>
      <c r="N82" s="219"/>
      <c r="P82" s="219"/>
      <c r="R82" s="219"/>
      <c r="T82" s="219"/>
      <c r="V82" s="219"/>
      <c r="X82" s="219"/>
      <c r="Z82" s="219" t="str">
        <f t="shared" si="14"/>
        <v/>
      </c>
      <c r="AB82" s="219" t="str">
        <f t="shared" si="15"/>
        <v/>
      </c>
      <c r="AD82" s="257"/>
      <c r="AE82" s="255"/>
      <c r="AF82" s="257"/>
      <c r="AG82" s="255"/>
      <c r="AH82" s="257"/>
      <c r="AJ82" s="219" t="str">
        <f t="shared" si="16"/>
        <v/>
      </c>
    </row>
    <row r="83" spans="1:36">
      <c r="A83" s="258">
        <f t="shared" si="10"/>
        <v>22</v>
      </c>
      <c r="C83" s="267">
        <v>4.462E-2</v>
      </c>
      <c r="D83" s="267">
        <v>0</v>
      </c>
      <c r="H83" s="219"/>
      <c r="J83" s="219"/>
      <c r="L83" s="219"/>
      <c r="N83" s="219"/>
      <c r="P83" s="219"/>
      <c r="R83" s="219"/>
      <c r="T83" s="219"/>
      <c r="V83" s="219"/>
      <c r="X83" s="219"/>
      <c r="Z83" s="219" t="str">
        <f t="shared" si="14"/>
        <v/>
      </c>
      <c r="AB83" s="219" t="str">
        <f t="shared" si="15"/>
        <v/>
      </c>
      <c r="AD83" s="257"/>
      <c r="AE83" s="255"/>
      <c r="AF83" s="257"/>
      <c r="AG83" s="255"/>
      <c r="AH83" s="257"/>
      <c r="AJ83" s="219" t="str">
        <f t="shared" si="16"/>
        <v/>
      </c>
    </row>
    <row r="84" spans="1:36">
      <c r="A84" s="258">
        <f t="shared" si="10"/>
        <v>23</v>
      </c>
      <c r="C84" s="267">
        <v>4.4609999999999997E-2</v>
      </c>
      <c r="D84" s="267">
        <v>0</v>
      </c>
      <c r="H84" s="219"/>
      <c r="J84" s="219"/>
      <c r="L84" s="219"/>
      <c r="N84" s="219"/>
      <c r="P84" s="219"/>
      <c r="R84" s="219"/>
      <c r="T84" s="219"/>
      <c r="V84" s="219"/>
      <c r="X84" s="219"/>
      <c r="Z84" s="219" t="str">
        <f t="shared" si="14"/>
        <v/>
      </c>
      <c r="AB84" s="219" t="str">
        <f t="shared" si="15"/>
        <v/>
      </c>
      <c r="AD84" s="257"/>
      <c r="AE84" s="255"/>
      <c r="AF84" s="257"/>
      <c r="AG84" s="255"/>
      <c r="AH84" s="257"/>
      <c r="AJ84" s="219" t="str">
        <f t="shared" si="16"/>
        <v/>
      </c>
    </row>
    <row r="85" spans="1:36">
      <c r="A85" s="258">
        <f t="shared" si="10"/>
        <v>24</v>
      </c>
      <c r="C85" s="267">
        <v>2.231E-2</v>
      </c>
      <c r="D85" s="267">
        <v>0</v>
      </c>
      <c r="H85" s="219"/>
      <c r="J85" s="219"/>
      <c r="L85" s="219"/>
      <c r="N85" s="219"/>
      <c r="P85" s="219"/>
      <c r="R85" s="219"/>
      <c r="T85" s="219"/>
      <c r="V85" s="219"/>
      <c r="X85" s="219"/>
      <c r="Z85" s="219" t="str">
        <f t="shared" si="14"/>
        <v/>
      </c>
      <c r="AB85" s="219" t="str">
        <f t="shared" si="15"/>
        <v/>
      </c>
      <c r="AD85" s="257"/>
      <c r="AE85" s="255"/>
      <c r="AF85" s="257"/>
      <c r="AG85" s="255"/>
      <c r="AH85" s="257"/>
      <c r="AJ85" s="219" t="str">
        <f t="shared" si="16"/>
        <v/>
      </c>
    </row>
    <row r="86" spans="1:36">
      <c r="A86" s="258">
        <f t="shared" si="10"/>
        <v>25</v>
      </c>
      <c r="C86" s="267">
        <v>0</v>
      </c>
      <c r="D86" s="267">
        <v>0</v>
      </c>
      <c r="J86" s="219"/>
      <c r="L86" s="219"/>
      <c r="N86" s="219"/>
      <c r="P86" s="219"/>
      <c r="R86" s="219"/>
      <c r="T86" s="219"/>
      <c r="V86" s="219"/>
      <c r="X86" s="219"/>
      <c r="Z86" s="219" t="str">
        <f t="shared" si="14"/>
        <v/>
      </c>
      <c r="AB86" s="219" t="str">
        <f t="shared" si="15"/>
        <v/>
      </c>
      <c r="AD86" s="257"/>
      <c r="AE86" s="255"/>
      <c r="AF86" s="257"/>
      <c r="AG86" s="255"/>
      <c r="AH86" s="257"/>
      <c r="AJ86" s="219" t="str">
        <f t="shared" si="16"/>
        <v/>
      </c>
    </row>
    <row r="87" spans="1:36">
      <c r="A87" s="258">
        <f t="shared" si="10"/>
        <v>26</v>
      </c>
      <c r="C87" s="267">
        <v>0</v>
      </c>
      <c r="L87" s="219"/>
      <c r="N87" s="219"/>
      <c r="P87" s="219"/>
      <c r="R87" s="219"/>
      <c r="T87" s="219"/>
      <c r="Z87" s="219" t="str">
        <f t="shared" si="14"/>
        <v/>
      </c>
      <c r="AB87" s="219" t="str">
        <f t="shared" si="15"/>
        <v/>
      </c>
      <c r="AD87" s="257"/>
      <c r="AE87" s="255"/>
      <c r="AF87" s="257"/>
      <c r="AG87" s="255"/>
      <c r="AH87" s="257"/>
      <c r="AJ87" s="219" t="str">
        <f t="shared" si="16"/>
        <v/>
      </c>
    </row>
    <row r="88" spans="1:36">
      <c r="A88" s="258">
        <f t="shared" si="10"/>
        <v>27</v>
      </c>
      <c r="C88" s="267">
        <v>0</v>
      </c>
      <c r="N88" s="219"/>
      <c r="P88" s="219"/>
      <c r="R88" s="219"/>
      <c r="T88" s="219"/>
      <c r="Z88" s="219" t="str">
        <f t="shared" si="14"/>
        <v/>
      </c>
      <c r="AB88" s="219" t="str">
        <f t="shared" si="15"/>
        <v/>
      </c>
      <c r="AD88" s="257"/>
      <c r="AE88" s="255"/>
      <c r="AF88" s="257"/>
      <c r="AG88" s="255"/>
      <c r="AH88" s="257"/>
      <c r="AJ88" s="219" t="str">
        <f t="shared" si="16"/>
        <v/>
      </c>
    </row>
    <row r="89" spans="1:36">
      <c r="A89" s="258">
        <f t="shared" si="10"/>
        <v>28</v>
      </c>
      <c r="C89" s="267">
        <v>0</v>
      </c>
      <c r="P89" s="219"/>
      <c r="R89" s="219"/>
      <c r="T89" s="219"/>
      <c r="Z89" s="219" t="str">
        <f t="shared" si="14"/>
        <v/>
      </c>
      <c r="AB89" s="219" t="str">
        <f t="shared" si="15"/>
        <v/>
      </c>
      <c r="AD89" s="257"/>
      <c r="AE89" s="255"/>
      <c r="AF89" s="257"/>
      <c r="AG89" s="255"/>
      <c r="AH89" s="257"/>
      <c r="AJ89" s="219" t="str">
        <f t="shared" si="16"/>
        <v/>
      </c>
    </row>
    <row r="90" spans="1:36">
      <c r="A90" s="258">
        <f t="shared" si="10"/>
        <v>29</v>
      </c>
      <c r="C90" s="267">
        <v>0</v>
      </c>
      <c r="R90" s="219"/>
      <c r="T90" s="219"/>
      <c r="Z90" s="219" t="str">
        <f t="shared" si="14"/>
        <v/>
      </c>
      <c r="AB90" s="219" t="str">
        <f t="shared" si="15"/>
        <v/>
      </c>
      <c r="AD90" s="257"/>
      <c r="AE90" s="255"/>
      <c r="AF90" s="257"/>
      <c r="AG90" s="255"/>
      <c r="AH90" s="257"/>
      <c r="AJ90" s="219" t="str">
        <f t="shared" si="16"/>
        <v/>
      </c>
    </row>
    <row r="91" spans="1:36">
      <c r="A91" s="258">
        <f t="shared" si="10"/>
        <v>30</v>
      </c>
      <c r="C91" s="267">
        <v>0</v>
      </c>
      <c r="T91" s="219"/>
      <c r="Z91" s="219" t="str">
        <f t="shared" si="14"/>
        <v/>
      </c>
      <c r="AB91" s="219" t="str">
        <f t="shared" si="15"/>
        <v/>
      </c>
      <c r="AJ91" s="219" t="str">
        <f t="shared" si="16"/>
        <v/>
      </c>
    </row>
    <row r="92" spans="1:36">
      <c r="A92" s="258">
        <f t="shared" si="10"/>
        <v>31</v>
      </c>
      <c r="H92" s="219">
        <f>SUM(H65:H91)</f>
        <v>0</v>
      </c>
      <c r="I92" s="266" t="s">
        <v>278</v>
      </c>
      <c r="J92" s="219">
        <f>SUM(J65:J91)</f>
        <v>0</v>
      </c>
      <c r="K92" s="266" t="s">
        <v>279</v>
      </c>
      <c r="L92" s="219">
        <f>SUM(L65:L91)</f>
        <v>0</v>
      </c>
      <c r="M92" s="266" t="s">
        <v>280</v>
      </c>
      <c r="N92" s="219">
        <f>SUM(N65:N91)</f>
        <v>0</v>
      </c>
      <c r="O92" s="266" t="s">
        <v>293</v>
      </c>
      <c r="P92" s="219">
        <f>SUM(P65:P91)</f>
        <v>0</v>
      </c>
      <c r="Q92" s="266" t="s">
        <v>361</v>
      </c>
      <c r="R92" s="219">
        <f>SUM(R65:R91)</f>
        <v>5144761.7748749992</v>
      </c>
      <c r="S92" s="266" t="s">
        <v>386</v>
      </c>
      <c r="T92" s="219">
        <f>SUM(T65:T91)</f>
        <v>5144761.7748749992</v>
      </c>
      <c r="V92" s="219">
        <f>SUM(V65:V91)</f>
        <v>635962.39999999991</v>
      </c>
      <c r="X92" s="219">
        <f>SUM(X65:X91)</f>
        <v>178439.14300149004</v>
      </c>
      <c r="Z92" s="219">
        <f>SUM(Z65:Z91)</f>
        <v>5602285.0318735093</v>
      </c>
      <c r="AB92" s="219">
        <f>SUM(AB65:AB91)</f>
        <v>336137.10191241052</v>
      </c>
      <c r="AD92" s="219"/>
      <c r="AF92" s="219"/>
      <c r="AH92" s="219"/>
      <c r="AI92" s="266"/>
      <c r="AJ92" s="219"/>
    </row>
    <row r="93" spans="1:36">
      <c r="I93" s="266"/>
      <c r="J93" s="219"/>
      <c r="K93" s="266"/>
      <c r="L93" s="219"/>
      <c r="M93" s="266"/>
      <c r="N93" s="219"/>
      <c r="P93" s="219"/>
      <c r="R93" s="219"/>
      <c r="T93" s="219"/>
      <c r="V93" s="219"/>
      <c r="X93" s="219"/>
      <c r="AJ93" s="219"/>
    </row>
    <row r="94" spans="1:36">
      <c r="L94" s="268"/>
      <c r="N94" s="219"/>
    </row>
    <row r="95" spans="1:36">
      <c r="B95" s="266" t="s">
        <v>278</v>
      </c>
      <c r="C95" s="258" t="s">
        <v>387</v>
      </c>
    </row>
    <row r="96" spans="1:36">
      <c r="B96" s="266" t="s">
        <v>279</v>
      </c>
      <c r="C96" s="258" t="s">
        <v>388</v>
      </c>
    </row>
    <row r="97" spans="2:3">
      <c r="B97" s="266" t="s">
        <v>280</v>
      </c>
      <c r="C97" s="258" t="s">
        <v>389</v>
      </c>
    </row>
    <row r="98" spans="2:3">
      <c r="B98" s="266" t="s">
        <v>293</v>
      </c>
      <c r="C98" s="258" t="s">
        <v>390</v>
      </c>
    </row>
    <row r="99" spans="2:3">
      <c r="B99" s="266" t="s">
        <v>361</v>
      </c>
      <c r="C99" s="258" t="s">
        <v>391</v>
      </c>
    </row>
    <row r="100" spans="2:3">
      <c r="B100" s="266" t="s">
        <v>386</v>
      </c>
      <c r="C100" s="258" t="s">
        <v>396</v>
      </c>
    </row>
  </sheetData>
  <mergeCells count="5">
    <mergeCell ref="H15:V15"/>
    <mergeCell ref="H63:V63"/>
    <mergeCell ref="A2:AP2"/>
    <mergeCell ref="A1:AP1"/>
    <mergeCell ref="A3:AP3"/>
  </mergeCells>
  <pageMargins left="0.7" right="0.7" top="0.75" bottom="0.75" header="0.3" footer="0.3"/>
  <pageSetup scale="39" orientation="landscape" r:id="rId1"/>
  <headerFooter>
    <oddFooter>&amp;R&amp;"Times New Roman,Bold"&amp;12Attachment to PSC Post Hearing Data Request Question No. 3
Revised Exhibit RMC-1
Page 12 of 12</oddFooter>
  </headerFooter>
  <ignoredErrors>
    <ignoredError sqref="R13" formulaRange="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RowHeight="15"/>
  <cols>
    <col min="1" max="1" width="33.42578125" style="202" bestFit="1" customWidth="1"/>
    <col min="2" max="2" width="11.140625" style="202" bestFit="1" customWidth="1"/>
    <col min="3" max="3" width="5" style="202" bestFit="1" customWidth="1"/>
    <col min="4" max="4" width="13.85546875" style="202" bestFit="1" customWidth="1"/>
    <col min="5" max="5" width="14.7109375" style="202" bestFit="1" customWidth="1"/>
    <col min="6" max="6" width="13.85546875" style="202" bestFit="1" customWidth="1"/>
    <col min="7" max="7" width="13.28515625" style="202" bestFit="1" customWidth="1"/>
    <col min="8" max="9" width="14.140625" style="202" bestFit="1" customWidth="1"/>
    <col min="10" max="10" width="13.7109375" style="202" bestFit="1" customWidth="1"/>
    <col min="11" max="11" width="14.28515625" style="202" bestFit="1" customWidth="1"/>
    <col min="12" max="12" width="14.140625" style="202" bestFit="1" customWidth="1"/>
    <col min="13" max="13" width="12" style="202" bestFit="1" customWidth="1"/>
    <col min="14" max="16384" width="9.140625" style="202"/>
  </cols>
  <sheetData>
    <row r="1" spans="1:13">
      <c r="A1" s="201" t="s">
        <v>257</v>
      </c>
    </row>
    <row r="3" spans="1:13">
      <c r="A3" s="203" t="s">
        <v>258</v>
      </c>
      <c r="B3" s="203" t="s">
        <v>229</v>
      </c>
      <c r="C3" s="203" t="s">
        <v>231</v>
      </c>
      <c r="D3" s="203" t="s">
        <v>259</v>
      </c>
      <c r="E3" s="203" t="s">
        <v>260</v>
      </c>
      <c r="F3" s="203" t="s">
        <v>261</v>
      </c>
      <c r="G3" s="203" t="s">
        <v>262</v>
      </c>
      <c r="H3" s="203" t="s">
        <v>263</v>
      </c>
      <c r="I3" s="203" t="s">
        <v>264</v>
      </c>
      <c r="J3" s="203" t="s">
        <v>265</v>
      </c>
      <c r="K3" s="203" t="s">
        <v>266</v>
      </c>
      <c r="L3" s="203" t="s">
        <v>267</v>
      </c>
      <c r="M3" s="203" t="s">
        <v>268</v>
      </c>
    </row>
    <row r="4" spans="1:13">
      <c r="A4" s="204" t="s">
        <v>209</v>
      </c>
      <c r="B4" s="205" t="s">
        <v>208</v>
      </c>
      <c r="C4" s="204" t="s">
        <v>269</v>
      </c>
      <c r="D4" s="206">
        <v>0</v>
      </c>
      <c r="E4" s="206">
        <v>242469</v>
      </c>
      <c r="F4" s="206">
        <v>589443.68999999994</v>
      </c>
      <c r="G4" s="206">
        <v>644144</v>
      </c>
      <c r="H4" s="206">
        <v>792734</v>
      </c>
      <c r="I4" s="206">
        <v>584876</v>
      </c>
      <c r="J4" s="206">
        <v>582280</v>
      </c>
      <c r="K4" s="206">
        <v>509171</v>
      </c>
      <c r="L4" s="206">
        <v>354277</v>
      </c>
      <c r="M4" s="206">
        <f>SUM(D4:L4)</f>
        <v>4299394.6899999995</v>
      </c>
    </row>
    <row r="5" spans="1:13">
      <c r="A5" s="204" t="s">
        <v>212</v>
      </c>
      <c r="B5" s="205" t="s">
        <v>211</v>
      </c>
      <c r="C5" s="204" t="s">
        <v>269</v>
      </c>
      <c r="D5" s="206">
        <v>223285.47</v>
      </c>
      <c r="E5" s="206">
        <v>1057930.76</v>
      </c>
      <c r="F5" s="206">
        <v>689538.72</v>
      </c>
      <c r="G5" s="206">
        <v>701086.71999999997</v>
      </c>
      <c r="H5" s="206">
        <v>677646.72</v>
      </c>
      <c r="I5" s="206">
        <v>624525.72</v>
      </c>
      <c r="J5" s="206">
        <v>652790.72</v>
      </c>
      <c r="K5" s="206">
        <v>589016.72</v>
      </c>
      <c r="L5" s="206">
        <v>603516.72</v>
      </c>
      <c r="M5" s="206">
        <f>SUM(D5:L5)</f>
        <v>5819338.2699999986</v>
      </c>
    </row>
    <row r="6" spans="1:13">
      <c r="A6" s="204" t="s">
        <v>214</v>
      </c>
      <c r="B6" s="205" t="s">
        <v>213</v>
      </c>
      <c r="C6" s="204" t="s">
        <v>269</v>
      </c>
      <c r="D6" s="206">
        <v>183493.08</v>
      </c>
      <c r="E6" s="206">
        <v>352915.87</v>
      </c>
      <c r="F6" s="206">
        <v>449419.87</v>
      </c>
      <c r="G6" s="206">
        <v>458461.87</v>
      </c>
      <c r="H6" s="206">
        <v>434634.04</v>
      </c>
      <c r="I6" s="206">
        <v>420467.87</v>
      </c>
      <c r="J6" s="206">
        <v>350416.87</v>
      </c>
      <c r="K6" s="206">
        <v>220827.87</v>
      </c>
      <c r="L6" s="206">
        <v>232949.87</v>
      </c>
      <c r="M6" s="206">
        <f>SUM(D6:L6)</f>
        <v>3103587.2100000004</v>
      </c>
    </row>
    <row r="7" spans="1:13">
      <c r="A7" s="204" t="s">
        <v>216</v>
      </c>
      <c r="B7" s="205" t="s">
        <v>215</v>
      </c>
      <c r="C7" s="204" t="s">
        <v>269</v>
      </c>
      <c r="D7" s="206">
        <v>299084.46000000002</v>
      </c>
      <c r="E7" s="206">
        <v>148665.66</v>
      </c>
      <c r="F7" s="206">
        <v>169343.04</v>
      </c>
      <c r="G7" s="206">
        <v>188699.96</v>
      </c>
      <c r="H7" s="206">
        <v>193561.18</v>
      </c>
      <c r="I7" s="206">
        <v>143766.28</v>
      </c>
      <c r="J7" s="206">
        <v>191144.89</v>
      </c>
      <c r="K7" s="206">
        <v>166512.72</v>
      </c>
      <c r="L7" s="206">
        <v>136689.82</v>
      </c>
      <c r="M7" s="206">
        <f>SUM(D7:L7)</f>
        <v>1637468.0100000002</v>
      </c>
    </row>
    <row r="9" spans="1:13">
      <c r="A9" s="207" t="s">
        <v>270</v>
      </c>
      <c r="D9" s="208">
        <f t="shared" ref="D9:M9" si="0">SUM(D4:D7)</f>
        <v>705863.01</v>
      </c>
      <c r="E9" s="208">
        <f t="shared" si="0"/>
        <v>1801981.2899999998</v>
      </c>
      <c r="F9" s="208">
        <f t="shared" si="0"/>
        <v>1897745.3199999998</v>
      </c>
      <c r="G9" s="208">
        <f t="shared" si="0"/>
        <v>1992392.5499999998</v>
      </c>
      <c r="H9" s="208">
        <f t="shared" si="0"/>
        <v>2098575.94</v>
      </c>
      <c r="I9" s="208">
        <f t="shared" si="0"/>
        <v>1773635.8699999999</v>
      </c>
      <c r="J9" s="208">
        <f t="shared" si="0"/>
        <v>1776632.48</v>
      </c>
      <c r="K9" s="208">
        <f t="shared" si="0"/>
        <v>1485528.3099999998</v>
      </c>
      <c r="L9" s="208">
        <f t="shared" si="0"/>
        <v>1327433.4099999999</v>
      </c>
      <c r="M9" s="208">
        <f t="shared" si="0"/>
        <v>14859788.179999998</v>
      </c>
    </row>
    <row r="12" spans="1:13">
      <c r="A12" s="201" t="s">
        <v>91</v>
      </c>
    </row>
    <row r="13" spans="1:13">
      <c r="A13" s="204" t="s">
        <v>209</v>
      </c>
      <c r="B13" s="205" t="s">
        <v>208</v>
      </c>
      <c r="C13" s="204" t="s">
        <v>269</v>
      </c>
      <c r="D13" s="206">
        <v>0</v>
      </c>
      <c r="E13" s="206">
        <v>0</v>
      </c>
      <c r="F13" s="206">
        <v>0</v>
      </c>
      <c r="G13" s="206">
        <v>0</v>
      </c>
      <c r="H13" s="206">
        <v>0</v>
      </c>
      <c r="I13" s="206">
        <v>0</v>
      </c>
      <c r="J13" s="206">
        <v>0</v>
      </c>
      <c r="K13" s="206">
        <v>0</v>
      </c>
      <c r="L13" s="206">
        <v>0</v>
      </c>
      <c r="M13" s="206">
        <f>SUM(D13:L13)</f>
        <v>0</v>
      </c>
    </row>
    <row r="14" spans="1:13">
      <c r="A14" s="204" t="s">
        <v>212</v>
      </c>
      <c r="B14" s="205" t="s">
        <v>211</v>
      </c>
      <c r="C14" s="204" t="s">
        <v>269</v>
      </c>
      <c r="D14" s="206">
        <v>7260</v>
      </c>
      <c r="E14" s="206">
        <v>14668</v>
      </c>
      <c r="F14" s="206">
        <v>14668</v>
      </c>
      <c r="G14" s="206">
        <v>14668</v>
      </c>
      <c r="H14" s="206">
        <v>14668</v>
      </c>
      <c r="I14" s="206">
        <v>14668</v>
      </c>
      <c r="J14" s="206">
        <v>14668</v>
      </c>
      <c r="K14" s="206">
        <v>14668</v>
      </c>
      <c r="L14" s="206">
        <v>14668</v>
      </c>
      <c r="M14" s="206">
        <f>SUM(D14:L14)</f>
        <v>124604</v>
      </c>
    </row>
    <row r="15" spans="1:13">
      <c r="A15" s="204" t="s">
        <v>214</v>
      </c>
      <c r="B15" s="205" t="s">
        <v>213</v>
      </c>
      <c r="C15" s="204" t="s">
        <v>269</v>
      </c>
      <c r="D15" s="206">
        <v>49699</v>
      </c>
      <c r="E15" s="206">
        <v>25476</v>
      </c>
      <c r="F15" s="206">
        <v>25476</v>
      </c>
      <c r="G15" s="206">
        <v>25476</v>
      </c>
      <c r="H15" s="206">
        <v>25476</v>
      </c>
      <c r="I15" s="206">
        <v>25476</v>
      </c>
      <c r="J15" s="206">
        <v>25476</v>
      </c>
      <c r="K15" s="206">
        <v>25476</v>
      </c>
      <c r="L15" s="206">
        <v>25476</v>
      </c>
      <c r="M15" s="206">
        <f>SUM(D15:L15)</f>
        <v>253507</v>
      </c>
    </row>
    <row r="16" spans="1:13">
      <c r="A16" s="204" t="s">
        <v>216</v>
      </c>
      <c r="B16" s="205" t="s">
        <v>215</v>
      </c>
      <c r="C16" s="204" t="s">
        <v>269</v>
      </c>
      <c r="D16" s="206">
        <v>23926</v>
      </c>
      <c r="E16" s="206">
        <v>44133.37</v>
      </c>
      <c r="F16" s="206">
        <v>33839.839999999997</v>
      </c>
      <c r="G16" s="206">
        <v>24704.31</v>
      </c>
      <c r="H16" s="206">
        <v>54426.91</v>
      </c>
      <c r="I16" s="206">
        <v>24704.31</v>
      </c>
      <c r="J16" s="206">
        <v>48122.15</v>
      </c>
      <c r="K16" s="206">
        <v>36413.22</v>
      </c>
      <c r="L16" s="206">
        <v>13510.150000000001</v>
      </c>
      <c r="M16" s="206">
        <f>SUM(D16:L16)</f>
        <v>303780.26</v>
      </c>
    </row>
    <row r="17" spans="1:13" s="201" customFormat="1">
      <c r="A17" s="207" t="s">
        <v>271</v>
      </c>
      <c r="D17" s="208">
        <f>SUM(D13:D16)</f>
        <v>80885</v>
      </c>
      <c r="E17" s="208">
        <f t="shared" ref="E17:M17" si="1">SUM(E13:E16)</f>
        <v>84277.37</v>
      </c>
      <c r="F17" s="208">
        <f t="shared" si="1"/>
        <v>73983.839999999997</v>
      </c>
      <c r="G17" s="208">
        <f t="shared" si="1"/>
        <v>64848.31</v>
      </c>
      <c r="H17" s="208">
        <f t="shared" si="1"/>
        <v>94570.91</v>
      </c>
      <c r="I17" s="208">
        <f t="shared" si="1"/>
        <v>64848.31</v>
      </c>
      <c r="J17" s="208">
        <f t="shared" si="1"/>
        <v>88266.15</v>
      </c>
      <c r="K17" s="208">
        <f t="shared" si="1"/>
        <v>76557.22</v>
      </c>
      <c r="L17" s="208">
        <f t="shared" si="1"/>
        <v>53654.15</v>
      </c>
      <c r="M17" s="208">
        <f t="shared" si="1"/>
        <v>681891.26</v>
      </c>
    </row>
    <row r="19" spans="1:13">
      <c r="A19" s="207" t="s">
        <v>272</v>
      </c>
    </row>
    <row r="20" spans="1:13">
      <c r="A20" s="204" t="s">
        <v>209</v>
      </c>
      <c r="B20" s="205" t="s">
        <v>208</v>
      </c>
      <c r="C20" s="204" t="s">
        <v>269</v>
      </c>
      <c r="D20" s="209">
        <f>+D4</f>
        <v>0</v>
      </c>
      <c r="E20" s="209">
        <f t="shared" ref="E20:L20" si="2">+E4</f>
        <v>242469</v>
      </c>
      <c r="F20" s="209">
        <f t="shared" si="2"/>
        <v>589443.68999999994</v>
      </c>
      <c r="G20" s="209">
        <f t="shared" si="2"/>
        <v>644144</v>
      </c>
      <c r="H20" s="209">
        <f t="shared" si="2"/>
        <v>792734</v>
      </c>
      <c r="I20" s="209">
        <f t="shared" si="2"/>
        <v>584876</v>
      </c>
      <c r="J20" s="209">
        <f t="shared" si="2"/>
        <v>582280</v>
      </c>
      <c r="K20" s="209">
        <f t="shared" si="2"/>
        <v>509171</v>
      </c>
      <c r="L20" s="209">
        <f t="shared" si="2"/>
        <v>354277</v>
      </c>
      <c r="M20" s="206">
        <f>SUM(D20:L20)</f>
        <v>4299394.6899999995</v>
      </c>
    </row>
    <row r="21" spans="1:13">
      <c r="A21" s="204" t="s">
        <v>212</v>
      </c>
      <c r="B21" s="205" t="s">
        <v>211</v>
      </c>
      <c r="C21" s="204" t="s">
        <v>269</v>
      </c>
      <c r="D21" s="209">
        <f>+D5-D14</f>
        <v>216025.47</v>
      </c>
      <c r="E21" s="209">
        <f t="shared" ref="E21:L21" si="3">+E5-E14</f>
        <v>1043262.76</v>
      </c>
      <c r="F21" s="209">
        <f t="shared" si="3"/>
        <v>674870.72</v>
      </c>
      <c r="G21" s="209">
        <f t="shared" si="3"/>
        <v>686418.72</v>
      </c>
      <c r="H21" s="209">
        <f t="shared" si="3"/>
        <v>662978.72</v>
      </c>
      <c r="I21" s="209">
        <f t="shared" si="3"/>
        <v>609857.72</v>
      </c>
      <c r="J21" s="209">
        <f t="shared" si="3"/>
        <v>638122.72</v>
      </c>
      <c r="K21" s="209">
        <f t="shared" si="3"/>
        <v>574348.72</v>
      </c>
      <c r="L21" s="209">
        <f t="shared" si="3"/>
        <v>588848.72</v>
      </c>
      <c r="M21" s="206">
        <f>SUM(D21:L21)</f>
        <v>5694734.2699999986</v>
      </c>
    </row>
    <row r="22" spans="1:13">
      <c r="A22" s="204" t="s">
        <v>214</v>
      </c>
      <c r="B22" s="205" t="s">
        <v>213</v>
      </c>
      <c r="C22" s="204" t="s">
        <v>269</v>
      </c>
      <c r="D22" s="209">
        <f t="shared" ref="D22:L23" si="4">+D6-D15</f>
        <v>133794.07999999999</v>
      </c>
      <c r="E22" s="209">
        <f t="shared" si="4"/>
        <v>327439.87</v>
      </c>
      <c r="F22" s="209">
        <f t="shared" si="4"/>
        <v>423943.87</v>
      </c>
      <c r="G22" s="209">
        <f t="shared" si="4"/>
        <v>432985.87</v>
      </c>
      <c r="H22" s="209">
        <f t="shared" si="4"/>
        <v>409158.04</v>
      </c>
      <c r="I22" s="209">
        <f t="shared" si="4"/>
        <v>394991.87</v>
      </c>
      <c r="J22" s="209">
        <f t="shared" si="4"/>
        <v>324940.87</v>
      </c>
      <c r="K22" s="209">
        <f t="shared" si="4"/>
        <v>195351.87</v>
      </c>
      <c r="L22" s="209">
        <f t="shared" si="4"/>
        <v>207473.87</v>
      </c>
      <c r="M22" s="206">
        <f>SUM(D22:L22)</f>
        <v>2850080.2100000004</v>
      </c>
    </row>
    <row r="23" spans="1:13">
      <c r="A23" s="204" t="s">
        <v>216</v>
      </c>
      <c r="B23" s="205" t="s">
        <v>215</v>
      </c>
      <c r="C23" s="204" t="s">
        <v>269</v>
      </c>
      <c r="D23" s="209">
        <f t="shared" si="4"/>
        <v>275158.46000000002</v>
      </c>
      <c r="E23" s="209">
        <f t="shared" si="4"/>
        <v>104532.29000000001</v>
      </c>
      <c r="F23" s="209">
        <f t="shared" si="4"/>
        <v>135503.20000000001</v>
      </c>
      <c r="G23" s="209">
        <f t="shared" si="4"/>
        <v>163995.65</v>
      </c>
      <c r="H23" s="209">
        <f t="shared" si="4"/>
        <v>139134.26999999999</v>
      </c>
      <c r="I23" s="209">
        <f t="shared" si="4"/>
        <v>119061.97</v>
      </c>
      <c r="J23" s="209">
        <f t="shared" si="4"/>
        <v>143022.74000000002</v>
      </c>
      <c r="K23" s="209">
        <f t="shared" si="4"/>
        <v>130099.5</v>
      </c>
      <c r="L23" s="209">
        <f t="shared" si="4"/>
        <v>123179.67000000001</v>
      </c>
      <c r="M23" s="206">
        <f>SUM(D23:L23)</f>
        <v>1333687.75</v>
      </c>
    </row>
    <row r="24" spans="1:13" s="201" customFormat="1">
      <c r="A24" s="207" t="s">
        <v>219</v>
      </c>
      <c r="D24" s="208">
        <f>SUM(D20:D23)</f>
        <v>624978.01</v>
      </c>
      <c r="E24" s="208">
        <f t="shared" ref="E24:M24" si="5">SUM(E20:E23)</f>
        <v>1717703.92</v>
      </c>
      <c r="F24" s="208">
        <f t="shared" si="5"/>
        <v>1823761.4799999997</v>
      </c>
      <c r="G24" s="208">
        <f t="shared" si="5"/>
        <v>1927544.2399999998</v>
      </c>
      <c r="H24" s="208">
        <f t="shared" si="5"/>
        <v>2004005.03</v>
      </c>
      <c r="I24" s="208">
        <f t="shared" si="5"/>
        <v>1708787.5599999998</v>
      </c>
      <c r="J24" s="208">
        <f t="shared" si="5"/>
        <v>1688366.3299999998</v>
      </c>
      <c r="K24" s="208">
        <f t="shared" si="5"/>
        <v>1408971.0899999999</v>
      </c>
      <c r="L24" s="208">
        <f t="shared" si="5"/>
        <v>1273779.2599999998</v>
      </c>
      <c r="M24" s="208">
        <f t="shared" si="5"/>
        <v>14177896.919999998</v>
      </c>
    </row>
  </sheetData>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workbookViewId="0">
      <selection sqref="A1:G1"/>
    </sheetView>
  </sheetViews>
  <sheetFormatPr defaultRowHeight="15.75"/>
  <cols>
    <col min="1" max="1" width="44.42578125" style="67" customWidth="1"/>
    <col min="2" max="12" width="16.7109375" style="67" customWidth="1"/>
    <col min="14" max="14" width="11.85546875" style="3" customWidth="1"/>
    <col min="15" max="15" width="17" style="3" bestFit="1" customWidth="1"/>
    <col min="16" max="16" width="16.140625" bestFit="1" customWidth="1"/>
    <col min="17" max="29" width="14.7109375" customWidth="1"/>
    <col min="31" max="31" width="10.5703125" bestFit="1" customWidth="1"/>
  </cols>
  <sheetData>
    <row r="1" spans="1:29" ht="18.75">
      <c r="A1" s="560" t="s">
        <v>84</v>
      </c>
      <c r="B1" s="560"/>
      <c r="C1" s="560"/>
      <c r="D1" s="560"/>
      <c r="E1" s="560"/>
      <c r="F1" s="560"/>
      <c r="G1" s="560"/>
      <c r="H1" s="190"/>
      <c r="I1" s="190"/>
      <c r="J1" s="190"/>
      <c r="K1" s="190"/>
      <c r="L1" s="190"/>
      <c r="O1" s="174"/>
      <c r="P1" s="174"/>
      <c r="Q1" s="174"/>
      <c r="R1" s="174"/>
      <c r="S1" s="174"/>
      <c r="T1" s="174"/>
      <c r="U1" s="174"/>
      <c r="V1" s="174"/>
      <c r="W1" s="72"/>
      <c r="X1" s="72"/>
      <c r="Y1" s="72"/>
      <c r="Z1" s="72"/>
      <c r="AA1" s="72"/>
      <c r="AB1" s="72"/>
      <c r="AC1" s="72"/>
    </row>
    <row r="2" spans="1:29" ht="18.75">
      <c r="A2" s="560" t="s">
        <v>158</v>
      </c>
      <c r="B2" s="560"/>
      <c r="C2" s="560"/>
      <c r="D2" s="560"/>
      <c r="E2" s="560"/>
      <c r="F2" s="560"/>
      <c r="G2" s="560"/>
      <c r="H2" s="190"/>
      <c r="I2" s="190"/>
      <c r="J2" s="190"/>
      <c r="K2" s="190"/>
      <c r="L2" s="190"/>
      <c r="O2" s="174"/>
      <c r="P2" s="174"/>
      <c r="Q2" s="174"/>
      <c r="R2" s="174"/>
      <c r="S2" s="174"/>
      <c r="T2" s="174"/>
      <c r="U2" s="174"/>
      <c r="V2" s="174"/>
      <c r="W2" s="72"/>
      <c r="X2" s="72"/>
      <c r="Y2" s="72"/>
      <c r="Z2" s="72"/>
      <c r="AA2" s="72"/>
      <c r="AB2" s="72"/>
      <c r="AC2" s="72"/>
    </row>
    <row r="3" spans="1:29">
      <c r="N3" s="20"/>
      <c r="O3" s="68"/>
      <c r="P3" s="72"/>
      <c r="Q3" s="72"/>
      <c r="R3" s="72"/>
      <c r="S3" s="72"/>
      <c r="T3" s="72"/>
      <c r="U3" s="72"/>
      <c r="W3" s="72"/>
      <c r="X3" s="72"/>
      <c r="Y3" s="72"/>
      <c r="Z3" s="72"/>
      <c r="AA3" s="72"/>
      <c r="AB3" s="72"/>
      <c r="AC3" s="72"/>
    </row>
    <row r="4" spans="1:29">
      <c r="N4" s="20"/>
      <c r="O4" s="68"/>
      <c r="P4" s="72"/>
      <c r="Q4" s="72"/>
      <c r="R4" s="72"/>
      <c r="S4" s="72"/>
      <c r="T4" s="72"/>
      <c r="U4" s="72"/>
      <c r="W4" s="72"/>
      <c r="X4" s="72"/>
      <c r="Y4" s="72"/>
      <c r="Z4" s="72"/>
      <c r="AA4" s="72"/>
      <c r="AB4" s="72"/>
      <c r="AC4" s="72"/>
    </row>
    <row r="5" spans="1:29">
      <c r="N5" s="71"/>
      <c r="O5" s="71"/>
      <c r="P5" s="72"/>
      <c r="Q5" s="72"/>
      <c r="R5" s="72"/>
      <c r="S5" s="72"/>
      <c r="T5" s="72"/>
      <c r="U5" s="72"/>
      <c r="W5" s="72"/>
      <c r="X5" s="72"/>
      <c r="Y5" s="72"/>
      <c r="Z5" s="72"/>
      <c r="AA5" s="72"/>
      <c r="AB5" s="72"/>
      <c r="AC5" s="72"/>
    </row>
    <row r="6" spans="1:29" s="4" customFormat="1">
      <c r="A6" s="73"/>
      <c r="B6" s="84" t="s">
        <v>98</v>
      </c>
      <c r="C6" s="73"/>
      <c r="D6" s="73"/>
      <c r="E6" s="73"/>
      <c r="F6" s="73"/>
      <c r="G6" s="73"/>
      <c r="H6" s="73"/>
      <c r="I6" s="73"/>
      <c r="J6" s="73"/>
      <c r="K6" s="73"/>
      <c r="L6" s="84" t="s">
        <v>98</v>
      </c>
      <c r="N6"/>
      <c r="O6"/>
      <c r="P6"/>
      <c r="Q6"/>
      <c r="R6"/>
      <c r="S6"/>
      <c r="T6"/>
      <c r="U6"/>
      <c r="V6"/>
    </row>
    <row r="7" spans="1:29" ht="16.5" thickBot="1">
      <c r="A7" s="178" t="s">
        <v>7</v>
      </c>
      <c r="B7" s="178">
        <v>2012</v>
      </c>
      <c r="C7" s="178" t="s">
        <v>167</v>
      </c>
      <c r="D7" s="178" t="s">
        <v>168</v>
      </c>
      <c r="E7" s="178" t="s">
        <v>169</v>
      </c>
      <c r="F7" s="178" t="s">
        <v>170</v>
      </c>
      <c r="G7" s="178" t="s">
        <v>171</v>
      </c>
      <c r="H7" s="178" t="s">
        <v>172</v>
      </c>
      <c r="I7" s="178" t="s">
        <v>173</v>
      </c>
      <c r="J7" s="178" t="s">
        <v>174</v>
      </c>
      <c r="K7" s="178" t="s">
        <v>175</v>
      </c>
      <c r="L7" s="178">
        <v>2012</v>
      </c>
      <c r="N7"/>
      <c r="O7"/>
    </row>
    <row r="8" spans="1:29">
      <c r="A8" s="179"/>
      <c r="B8" s="179"/>
      <c r="C8" s="179"/>
      <c r="D8" s="179"/>
      <c r="E8" s="179"/>
      <c r="F8" s="179"/>
      <c r="G8" s="179"/>
      <c r="H8" s="179"/>
      <c r="I8" s="179"/>
      <c r="J8" s="179"/>
      <c r="K8" s="179"/>
      <c r="L8" s="179"/>
      <c r="N8"/>
      <c r="O8"/>
    </row>
    <row r="9" spans="1:29">
      <c r="A9" s="67" t="s">
        <v>119</v>
      </c>
      <c r="B9" s="175">
        <v>12844209</v>
      </c>
      <c r="C9" s="175">
        <f>$B9/9</f>
        <v>1427134.3333333333</v>
      </c>
      <c r="D9" s="175">
        <f t="shared" ref="D9:K9" si="0">$B9/9</f>
        <v>1427134.3333333333</v>
      </c>
      <c r="E9" s="175">
        <f t="shared" si="0"/>
        <v>1427134.3333333333</v>
      </c>
      <c r="F9" s="175">
        <f t="shared" si="0"/>
        <v>1427134.3333333333</v>
      </c>
      <c r="G9" s="175">
        <f t="shared" si="0"/>
        <v>1427134.3333333333</v>
      </c>
      <c r="H9" s="175">
        <f t="shared" si="0"/>
        <v>1427134.3333333333</v>
      </c>
      <c r="I9" s="175">
        <f t="shared" si="0"/>
        <v>1427134.3333333333</v>
      </c>
      <c r="J9" s="175">
        <f t="shared" si="0"/>
        <v>1427134.3333333333</v>
      </c>
      <c r="K9" s="175">
        <f t="shared" si="0"/>
        <v>1427134.3333333333</v>
      </c>
      <c r="L9" s="175">
        <f>SUM(C9:K9)</f>
        <v>12844209.000000002</v>
      </c>
      <c r="M9" s="191">
        <f>L9-B9</f>
        <v>0</v>
      </c>
      <c r="N9"/>
      <c r="O9"/>
    </row>
    <row r="10" spans="1:29">
      <c r="A10" s="67" t="s">
        <v>120</v>
      </c>
      <c r="B10" s="175">
        <v>-684813.09807663399</v>
      </c>
      <c r="C10" s="175">
        <f t="shared" ref="C10:K15" si="1">$B10/9</f>
        <v>-76090.344230737115</v>
      </c>
      <c r="D10" s="175">
        <f t="shared" si="1"/>
        <v>-76090.344230737115</v>
      </c>
      <c r="E10" s="175">
        <f t="shared" si="1"/>
        <v>-76090.344230737115</v>
      </c>
      <c r="F10" s="175">
        <f t="shared" si="1"/>
        <v>-76090.344230737115</v>
      </c>
      <c r="G10" s="175">
        <f t="shared" si="1"/>
        <v>-76090.344230737115</v>
      </c>
      <c r="H10" s="175">
        <f t="shared" si="1"/>
        <v>-76090.344230737115</v>
      </c>
      <c r="I10" s="175">
        <f t="shared" si="1"/>
        <v>-76090.344230737115</v>
      </c>
      <c r="J10" s="175">
        <f t="shared" si="1"/>
        <v>-76090.344230737115</v>
      </c>
      <c r="K10" s="175">
        <f t="shared" si="1"/>
        <v>-76090.344230737115</v>
      </c>
      <c r="L10" s="175">
        <f t="shared" ref="L10:L15" si="2">SUM(C10:K10)</f>
        <v>-684813.09807663399</v>
      </c>
      <c r="M10" s="191">
        <f t="shared" ref="M10:M27" si="3">L10-B10</f>
        <v>0</v>
      </c>
      <c r="N10"/>
      <c r="O10"/>
    </row>
    <row r="11" spans="1:29">
      <c r="A11" s="67" t="s">
        <v>146</v>
      </c>
      <c r="B11" s="175">
        <v>1333688</v>
      </c>
      <c r="C11" s="175">
        <f t="shared" si="1"/>
        <v>148187.55555555556</v>
      </c>
      <c r="D11" s="175">
        <f t="shared" si="1"/>
        <v>148187.55555555556</v>
      </c>
      <c r="E11" s="175">
        <f t="shared" si="1"/>
        <v>148187.55555555556</v>
      </c>
      <c r="F11" s="175">
        <f t="shared" si="1"/>
        <v>148187.55555555556</v>
      </c>
      <c r="G11" s="175">
        <f t="shared" si="1"/>
        <v>148187.55555555556</v>
      </c>
      <c r="H11" s="175">
        <f t="shared" si="1"/>
        <v>148187.55555555556</v>
      </c>
      <c r="I11" s="175">
        <f t="shared" si="1"/>
        <v>148187.55555555556</v>
      </c>
      <c r="J11" s="175">
        <f t="shared" si="1"/>
        <v>148187.55555555556</v>
      </c>
      <c r="K11" s="175">
        <f t="shared" si="1"/>
        <v>148187.55555555556</v>
      </c>
      <c r="L11" s="175">
        <f t="shared" si="2"/>
        <v>1333687.9999999998</v>
      </c>
      <c r="M11" s="191">
        <f t="shared" si="3"/>
        <v>0</v>
      </c>
      <c r="N11"/>
      <c r="O11"/>
    </row>
    <row r="12" spans="1:29">
      <c r="A12" s="67" t="s">
        <v>121</v>
      </c>
      <c r="B12" s="176">
        <v>-71108.077667346399</v>
      </c>
      <c r="C12" s="176">
        <f t="shared" si="1"/>
        <v>-7900.8975185940444</v>
      </c>
      <c r="D12" s="176">
        <f t="shared" si="1"/>
        <v>-7900.8975185940444</v>
      </c>
      <c r="E12" s="176">
        <f t="shared" si="1"/>
        <v>-7900.8975185940444</v>
      </c>
      <c r="F12" s="176">
        <f t="shared" si="1"/>
        <v>-7900.8975185940444</v>
      </c>
      <c r="G12" s="176">
        <f t="shared" si="1"/>
        <v>-7900.8975185940444</v>
      </c>
      <c r="H12" s="176">
        <f t="shared" si="1"/>
        <v>-7900.8975185940444</v>
      </c>
      <c r="I12" s="176">
        <f t="shared" si="1"/>
        <v>-7900.8975185940444</v>
      </c>
      <c r="J12" s="176">
        <f t="shared" si="1"/>
        <v>-7900.8975185940444</v>
      </c>
      <c r="K12" s="176">
        <f t="shared" si="1"/>
        <v>-7900.8975185940444</v>
      </c>
      <c r="L12" s="176">
        <f t="shared" si="2"/>
        <v>-71108.077667346399</v>
      </c>
      <c r="M12" s="191">
        <f t="shared" si="3"/>
        <v>0</v>
      </c>
      <c r="N12"/>
      <c r="O12"/>
    </row>
    <row r="13" spans="1:29">
      <c r="A13" s="67" t="s">
        <v>147</v>
      </c>
      <c r="B13" s="175">
        <v>0</v>
      </c>
      <c r="C13" s="175">
        <f t="shared" si="1"/>
        <v>0</v>
      </c>
      <c r="D13" s="175">
        <f t="shared" si="1"/>
        <v>0</v>
      </c>
      <c r="E13" s="175">
        <f t="shared" si="1"/>
        <v>0</v>
      </c>
      <c r="F13" s="175">
        <f t="shared" si="1"/>
        <v>0</v>
      </c>
      <c r="G13" s="175">
        <f t="shared" si="1"/>
        <v>0</v>
      </c>
      <c r="H13" s="175">
        <f t="shared" si="1"/>
        <v>0</v>
      </c>
      <c r="I13" s="175">
        <f t="shared" si="1"/>
        <v>0</v>
      </c>
      <c r="J13" s="175">
        <f t="shared" si="1"/>
        <v>0</v>
      </c>
      <c r="K13" s="175">
        <f t="shared" si="1"/>
        <v>0</v>
      </c>
      <c r="L13" s="175">
        <f t="shared" si="2"/>
        <v>0</v>
      </c>
      <c r="M13" s="191">
        <f t="shared" si="3"/>
        <v>0</v>
      </c>
      <c r="N13"/>
      <c r="O13"/>
    </row>
    <row r="14" spans="1:29">
      <c r="A14" s="67" t="s">
        <v>123</v>
      </c>
      <c r="B14" s="175">
        <v>0</v>
      </c>
      <c r="C14" s="175">
        <f t="shared" si="1"/>
        <v>0</v>
      </c>
      <c r="D14" s="175">
        <f t="shared" si="1"/>
        <v>0</v>
      </c>
      <c r="E14" s="175">
        <f t="shared" si="1"/>
        <v>0</v>
      </c>
      <c r="F14" s="175">
        <f t="shared" si="1"/>
        <v>0</v>
      </c>
      <c r="G14" s="175">
        <f t="shared" si="1"/>
        <v>0</v>
      </c>
      <c r="H14" s="175">
        <f t="shared" si="1"/>
        <v>0</v>
      </c>
      <c r="I14" s="175">
        <f t="shared" si="1"/>
        <v>0</v>
      </c>
      <c r="J14" s="175">
        <f t="shared" si="1"/>
        <v>0</v>
      </c>
      <c r="K14" s="175">
        <f t="shared" si="1"/>
        <v>0</v>
      </c>
      <c r="L14" s="175">
        <f t="shared" si="2"/>
        <v>0</v>
      </c>
      <c r="M14" s="191">
        <f t="shared" si="3"/>
        <v>0</v>
      </c>
      <c r="N14"/>
      <c r="O14"/>
    </row>
    <row r="15" spans="1:29">
      <c r="A15" s="67" t="s">
        <v>148</v>
      </c>
      <c r="B15" s="177">
        <v>0</v>
      </c>
      <c r="C15" s="177">
        <f t="shared" si="1"/>
        <v>0</v>
      </c>
      <c r="D15" s="177">
        <f t="shared" si="1"/>
        <v>0</v>
      </c>
      <c r="E15" s="177">
        <f t="shared" si="1"/>
        <v>0</v>
      </c>
      <c r="F15" s="177">
        <f t="shared" si="1"/>
        <v>0</v>
      </c>
      <c r="G15" s="177">
        <f t="shared" si="1"/>
        <v>0</v>
      </c>
      <c r="H15" s="177">
        <f t="shared" si="1"/>
        <v>0</v>
      </c>
      <c r="I15" s="177">
        <f t="shared" si="1"/>
        <v>0</v>
      </c>
      <c r="J15" s="177">
        <f t="shared" si="1"/>
        <v>0</v>
      </c>
      <c r="K15" s="177">
        <f t="shared" si="1"/>
        <v>0</v>
      </c>
      <c r="L15" s="177">
        <f t="shared" si="2"/>
        <v>0</v>
      </c>
      <c r="M15" s="191">
        <f t="shared" si="3"/>
        <v>0</v>
      </c>
      <c r="N15"/>
      <c r="O15"/>
    </row>
    <row r="16" spans="1:29">
      <c r="A16" s="67" t="s">
        <v>149</v>
      </c>
      <c r="B16" s="175">
        <f t="shared" ref="B16:L16" si="4">SUM(B9:B15)</f>
        <v>13421975.82425602</v>
      </c>
      <c r="C16" s="175">
        <f t="shared" si="4"/>
        <v>1491330.6471395576</v>
      </c>
      <c r="D16" s="175">
        <f t="shared" si="4"/>
        <v>1491330.6471395576</v>
      </c>
      <c r="E16" s="175">
        <f t="shared" si="4"/>
        <v>1491330.6471395576</v>
      </c>
      <c r="F16" s="175">
        <f t="shared" si="4"/>
        <v>1491330.6471395576</v>
      </c>
      <c r="G16" s="175">
        <f t="shared" si="4"/>
        <v>1491330.6471395576</v>
      </c>
      <c r="H16" s="175">
        <f t="shared" si="4"/>
        <v>1491330.6471395576</v>
      </c>
      <c r="I16" s="175">
        <f t="shared" si="4"/>
        <v>1491330.6471395576</v>
      </c>
      <c r="J16" s="175">
        <f t="shared" si="4"/>
        <v>1491330.6471395576</v>
      </c>
      <c r="K16" s="175">
        <f t="shared" si="4"/>
        <v>1491330.6471395576</v>
      </c>
      <c r="L16" s="175">
        <f t="shared" si="4"/>
        <v>13421975.824256022</v>
      </c>
      <c r="M16" s="191">
        <f t="shared" si="3"/>
        <v>0</v>
      </c>
      <c r="N16"/>
      <c r="O16"/>
    </row>
    <row r="17" spans="1:15">
      <c r="B17" s="175"/>
      <c r="C17" s="175"/>
      <c r="D17" s="175"/>
      <c r="E17" s="175"/>
      <c r="F17" s="175"/>
      <c r="G17" s="175"/>
      <c r="H17" s="175"/>
      <c r="I17" s="175"/>
      <c r="J17" s="175"/>
      <c r="K17" s="175"/>
      <c r="L17" s="175"/>
      <c r="M17" s="191">
        <f t="shared" si="3"/>
        <v>0</v>
      </c>
      <c r="N17"/>
      <c r="O17"/>
    </row>
    <row r="18" spans="1:15" ht="16.5" customHeight="1">
      <c r="A18" s="67" t="s">
        <v>150</v>
      </c>
      <c r="B18" s="175">
        <v>378111</v>
      </c>
      <c r="C18" s="175">
        <f t="shared" ref="C18:K20" si="5">$B18/9</f>
        <v>42012.333333333336</v>
      </c>
      <c r="D18" s="175">
        <f t="shared" si="5"/>
        <v>42012.333333333336</v>
      </c>
      <c r="E18" s="175">
        <f t="shared" si="5"/>
        <v>42012.333333333336</v>
      </c>
      <c r="F18" s="175">
        <f t="shared" si="5"/>
        <v>42012.333333333336</v>
      </c>
      <c r="G18" s="175">
        <f t="shared" si="5"/>
        <v>42012.333333333336</v>
      </c>
      <c r="H18" s="175">
        <f t="shared" si="5"/>
        <v>42012.333333333336</v>
      </c>
      <c r="I18" s="175">
        <f t="shared" si="5"/>
        <v>42012.333333333336</v>
      </c>
      <c r="J18" s="175">
        <f t="shared" si="5"/>
        <v>42012.333333333336</v>
      </c>
      <c r="K18" s="175">
        <f t="shared" si="5"/>
        <v>42012.333333333336</v>
      </c>
      <c r="L18" s="175">
        <f>SUM(C18:K18)</f>
        <v>378111</v>
      </c>
      <c r="M18" s="191">
        <f t="shared" si="3"/>
        <v>0</v>
      </c>
      <c r="N18"/>
      <c r="O18"/>
    </row>
    <row r="19" spans="1:15">
      <c r="A19" s="67" t="s">
        <v>151</v>
      </c>
      <c r="B19" s="175">
        <v>303780</v>
      </c>
      <c r="C19" s="175">
        <f t="shared" si="5"/>
        <v>33753.333333333336</v>
      </c>
      <c r="D19" s="175">
        <f t="shared" si="5"/>
        <v>33753.333333333336</v>
      </c>
      <c r="E19" s="175">
        <f t="shared" si="5"/>
        <v>33753.333333333336</v>
      </c>
      <c r="F19" s="175">
        <f t="shared" si="5"/>
        <v>33753.333333333336</v>
      </c>
      <c r="G19" s="175">
        <f t="shared" si="5"/>
        <v>33753.333333333336</v>
      </c>
      <c r="H19" s="175">
        <f t="shared" si="5"/>
        <v>33753.333333333336</v>
      </c>
      <c r="I19" s="175">
        <f t="shared" si="5"/>
        <v>33753.333333333336</v>
      </c>
      <c r="J19" s="175">
        <f t="shared" si="5"/>
        <v>33753.333333333336</v>
      </c>
      <c r="K19" s="175">
        <f t="shared" si="5"/>
        <v>33753.333333333336</v>
      </c>
      <c r="L19" s="175">
        <f>SUM(C19:K19)</f>
        <v>303780</v>
      </c>
      <c r="M19" s="191">
        <f t="shared" si="3"/>
        <v>0</v>
      </c>
      <c r="N19"/>
      <c r="O19"/>
    </row>
    <row r="20" spans="1:15">
      <c r="A20" s="67" t="s">
        <v>152</v>
      </c>
      <c r="B20" s="177">
        <v>0</v>
      </c>
      <c r="C20" s="177">
        <f t="shared" si="5"/>
        <v>0</v>
      </c>
      <c r="D20" s="177">
        <f t="shared" si="5"/>
        <v>0</v>
      </c>
      <c r="E20" s="177">
        <f t="shared" si="5"/>
        <v>0</v>
      </c>
      <c r="F20" s="177">
        <f t="shared" si="5"/>
        <v>0</v>
      </c>
      <c r="G20" s="177">
        <f t="shared" si="5"/>
        <v>0</v>
      </c>
      <c r="H20" s="177">
        <f t="shared" si="5"/>
        <v>0</v>
      </c>
      <c r="I20" s="177">
        <f t="shared" si="5"/>
        <v>0</v>
      </c>
      <c r="J20" s="177">
        <f t="shared" si="5"/>
        <v>0</v>
      </c>
      <c r="K20" s="177">
        <f t="shared" si="5"/>
        <v>0</v>
      </c>
      <c r="L20" s="177">
        <f>SUM(C20:K20)</f>
        <v>0</v>
      </c>
      <c r="M20" s="191">
        <f t="shared" si="3"/>
        <v>0</v>
      </c>
      <c r="N20"/>
      <c r="O20"/>
    </row>
    <row r="21" spans="1:15">
      <c r="A21" s="67" t="s">
        <v>153</v>
      </c>
      <c r="B21" s="175">
        <f t="shared" ref="B21:L21" si="6">SUM(B18:B20)</f>
        <v>681891</v>
      </c>
      <c r="C21" s="175">
        <f t="shared" si="6"/>
        <v>75765.666666666672</v>
      </c>
      <c r="D21" s="175">
        <f t="shared" si="6"/>
        <v>75765.666666666672</v>
      </c>
      <c r="E21" s="175">
        <f t="shared" si="6"/>
        <v>75765.666666666672</v>
      </c>
      <c r="F21" s="175">
        <f t="shared" si="6"/>
        <v>75765.666666666672</v>
      </c>
      <c r="G21" s="175">
        <f t="shared" si="6"/>
        <v>75765.666666666672</v>
      </c>
      <c r="H21" s="175">
        <f t="shared" si="6"/>
        <v>75765.666666666672</v>
      </c>
      <c r="I21" s="175">
        <f t="shared" si="6"/>
        <v>75765.666666666672</v>
      </c>
      <c r="J21" s="175">
        <f t="shared" si="6"/>
        <v>75765.666666666672</v>
      </c>
      <c r="K21" s="175">
        <f t="shared" si="6"/>
        <v>75765.666666666672</v>
      </c>
      <c r="L21" s="175">
        <f t="shared" si="6"/>
        <v>681891</v>
      </c>
      <c r="M21" s="191">
        <f t="shared" si="3"/>
        <v>0</v>
      </c>
      <c r="N21"/>
      <c r="O21"/>
    </row>
    <row r="22" spans="1:15">
      <c r="B22" s="175"/>
      <c r="C22" s="175"/>
      <c r="D22" s="175"/>
      <c r="E22" s="175"/>
      <c r="F22" s="175"/>
      <c r="G22" s="175"/>
      <c r="H22" s="175"/>
      <c r="I22" s="175"/>
      <c r="J22" s="175"/>
      <c r="K22" s="175"/>
      <c r="L22" s="175"/>
      <c r="M22" s="191">
        <f t="shared" si="3"/>
        <v>0</v>
      </c>
      <c r="N22"/>
      <c r="O22"/>
    </row>
    <row r="23" spans="1:15">
      <c r="B23" s="175"/>
      <c r="C23" s="175"/>
      <c r="D23" s="175"/>
      <c r="E23" s="175"/>
      <c r="F23" s="175"/>
      <c r="G23" s="175"/>
      <c r="H23" s="175"/>
      <c r="I23" s="175"/>
      <c r="J23" s="175"/>
      <c r="K23" s="175"/>
      <c r="L23" s="175"/>
      <c r="M23" s="191">
        <f t="shared" si="3"/>
        <v>0</v>
      </c>
      <c r="N23"/>
      <c r="O23"/>
    </row>
    <row r="24" spans="1:15">
      <c r="A24" s="67" t="s">
        <v>154</v>
      </c>
      <c r="B24" s="175">
        <v>0</v>
      </c>
      <c r="C24" s="175">
        <f t="shared" ref="C24:K26" si="7">$B24/9</f>
        <v>0</v>
      </c>
      <c r="D24" s="175">
        <f t="shared" si="7"/>
        <v>0</v>
      </c>
      <c r="E24" s="175">
        <f t="shared" si="7"/>
        <v>0</v>
      </c>
      <c r="F24" s="175">
        <f t="shared" si="7"/>
        <v>0</v>
      </c>
      <c r="G24" s="175">
        <f t="shared" si="7"/>
        <v>0</v>
      </c>
      <c r="H24" s="175">
        <f t="shared" si="7"/>
        <v>0</v>
      </c>
      <c r="I24" s="175">
        <f t="shared" si="7"/>
        <v>0</v>
      </c>
      <c r="J24" s="175">
        <f t="shared" si="7"/>
        <v>0</v>
      </c>
      <c r="K24" s="175">
        <f t="shared" si="7"/>
        <v>0</v>
      </c>
      <c r="L24" s="175">
        <f>SUM(C24:K24)</f>
        <v>0</v>
      </c>
      <c r="M24" s="191">
        <f t="shared" si="3"/>
        <v>0</v>
      </c>
      <c r="N24"/>
      <c r="O24"/>
    </row>
    <row r="25" spans="1:15">
      <c r="A25" s="67" t="s">
        <v>155</v>
      </c>
      <c r="B25" s="176">
        <v>0</v>
      </c>
      <c r="C25" s="176">
        <f t="shared" si="7"/>
        <v>0</v>
      </c>
      <c r="D25" s="176">
        <f t="shared" si="7"/>
        <v>0</v>
      </c>
      <c r="E25" s="176">
        <f t="shared" si="7"/>
        <v>0</v>
      </c>
      <c r="F25" s="176">
        <f t="shared" si="7"/>
        <v>0</v>
      </c>
      <c r="G25" s="176">
        <f t="shared" si="7"/>
        <v>0</v>
      </c>
      <c r="H25" s="176">
        <f t="shared" si="7"/>
        <v>0</v>
      </c>
      <c r="I25" s="176">
        <f t="shared" si="7"/>
        <v>0</v>
      </c>
      <c r="J25" s="176">
        <f t="shared" si="7"/>
        <v>0</v>
      </c>
      <c r="K25" s="176">
        <f t="shared" si="7"/>
        <v>0</v>
      </c>
      <c r="L25" s="176">
        <f>SUM(C25:K25)</f>
        <v>0</v>
      </c>
      <c r="M25" s="191">
        <f t="shared" si="3"/>
        <v>0</v>
      </c>
      <c r="N25"/>
      <c r="O25"/>
    </row>
    <row r="26" spans="1:15">
      <c r="A26" s="67" t="s">
        <v>157</v>
      </c>
      <c r="B26" s="177">
        <v>0</v>
      </c>
      <c r="C26" s="177">
        <f t="shared" si="7"/>
        <v>0</v>
      </c>
      <c r="D26" s="177">
        <f t="shared" si="7"/>
        <v>0</v>
      </c>
      <c r="E26" s="177">
        <f t="shared" si="7"/>
        <v>0</v>
      </c>
      <c r="F26" s="177">
        <f t="shared" si="7"/>
        <v>0</v>
      </c>
      <c r="G26" s="177">
        <f t="shared" si="7"/>
        <v>0</v>
      </c>
      <c r="H26" s="177">
        <f t="shared" si="7"/>
        <v>0</v>
      </c>
      <c r="I26" s="177">
        <f t="shared" si="7"/>
        <v>0</v>
      </c>
      <c r="J26" s="177">
        <f t="shared" si="7"/>
        <v>0</v>
      </c>
      <c r="K26" s="177">
        <f t="shared" si="7"/>
        <v>0</v>
      </c>
      <c r="L26" s="177">
        <f>SUM(C26:K26)</f>
        <v>0</v>
      </c>
      <c r="M26" s="191">
        <f t="shared" si="3"/>
        <v>0</v>
      </c>
      <c r="N26"/>
      <c r="O26"/>
    </row>
    <row r="27" spans="1:15">
      <c r="A27" s="67" t="s">
        <v>156</v>
      </c>
      <c r="B27" s="175">
        <f>SUM(B24:B25)</f>
        <v>0</v>
      </c>
      <c r="C27" s="175">
        <f t="shared" ref="C27:K27" si="8">SUM(C24:C26)</f>
        <v>0</v>
      </c>
      <c r="D27" s="175">
        <f t="shared" si="8"/>
        <v>0</v>
      </c>
      <c r="E27" s="175">
        <f t="shared" si="8"/>
        <v>0</v>
      </c>
      <c r="F27" s="175">
        <f t="shared" si="8"/>
        <v>0</v>
      </c>
      <c r="G27" s="175">
        <f t="shared" si="8"/>
        <v>0</v>
      </c>
      <c r="H27" s="175">
        <f t="shared" si="8"/>
        <v>0</v>
      </c>
      <c r="I27" s="175">
        <f t="shared" si="8"/>
        <v>0</v>
      </c>
      <c r="J27" s="175">
        <f t="shared" si="8"/>
        <v>0</v>
      </c>
      <c r="K27" s="175">
        <f t="shared" si="8"/>
        <v>0</v>
      </c>
      <c r="L27" s="175">
        <f>SUM(L24:L25)</f>
        <v>0</v>
      </c>
      <c r="M27" s="191">
        <f t="shared" si="3"/>
        <v>0</v>
      </c>
      <c r="N27"/>
      <c r="O27"/>
    </row>
    <row r="28" spans="1:15">
      <c r="N28"/>
      <c r="O28"/>
    </row>
    <row r="29" spans="1:15">
      <c r="N29"/>
      <c r="O29"/>
    </row>
    <row r="30" spans="1:15">
      <c r="N30"/>
      <c r="O30"/>
    </row>
    <row r="31" spans="1:15">
      <c r="N31"/>
      <c r="O31"/>
    </row>
  </sheetData>
  <mergeCells count="2">
    <mergeCell ref="A1:G1"/>
    <mergeCell ref="A2:G2"/>
  </mergeCells>
  <printOptions horizontalCentered="1"/>
  <pageMargins left="0.5" right="0.62187499999999996" top="1" bottom="0.75" header="0.3" footer="0.3"/>
  <pageSetup scale="88" orientation="landscape" r:id="rId1"/>
  <headerFooter>
    <oddFooter>&amp;R&amp;"Times New Roman,Bold"&amp;14Bellar Exhibit 2
Page &amp;P of &amp;N</oddFoot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1"/>
  <sheetViews>
    <sheetView tabSelected="1" zoomScale="70" zoomScaleNormal="70" workbookViewId="0">
      <selection activeCell="G18" sqref="G18"/>
    </sheetView>
  </sheetViews>
  <sheetFormatPr defaultRowHeight="20.25"/>
  <cols>
    <col min="1" max="1" width="7" style="331" customWidth="1"/>
    <col min="2" max="2" width="49.7109375" style="276" customWidth="1"/>
    <col min="3" max="3" width="25.7109375" style="276" customWidth="1"/>
    <col min="4" max="4" width="2.7109375" style="276" customWidth="1"/>
    <col min="5" max="5" width="14.7109375" style="276" customWidth="1"/>
    <col min="6" max="6" width="2.7109375" style="276" customWidth="1"/>
    <col min="7" max="7" width="16.7109375" style="276" customWidth="1"/>
    <col min="8" max="8" width="2.7109375" style="276" customWidth="1"/>
    <col min="9" max="9" width="24.140625" style="276" bestFit="1" customWidth="1"/>
    <col min="10" max="10" width="2.7109375" style="276" customWidth="1"/>
    <col min="11" max="11" width="16.7109375" style="276" customWidth="1"/>
    <col min="12" max="12" width="2.7109375" style="276" customWidth="1"/>
    <col min="13" max="13" width="15.140625" style="276" customWidth="1"/>
    <col min="14" max="14" width="3.28515625" style="276" customWidth="1"/>
    <col min="15" max="15" width="15.140625" style="276" customWidth="1"/>
    <col min="16" max="16" width="14.28515625" style="532" customWidth="1"/>
    <col min="17" max="21" width="12.7109375" style="276" bestFit="1" customWidth="1"/>
    <col min="22" max="16384" width="9.140625" style="276"/>
  </cols>
  <sheetData>
    <row r="1" spans="1:22">
      <c r="A1" s="540" t="s">
        <v>84</v>
      </c>
      <c r="B1" s="540"/>
      <c r="C1" s="540"/>
      <c r="D1" s="540"/>
      <c r="E1" s="540"/>
      <c r="F1" s="540"/>
      <c r="G1" s="540"/>
      <c r="H1" s="540"/>
      <c r="I1" s="540"/>
      <c r="J1" s="540"/>
      <c r="K1" s="540"/>
      <c r="L1" s="540"/>
      <c r="M1" s="540"/>
      <c r="N1" s="401"/>
    </row>
    <row r="2" spans="1:22">
      <c r="A2" s="541" t="s">
        <v>431</v>
      </c>
      <c r="B2" s="541"/>
      <c r="C2" s="541"/>
      <c r="D2" s="541"/>
      <c r="E2" s="541"/>
      <c r="F2" s="541"/>
      <c r="G2" s="541"/>
      <c r="H2" s="541"/>
      <c r="I2" s="541"/>
      <c r="J2" s="541"/>
      <c r="K2" s="541"/>
      <c r="L2" s="541"/>
      <c r="M2" s="541"/>
      <c r="N2" s="402"/>
      <c r="O2" s="277"/>
      <c r="P2" s="533"/>
    </row>
    <row r="3" spans="1:22">
      <c r="A3" s="540" t="s">
        <v>132</v>
      </c>
      <c r="B3" s="540"/>
      <c r="C3" s="540"/>
      <c r="D3" s="540"/>
      <c r="E3" s="540"/>
      <c r="F3" s="540"/>
      <c r="G3" s="540"/>
      <c r="H3" s="540"/>
      <c r="I3" s="540"/>
      <c r="J3" s="540"/>
      <c r="K3" s="540"/>
      <c r="L3" s="540"/>
      <c r="M3" s="540"/>
      <c r="N3" s="401"/>
      <c r="O3" s="278"/>
    </row>
    <row r="4" spans="1:22">
      <c r="A4" s="279"/>
    </row>
    <row r="6" spans="1:22" s="284" customFormat="1" ht="119.25" customHeight="1">
      <c r="A6" s="280" t="s">
        <v>83</v>
      </c>
      <c r="B6" s="280" t="s">
        <v>408</v>
      </c>
      <c r="C6" s="280" t="s">
        <v>406</v>
      </c>
      <c r="D6" s="281"/>
      <c r="E6" s="280" t="s">
        <v>79</v>
      </c>
      <c r="F6" s="281"/>
      <c r="G6" s="280" t="s">
        <v>253</v>
      </c>
      <c r="H6" s="281"/>
      <c r="I6" s="280" t="s">
        <v>435</v>
      </c>
      <c r="J6" s="282"/>
      <c r="K6" s="283" t="s">
        <v>436</v>
      </c>
      <c r="M6" s="531" t="s">
        <v>441</v>
      </c>
      <c r="O6" s="285" t="s">
        <v>316</v>
      </c>
      <c r="P6" s="534"/>
      <c r="Q6"/>
      <c r="R6"/>
      <c r="S6"/>
      <c r="T6"/>
      <c r="U6"/>
      <c r="V6"/>
    </row>
    <row r="7" spans="1:22" s="284" customFormat="1" ht="15.75">
      <c r="A7" s="288" t="s">
        <v>342</v>
      </c>
      <c r="B7" s="288" t="s">
        <v>343</v>
      </c>
      <c r="C7" s="288" t="s">
        <v>344</v>
      </c>
      <c r="D7" s="281"/>
      <c r="E7" s="288" t="s">
        <v>345</v>
      </c>
      <c r="F7" s="281"/>
      <c r="G7" s="288" t="s">
        <v>346</v>
      </c>
      <c r="H7" s="281"/>
      <c r="I7" s="288" t="s">
        <v>347</v>
      </c>
      <c r="J7" s="282"/>
      <c r="K7" s="288" t="s">
        <v>348</v>
      </c>
      <c r="M7" s="288" t="s">
        <v>349</v>
      </c>
      <c r="O7" s="288" t="s">
        <v>350</v>
      </c>
      <c r="P7" s="534"/>
      <c r="Q7"/>
      <c r="R7"/>
      <c r="S7"/>
      <c r="T7"/>
      <c r="U7"/>
      <c r="V7"/>
    </row>
    <row r="8" spans="1:22" s="284" customFormat="1" ht="15.75">
      <c r="A8" s="243"/>
      <c r="B8" s="282"/>
      <c r="C8" s="289"/>
      <c r="D8" s="281"/>
      <c r="E8" s="290"/>
      <c r="F8" s="281"/>
      <c r="G8" s="290"/>
      <c r="H8" s="281"/>
      <c r="I8" s="291"/>
      <c r="J8" s="282"/>
      <c r="K8" s="291"/>
      <c r="M8" s="292"/>
      <c r="O8" s="292"/>
      <c r="P8" s="534"/>
      <c r="Q8"/>
      <c r="R8"/>
      <c r="S8"/>
      <c r="T8"/>
      <c r="U8"/>
      <c r="V8"/>
    </row>
    <row r="9" spans="1:22" s="284" customFormat="1" ht="15.75">
      <c r="B9" s="241">
        <v>2017</v>
      </c>
      <c r="C9" s="289"/>
      <c r="D9" s="281"/>
      <c r="E9" s="290"/>
      <c r="F9" s="281"/>
      <c r="G9" s="290"/>
      <c r="H9" s="281"/>
      <c r="I9" s="291"/>
      <c r="J9" s="282"/>
      <c r="K9" s="291"/>
      <c r="M9" s="292"/>
      <c r="O9" s="292"/>
      <c r="P9" s="534"/>
      <c r="Q9"/>
      <c r="R9"/>
      <c r="S9"/>
      <c r="T9"/>
      <c r="U9"/>
      <c r="V9"/>
    </row>
    <row r="10" spans="1:22" s="284" customFormat="1" ht="15.75">
      <c r="A10" s="275">
        <v>1</v>
      </c>
      <c r="B10" s="294" t="s">
        <v>75</v>
      </c>
      <c r="C10" s="295">
        <v>224794817.10642615</v>
      </c>
      <c r="D10" s="296"/>
      <c r="E10" s="297">
        <f>C10/$C$13</f>
        <v>0.67923682130261442</v>
      </c>
      <c r="F10" s="296"/>
      <c r="G10" s="295">
        <f>E10*G$13</f>
        <v>1019990.6998155224</v>
      </c>
      <c r="H10" s="296"/>
      <c r="I10" s="296">
        <v>1773842</v>
      </c>
      <c r="J10" s="298"/>
      <c r="K10" s="299">
        <f>G10/I10</f>
        <v>0.57501778614753873</v>
      </c>
      <c r="M10" s="300">
        <f>K41</f>
        <v>0.14017313355487412</v>
      </c>
      <c r="O10" s="300">
        <f>K10+M10</f>
        <v>0.71519091970241289</v>
      </c>
      <c r="P10" s="534"/>
      <c r="Q10"/>
      <c r="R10"/>
      <c r="S10"/>
      <c r="T10"/>
      <c r="U10"/>
      <c r="V10"/>
    </row>
    <row r="11" spans="1:22" s="284" customFormat="1" ht="15.75">
      <c r="A11" s="275">
        <f>A10+1</f>
        <v>2</v>
      </c>
      <c r="B11" s="294" t="s">
        <v>76</v>
      </c>
      <c r="C11" s="295">
        <f>93369606.1808071+60516</f>
        <v>93430122.180807099</v>
      </c>
      <c r="D11" s="296"/>
      <c r="E11" s="297">
        <f>C11/$C$13</f>
        <v>0.28230712798846003</v>
      </c>
      <c r="F11" s="296"/>
      <c r="G11" s="295">
        <f>E11*G$13</f>
        <v>423932.61968283588</v>
      </c>
      <c r="H11" s="296"/>
      <c r="I11" s="296">
        <v>148905</v>
      </c>
      <c r="J11" s="298"/>
      <c r="K11" s="299">
        <f>G11/I11</f>
        <v>2.8470005687037769</v>
      </c>
      <c r="M11" s="300">
        <f t="shared" ref="M11:M12" si="0">K42</f>
        <v>0.6921429363712559</v>
      </c>
      <c r="O11" s="300">
        <f>K11+M11</f>
        <v>3.5391435050750326</v>
      </c>
      <c r="P11" s="534"/>
      <c r="Q11"/>
      <c r="R11"/>
      <c r="S11"/>
      <c r="T11"/>
      <c r="U11"/>
      <c r="V11"/>
    </row>
    <row r="12" spans="1:22" s="284" customFormat="1" ht="15.75">
      <c r="A12" s="275">
        <f>A11+1</f>
        <v>3</v>
      </c>
      <c r="B12" s="294" t="s">
        <v>77</v>
      </c>
      <c r="C12" s="301">
        <f>11713427.7412044+1005352+8329</f>
        <v>12727108.7412044</v>
      </c>
      <c r="D12" s="296"/>
      <c r="E12" s="302">
        <f>C12/$C$13</f>
        <v>3.8456050708925667E-2</v>
      </c>
      <c r="F12" s="296"/>
      <c r="G12" s="301">
        <f>E12*G$13</f>
        <v>57748.362345130903</v>
      </c>
      <c r="H12" s="296"/>
      <c r="I12" s="303">
        <v>1632</v>
      </c>
      <c r="J12" s="298"/>
      <c r="K12" s="299">
        <f>G12/I12</f>
        <v>35.385025946771385</v>
      </c>
      <c r="M12" s="300">
        <f t="shared" si="0"/>
        <v>8.5999083411098418</v>
      </c>
      <c r="O12" s="300">
        <f>K12+M12</f>
        <v>43.984934287881231</v>
      </c>
      <c r="P12" s="534"/>
      <c r="Q12"/>
      <c r="R12"/>
      <c r="S12"/>
      <c r="T12"/>
      <c r="U12"/>
      <c r="V12"/>
    </row>
    <row r="13" spans="1:22" s="284" customFormat="1" ht="16.5" thickBot="1">
      <c r="A13" s="275">
        <f>A12+1</f>
        <v>4</v>
      </c>
      <c r="B13" s="304" t="s">
        <v>4</v>
      </c>
      <c r="C13" s="305">
        <f>SUM(C10:C12)</f>
        <v>330952048.02843761</v>
      </c>
      <c r="D13" s="306"/>
      <c r="E13" s="307">
        <f>SUM(E10:E12)</f>
        <v>1.0000000000000002</v>
      </c>
      <c r="F13" s="306"/>
      <c r="G13" s="236">
        <f>'Rev Req 2017-Distr'!AE31</f>
        <v>1501671.6818434889</v>
      </c>
      <c r="H13" s="306"/>
      <c r="I13" s="308">
        <f>SUM(I10:I12)</f>
        <v>1924379</v>
      </c>
      <c r="J13" s="306"/>
      <c r="K13" s="306"/>
      <c r="M13" s="306"/>
      <c r="N13" s="306"/>
      <c r="O13" s="293"/>
      <c r="P13" s="534"/>
      <c r="Q13"/>
      <c r="R13"/>
      <c r="S13"/>
      <c r="T13"/>
      <c r="U13"/>
      <c r="V13"/>
    </row>
    <row r="14" spans="1:22" s="284" customFormat="1" ht="16.5" thickTop="1">
      <c r="A14" s="275"/>
      <c r="O14" s="222"/>
      <c r="P14" s="534"/>
      <c r="Q14"/>
      <c r="R14"/>
      <c r="S14"/>
      <c r="T14"/>
      <c r="U14"/>
      <c r="V14"/>
    </row>
    <row r="15" spans="1:22" s="284" customFormat="1" ht="15.75">
      <c r="A15" s="275"/>
      <c r="B15" s="284" t="s">
        <v>411</v>
      </c>
      <c r="O15" s="300"/>
      <c r="P15" s="535"/>
      <c r="Q15"/>
      <c r="R15"/>
      <c r="S15"/>
      <c r="T15"/>
      <c r="U15"/>
      <c r="V15"/>
    </row>
    <row r="16" spans="1:22" s="284" customFormat="1" ht="15.75">
      <c r="A16" s="275"/>
      <c r="B16" s="284" t="s">
        <v>410</v>
      </c>
      <c r="O16" s="300"/>
      <c r="P16" s="535"/>
      <c r="Q16"/>
      <c r="R16"/>
      <c r="S16"/>
      <c r="T16"/>
      <c r="U16"/>
      <c r="V16"/>
    </row>
    <row r="17" spans="1:22" s="284" customFormat="1" ht="15.75">
      <c r="A17" s="275"/>
      <c r="B17" s="284" t="s">
        <v>428</v>
      </c>
      <c r="O17" s="300"/>
      <c r="P17" s="535"/>
      <c r="Q17"/>
      <c r="R17"/>
      <c r="S17"/>
      <c r="T17"/>
      <c r="U17"/>
      <c r="V17"/>
    </row>
    <row r="18" spans="1:22" s="284" customFormat="1" ht="15.75">
      <c r="A18" s="275"/>
      <c r="B18" s="284" t="s">
        <v>429</v>
      </c>
      <c r="O18" s="300"/>
      <c r="P18" s="535"/>
      <c r="Q18"/>
      <c r="R18"/>
      <c r="S18"/>
      <c r="T18"/>
      <c r="U18"/>
      <c r="V18"/>
    </row>
    <row r="19" spans="1:22" s="284" customFormat="1" ht="15.75">
      <c r="A19" s="275"/>
      <c r="O19" s="300"/>
      <c r="P19" s="535"/>
      <c r="Q19"/>
      <c r="R19"/>
      <c r="S19"/>
      <c r="T19"/>
      <c r="U19"/>
      <c r="V19"/>
    </row>
    <row r="20" spans="1:22" s="284" customFormat="1" ht="15.75">
      <c r="A20" s="275"/>
      <c r="O20" s="300"/>
      <c r="P20" s="535"/>
      <c r="Q20"/>
      <c r="R20"/>
      <c r="S20"/>
      <c r="T20"/>
      <c r="U20"/>
      <c r="V20"/>
    </row>
    <row r="21" spans="1:22" s="284" customFormat="1" ht="60.75">
      <c r="A21" s="280" t="s">
        <v>83</v>
      </c>
      <c r="B21" s="280" t="s">
        <v>407</v>
      </c>
      <c r="C21" s="280" t="s">
        <v>406</v>
      </c>
      <c r="D21" s="281"/>
      <c r="E21" s="280" t="s">
        <v>79</v>
      </c>
      <c r="F21" s="281"/>
      <c r="G21" s="280" t="s">
        <v>253</v>
      </c>
      <c r="H21" s="281"/>
      <c r="I21" s="280" t="s">
        <v>434</v>
      </c>
      <c r="J21" s="282"/>
      <c r="K21" s="283" t="s">
        <v>433</v>
      </c>
      <c r="M21"/>
      <c r="N21"/>
      <c r="O21" s="287"/>
      <c r="P21" s="536" t="s">
        <v>440</v>
      </c>
      <c r="Q21"/>
      <c r="R21"/>
      <c r="S21"/>
      <c r="T21"/>
      <c r="U21"/>
      <c r="V21"/>
    </row>
    <row r="22" spans="1:22" s="284" customFormat="1" ht="15.75">
      <c r="A22" s="288" t="s">
        <v>342</v>
      </c>
      <c r="B22" s="288" t="s">
        <v>343</v>
      </c>
      <c r="C22" s="288" t="s">
        <v>344</v>
      </c>
      <c r="D22" s="281"/>
      <c r="E22" s="288" t="s">
        <v>345</v>
      </c>
      <c r="F22" s="281"/>
      <c r="G22" s="288" t="s">
        <v>346</v>
      </c>
      <c r="H22" s="281"/>
      <c r="I22" s="288" t="s">
        <v>347</v>
      </c>
      <c r="J22" s="282"/>
      <c r="K22" s="288" t="s">
        <v>348</v>
      </c>
      <c r="M22"/>
      <c r="N22"/>
      <c r="P22" s="537"/>
      <c r="Q22"/>
      <c r="R22"/>
      <c r="S22"/>
    </row>
    <row r="23" spans="1:22" s="284" customFormat="1" ht="15.75">
      <c r="B23" s="282"/>
      <c r="C23" s="289"/>
      <c r="D23" s="281"/>
      <c r="E23" s="290"/>
      <c r="F23" s="281"/>
      <c r="G23" s="290"/>
      <c r="H23" s="281"/>
      <c r="I23" s="291"/>
      <c r="J23" s="282"/>
      <c r="K23" s="291"/>
      <c r="M23"/>
      <c r="N23"/>
      <c r="O23" s="222"/>
      <c r="P23" s="534"/>
      <c r="Q23"/>
      <c r="R23"/>
      <c r="S23"/>
    </row>
    <row r="24" spans="1:22" s="284" customFormat="1" ht="15.75">
      <c r="A24" s="243"/>
      <c r="B24" s="241">
        <v>2017</v>
      </c>
      <c r="C24" s="289"/>
      <c r="D24" s="281"/>
      <c r="E24" s="290"/>
      <c r="F24" s="281"/>
      <c r="G24" s="290"/>
      <c r="H24" s="281"/>
      <c r="I24" s="291"/>
      <c r="J24" s="282"/>
      <c r="K24" s="291"/>
      <c r="M24"/>
      <c r="N24"/>
      <c r="O24" s="293"/>
      <c r="P24" s="535"/>
      <c r="Q24"/>
      <c r="R24"/>
      <c r="S24"/>
    </row>
    <row r="25" spans="1:22" s="284" customFormat="1" ht="15.75">
      <c r="A25" s="275">
        <f>A13+1</f>
        <v>5</v>
      </c>
      <c r="B25" s="294" t="s">
        <v>75</v>
      </c>
      <c r="C25" s="295">
        <f>C10</f>
        <v>224794817.10642615</v>
      </c>
      <c r="D25" s="296"/>
      <c r="E25" s="297">
        <f>C25/$C$29</f>
        <v>0.66334899446120854</v>
      </c>
      <c r="F25" s="296"/>
      <c r="G25" s="295">
        <f>E25*$G$29</f>
        <v>45489.066136667396</v>
      </c>
      <c r="H25" s="296"/>
      <c r="I25" s="296">
        <v>6917038.9198963931</v>
      </c>
      <c r="J25" s="298"/>
      <c r="K25" s="409">
        <f>G25/I25</f>
        <v>6.5763785144856111E-3</v>
      </c>
      <c r="N25"/>
      <c r="O25" s="293"/>
      <c r="P25" s="538">
        <f>K25/10</f>
        <v>6.5763785144856116E-4</v>
      </c>
      <c r="Q25"/>
      <c r="R25"/>
      <c r="S25"/>
    </row>
    <row r="26" spans="1:22" s="284" customFormat="1" ht="15.75">
      <c r="A26" s="275">
        <f t="shared" ref="A26:A29" si="1">A25+1</f>
        <v>6</v>
      </c>
      <c r="B26" s="294" t="s">
        <v>76</v>
      </c>
      <c r="C26" s="295">
        <f>C11</f>
        <v>93430122.180807099</v>
      </c>
      <c r="D26" s="296"/>
      <c r="E26" s="297">
        <f>C26/$C$29</f>
        <v>0.27570376576646849</v>
      </c>
      <c r="F26" s="296"/>
      <c r="G26" s="295">
        <f>E26*$G$29</f>
        <v>18906.347849770569</v>
      </c>
      <c r="H26" s="296"/>
      <c r="I26" s="296">
        <v>3772998.1161934799</v>
      </c>
      <c r="J26" s="298"/>
      <c r="K26" s="409">
        <f>G26/I26</f>
        <v>5.0109613807188683E-3</v>
      </c>
      <c r="N26"/>
      <c r="O26" s="293"/>
      <c r="P26" s="538">
        <f>K26/10</f>
        <v>5.0109613807188685E-4</v>
      </c>
      <c r="Q26"/>
      <c r="R26"/>
      <c r="S26"/>
    </row>
    <row r="27" spans="1:22" s="284" customFormat="1" ht="15.75">
      <c r="A27" s="275">
        <f t="shared" si="1"/>
        <v>7</v>
      </c>
      <c r="B27" s="294" t="s">
        <v>77</v>
      </c>
      <c r="C27" s="295">
        <f>C12</f>
        <v>12727108.7412044</v>
      </c>
      <c r="D27" s="296"/>
      <c r="E27" s="297">
        <f>C27/$C$29</f>
        <v>3.7556536643277669E-2</v>
      </c>
      <c r="F27" s="296"/>
      <c r="G27" s="295">
        <f>E27*$G$29</f>
        <v>2575.4343392317228</v>
      </c>
      <c r="H27" s="296"/>
      <c r="I27" s="296">
        <v>1285232.1894543527</v>
      </c>
      <c r="J27" s="298"/>
      <c r="K27" s="409">
        <f>G27/I27</f>
        <v>2.003866974671034E-3</v>
      </c>
      <c r="N27"/>
      <c r="O27" s="293"/>
      <c r="P27" s="538">
        <f>K27/10</f>
        <v>2.003866974671034E-4</v>
      </c>
      <c r="Q27"/>
      <c r="R27"/>
      <c r="S27"/>
    </row>
    <row r="28" spans="1:22" s="284" customFormat="1" ht="15.75" customHeight="1">
      <c r="A28" s="275">
        <f t="shared" si="1"/>
        <v>8</v>
      </c>
      <c r="B28" s="294" t="s">
        <v>405</v>
      </c>
      <c r="C28" s="406">
        <f>7926610.08878933+0</f>
        <v>7926610.0887893299</v>
      </c>
      <c r="D28" s="410"/>
      <c r="E28" s="297">
        <f>C28/$C$29</f>
        <v>2.3390703129045409E-2</v>
      </c>
      <c r="F28" s="410"/>
      <c r="G28" s="295">
        <f>E28*$G$29</f>
        <v>1604.0142526853888</v>
      </c>
      <c r="H28" s="410"/>
      <c r="I28" s="306">
        <v>6233208.6450796295</v>
      </c>
      <c r="J28" s="410"/>
      <c r="K28" s="409">
        <f>G28/I28</f>
        <v>2.5733363729955769E-4</v>
      </c>
      <c r="L28" s="407"/>
      <c r="N28"/>
      <c r="O28" s="408"/>
      <c r="P28" s="538">
        <f>K28/10</f>
        <v>2.5733363729955767E-5</v>
      </c>
      <c r="Q28"/>
      <c r="R28"/>
      <c r="S28"/>
    </row>
    <row r="29" spans="1:22" ht="15.75" customHeight="1" thickBot="1">
      <c r="A29" s="275">
        <f t="shared" si="1"/>
        <v>9</v>
      </c>
      <c r="B29" s="304" t="s">
        <v>4</v>
      </c>
      <c r="C29" s="411">
        <f>SUM(C25:C28)</f>
        <v>338878658.11722696</v>
      </c>
      <c r="D29" s="284"/>
      <c r="E29" s="412">
        <f>SUM(E25:E28)</f>
        <v>1</v>
      </c>
      <c r="F29" s="284"/>
      <c r="G29" s="411">
        <f>'Rev Req 2017-Trans'!AE31</f>
        <v>68574.862578355067</v>
      </c>
      <c r="H29" s="284"/>
      <c r="I29" s="413">
        <f>SUM(I25:I28)</f>
        <v>18208477.870623857</v>
      </c>
      <c r="J29" s="284"/>
      <c r="K29" s="284"/>
      <c r="L29" s="284"/>
      <c r="M29" s="284"/>
      <c r="N29" s="284"/>
      <c r="O29" s="222"/>
      <c r="Q29"/>
      <c r="R29"/>
      <c r="S29"/>
    </row>
    <row r="30" spans="1:22" s="284" customFormat="1" ht="16.5" thickTop="1">
      <c r="A30" s="275"/>
      <c r="B30" s="294"/>
      <c r="O30" s="222"/>
      <c r="P30" s="535"/>
      <c r="Q30"/>
      <c r="R30"/>
      <c r="S30"/>
    </row>
    <row r="31" spans="1:22" s="284" customFormat="1" ht="15.75">
      <c r="A31" s="275"/>
      <c r="B31" s="284" t="s">
        <v>411</v>
      </c>
      <c r="O31" s="222"/>
      <c r="P31" s="535"/>
      <c r="Q31"/>
      <c r="R31"/>
      <c r="S31"/>
    </row>
    <row r="32" spans="1:22" s="284" customFormat="1" ht="15.75">
      <c r="A32" s="275"/>
      <c r="B32" s="284" t="s">
        <v>410</v>
      </c>
      <c r="O32" s="300"/>
      <c r="P32" s="535"/>
      <c r="Q32"/>
      <c r="R32"/>
      <c r="S32"/>
    </row>
    <row r="33" spans="1:19" s="284" customFormat="1" ht="15.75">
      <c r="A33" s="275"/>
      <c r="B33" s="284" t="s">
        <v>428</v>
      </c>
      <c r="O33" s="300"/>
      <c r="P33" s="535"/>
      <c r="Q33"/>
      <c r="R33"/>
      <c r="S33"/>
    </row>
    <row r="34" spans="1:19" s="284" customFormat="1" ht="15.75">
      <c r="A34" s="275"/>
      <c r="B34" s="284" t="s">
        <v>429</v>
      </c>
      <c r="O34" s="300"/>
      <c r="P34" s="535"/>
      <c r="Q34"/>
      <c r="R34"/>
      <c r="S34"/>
    </row>
    <row r="35" spans="1:19" s="284" customFormat="1" ht="15.75">
      <c r="A35" s="275"/>
      <c r="B35" s="284" t="s">
        <v>430</v>
      </c>
      <c r="O35" s="300"/>
      <c r="P35" s="535"/>
      <c r="Q35"/>
      <c r="R35"/>
      <c r="S35"/>
    </row>
    <row r="36" spans="1:19" s="284" customFormat="1" ht="15.75">
      <c r="A36" s="275"/>
      <c r="O36" s="300"/>
      <c r="P36" s="535"/>
      <c r="Q36"/>
      <c r="R36"/>
      <c r="S36"/>
    </row>
    <row r="37" spans="1:19" s="284" customFormat="1" ht="60.75">
      <c r="A37" s="280" t="s">
        <v>83</v>
      </c>
      <c r="B37" s="280" t="s">
        <v>82</v>
      </c>
      <c r="C37" s="280" t="s">
        <v>406</v>
      </c>
      <c r="D37" s="281"/>
      <c r="E37" s="280" t="s">
        <v>79</v>
      </c>
      <c r="F37" s="281"/>
      <c r="G37" s="280" t="s">
        <v>253</v>
      </c>
      <c r="H37" s="281"/>
      <c r="I37" s="280" t="s">
        <v>80</v>
      </c>
      <c r="J37" s="282"/>
      <c r="K37" s="531" t="s">
        <v>438</v>
      </c>
      <c r="O37" s="300"/>
      <c r="P37" s="535"/>
      <c r="Q37"/>
      <c r="R37"/>
      <c r="S37"/>
    </row>
    <row r="38" spans="1:19" s="284" customFormat="1">
      <c r="A38" s="288" t="s">
        <v>342</v>
      </c>
      <c r="B38" s="288" t="s">
        <v>343</v>
      </c>
      <c r="C38" s="288" t="s">
        <v>344</v>
      </c>
      <c r="D38" s="281"/>
      <c r="E38" s="288" t="s">
        <v>345</v>
      </c>
      <c r="F38" s="281"/>
      <c r="G38" s="288" t="s">
        <v>346</v>
      </c>
      <c r="H38" s="281"/>
      <c r="I38" s="288" t="s">
        <v>347</v>
      </c>
      <c r="J38" s="282"/>
      <c r="K38" s="288" t="s">
        <v>348</v>
      </c>
      <c r="M38" s="285"/>
      <c r="N38" s="285"/>
      <c r="O38" s="222"/>
      <c r="P38" s="535"/>
      <c r="Q38"/>
      <c r="R38"/>
      <c r="S38"/>
    </row>
    <row r="39" spans="1:19" s="284" customFormat="1" ht="15.75">
      <c r="A39"/>
      <c r="L39"/>
      <c r="M39"/>
      <c r="N39"/>
      <c r="O39" s="222"/>
      <c r="P39" s="535"/>
      <c r="Q39"/>
      <c r="R39"/>
      <c r="S39"/>
    </row>
    <row r="40" spans="1:19" s="284" customFormat="1" ht="15.75">
      <c r="A40" s="275"/>
      <c r="B40" s="309" t="s">
        <v>439</v>
      </c>
      <c r="C40" s="310"/>
      <c r="D40" s="311"/>
      <c r="E40" s="312"/>
      <c r="F40" s="311"/>
      <c r="G40" s="312"/>
      <c r="H40" s="311"/>
      <c r="I40" s="292"/>
      <c r="J40" s="313"/>
      <c r="K40" s="292"/>
      <c r="O40" s="222"/>
      <c r="P40" s="535"/>
      <c r="Q40"/>
      <c r="R40"/>
      <c r="S40"/>
    </row>
    <row r="41" spans="1:19" s="284" customFormat="1" ht="15.75">
      <c r="A41" s="275">
        <f>A29+1</f>
        <v>10</v>
      </c>
      <c r="B41" s="314" t="s">
        <v>75</v>
      </c>
      <c r="C41" s="315">
        <f>C10</f>
        <v>224794817.10642615</v>
      </c>
      <c r="D41" s="316"/>
      <c r="E41" s="317">
        <f>C41/C46</f>
        <v>0.67923682130261442</v>
      </c>
      <c r="F41" s="316"/>
      <c r="G41" s="315">
        <f>E41*G$46</f>
        <v>498527.29139237897</v>
      </c>
      <c r="H41" s="316"/>
      <c r="I41" s="296">
        <v>3556511</v>
      </c>
      <c r="J41" s="298"/>
      <c r="K41" s="300">
        <f>G41/I41</f>
        <v>0.14017313355487412</v>
      </c>
      <c r="L41" s="286"/>
      <c r="M41" s="292"/>
      <c r="N41" s="292"/>
      <c r="O41" s="286"/>
      <c r="P41" s="535"/>
    </row>
    <row r="42" spans="1:19" s="286" customFormat="1" ht="15.75">
      <c r="A42" s="275">
        <f>A41+1</f>
        <v>11</v>
      </c>
      <c r="B42" s="314" t="s">
        <v>76</v>
      </c>
      <c r="C42" s="315">
        <f t="shared" ref="C42:C43" si="2">C11</f>
        <v>93430122.180807099</v>
      </c>
      <c r="D42" s="316"/>
      <c r="E42" s="317">
        <f>C42/C46</f>
        <v>0.28230712798846003</v>
      </c>
      <c r="F42" s="316"/>
      <c r="G42" s="315">
        <f>E42*G$46</f>
        <v>207199.90943209917</v>
      </c>
      <c r="H42" s="316"/>
      <c r="I42" s="296">
        <v>299360</v>
      </c>
      <c r="J42" s="298"/>
      <c r="K42" s="300">
        <f>G42/I42</f>
        <v>0.6921429363712559</v>
      </c>
      <c r="M42" s="300"/>
      <c r="N42" s="300"/>
      <c r="P42" s="539"/>
    </row>
    <row r="43" spans="1:19" s="286" customFormat="1" ht="15.75">
      <c r="A43" s="275">
        <f>A42+1</f>
        <v>12</v>
      </c>
      <c r="B43" s="314" t="s">
        <v>77</v>
      </c>
      <c r="C43" s="315">
        <f t="shared" si="2"/>
        <v>12727108.7412044</v>
      </c>
      <c r="D43" s="316"/>
      <c r="E43" s="317">
        <f>C43/C46</f>
        <v>3.8456050708925667E-2</v>
      </c>
      <c r="F43" s="316"/>
      <c r="G43" s="315">
        <f>E43*G$46</f>
        <v>28224.899175522503</v>
      </c>
      <c r="H43" s="316"/>
      <c r="I43" s="296">
        <v>3282</v>
      </c>
      <c r="J43" s="298"/>
      <c r="K43" s="300">
        <f>G43/I43</f>
        <v>8.5999083411098418</v>
      </c>
      <c r="M43" s="300"/>
      <c r="N43" s="300"/>
      <c r="P43" s="539"/>
    </row>
    <row r="44" spans="1:19" s="286" customFormat="1" ht="15.75">
      <c r="A44" s="275">
        <f>A43+1</f>
        <v>13</v>
      </c>
      <c r="B44" s="314" t="s">
        <v>78</v>
      </c>
      <c r="C44" s="315">
        <v>0</v>
      </c>
      <c r="D44" s="316"/>
      <c r="E44" s="317">
        <f>C44/C46</f>
        <v>0</v>
      </c>
      <c r="F44" s="316"/>
      <c r="G44" s="315">
        <f>E44*G$46</f>
        <v>0</v>
      </c>
      <c r="H44" s="316"/>
      <c r="I44" s="316">
        <v>0</v>
      </c>
      <c r="J44" s="298"/>
      <c r="K44" s="300">
        <v>0</v>
      </c>
      <c r="M44" s="300"/>
      <c r="N44" s="300"/>
      <c r="P44" s="539"/>
    </row>
    <row r="45" spans="1:19" s="286" customFormat="1" ht="15.75">
      <c r="A45" s="275">
        <f>A44+1</f>
        <v>14</v>
      </c>
      <c r="B45" s="314" t="s">
        <v>282</v>
      </c>
      <c r="C45" s="318">
        <v>0</v>
      </c>
      <c r="D45" s="316"/>
      <c r="E45" s="319">
        <f>C45/C46</f>
        <v>0</v>
      </c>
      <c r="F45" s="316"/>
      <c r="G45" s="320">
        <f>E45*G$46</f>
        <v>0</v>
      </c>
      <c r="H45" s="316"/>
      <c r="I45" s="321">
        <v>0</v>
      </c>
      <c r="J45" s="298"/>
      <c r="K45" s="300">
        <v>0</v>
      </c>
      <c r="M45" s="300"/>
      <c r="N45" s="300"/>
      <c r="P45" s="539"/>
    </row>
    <row r="46" spans="1:19" s="286" customFormat="1" ht="16.5" thickBot="1">
      <c r="A46" s="275">
        <f>A45+1</f>
        <v>15</v>
      </c>
      <c r="B46" s="322" t="s">
        <v>4</v>
      </c>
      <c r="C46" s="323">
        <f>SUM(C41:C44)</f>
        <v>330952048.02843761</v>
      </c>
      <c r="D46" s="324"/>
      <c r="E46" s="325">
        <f>SUM(E41:E44)</f>
        <v>1.0000000000000002</v>
      </c>
      <c r="F46" s="324"/>
      <c r="G46" s="326">
        <v>733952.10000000056</v>
      </c>
      <c r="H46" s="324"/>
      <c r="I46" s="327">
        <f>SUM(I41:I45)</f>
        <v>3859153</v>
      </c>
      <c r="J46" s="324"/>
      <c r="K46" s="324"/>
      <c r="M46" s="300"/>
      <c r="N46" s="300"/>
      <c r="P46" s="539"/>
    </row>
    <row r="47" spans="1:19" s="286" customFormat="1" ht="16.5" thickTop="1">
      <c r="A47" s="328"/>
      <c r="E47" s="329"/>
      <c r="G47" s="330"/>
      <c r="P47" s="539"/>
    </row>
    <row r="48" spans="1:19" s="286" customFormat="1" ht="15.75">
      <c r="A48" s="328"/>
      <c r="B48" s="284" t="s">
        <v>411</v>
      </c>
      <c r="P48" s="539"/>
    </row>
    <row r="49" spans="2:2">
      <c r="B49" s="284" t="s">
        <v>410</v>
      </c>
    </row>
    <row r="50" spans="2:2">
      <c r="B50" s="284" t="s">
        <v>428</v>
      </c>
    </row>
    <row r="51" spans="2:2">
      <c r="B51" s="284" t="s">
        <v>429</v>
      </c>
    </row>
  </sheetData>
  <mergeCells count="3">
    <mergeCell ref="A1:M1"/>
    <mergeCell ref="A3:M3"/>
    <mergeCell ref="A2:M2"/>
  </mergeCells>
  <printOptions horizontalCentered="1"/>
  <pageMargins left="0" right="0" top="0.5" bottom="0.75" header="0.3" footer="0.3"/>
  <pageSetup scale="51" orientation="landscape" r:id="rId1"/>
  <headerFooter scaleWithDoc="0" alignWithMargins="0">
    <oddFooter xml:space="preserve">&amp;R&amp;"Times New Roman,Bold"&amp;12Attachment to PSC Post Hearing Data Request Question No. 3
Revised Exhibit RMC-1
Page 1 of 12 </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workbookViewId="0"/>
  </sheetViews>
  <sheetFormatPr defaultRowHeight="15"/>
  <cols>
    <col min="1" max="1" width="38.85546875" style="202" customWidth="1"/>
    <col min="2" max="15" width="9.140625" style="202"/>
    <col min="16" max="16" width="16.140625" style="202" customWidth="1"/>
    <col min="17" max="16384" width="9.140625" style="202"/>
  </cols>
  <sheetData>
    <row r="1" spans="1:16">
      <c r="A1" s="201">
        <v>2013</v>
      </c>
    </row>
    <row r="3" spans="1:16">
      <c r="A3" s="203" t="s">
        <v>258</v>
      </c>
      <c r="B3" s="203" t="s">
        <v>229</v>
      </c>
      <c r="C3" s="203" t="s">
        <v>231</v>
      </c>
      <c r="D3" s="203" t="s">
        <v>164</v>
      </c>
      <c r="E3" s="203" t="s">
        <v>165</v>
      </c>
      <c r="F3" s="203" t="s">
        <v>166</v>
      </c>
      <c r="G3" s="203" t="s">
        <v>167</v>
      </c>
      <c r="H3" s="203" t="s">
        <v>168</v>
      </c>
      <c r="I3" s="203" t="s">
        <v>184</v>
      </c>
      <c r="J3" s="203" t="s">
        <v>185</v>
      </c>
      <c r="K3" s="203" t="s">
        <v>171</v>
      </c>
      <c r="L3" s="203" t="s">
        <v>196</v>
      </c>
      <c r="M3" s="203" t="s">
        <v>173</v>
      </c>
      <c r="N3" s="203" t="s">
        <v>174</v>
      </c>
      <c r="O3" s="203" t="s">
        <v>175</v>
      </c>
      <c r="P3" s="203" t="s">
        <v>273</v>
      </c>
    </row>
    <row r="4" spans="1:16">
      <c r="A4" s="204" t="s">
        <v>209</v>
      </c>
      <c r="B4" s="205" t="s">
        <v>208</v>
      </c>
      <c r="C4" s="204"/>
      <c r="D4" s="206">
        <v>450394.02</v>
      </c>
      <c r="E4" s="206">
        <v>450394.19000000006</v>
      </c>
      <c r="F4" s="206">
        <v>450394.19000000006</v>
      </c>
      <c r="G4" s="206">
        <v>452875.19000000006</v>
      </c>
      <c r="H4" s="206">
        <v>452875.19000000006</v>
      </c>
      <c r="I4" s="206">
        <v>452875.19000000006</v>
      </c>
      <c r="J4" s="206">
        <v>451717.19000000006</v>
      </c>
      <c r="K4" s="206">
        <v>451717.19000000006</v>
      </c>
      <c r="L4" s="206">
        <v>451717.19000000006</v>
      </c>
      <c r="M4" s="206">
        <v>451717.19000000006</v>
      </c>
      <c r="N4" s="206">
        <v>451717.19000000006</v>
      </c>
      <c r="O4" s="206">
        <v>451717.19000000006</v>
      </c>
      <c r="P4" s="206">
        <v>5420111.1099999994</v>
      </c>
    </row>
    <row r="5" spans="1:16">
      <c r="A5" s="204" t="s">
        <v>212</v>
      </c>
      <c r="B5" s="205" t="s">
        <v>211</v>
      </c>
      <c r="C5" s="204"/>
      <c r="D5" s="206">
        <v>952647.16999999993</v>
      </c>
      <c r="E5" s="206">
        <v>952686.62</v>
      </c>
      <c r="F5" s="206">
        <v>953805.25</v>
      </c>
      <c r="G5" s="206">
        <v>953805.25</v>
      </c>
      <c r="H5" s="206">
        <v>953805.25</v>
      </c>
      <c r="I5" s="206">
        <v>953805.25</v>
      </c>
      <c r="J5" s="206">
        <v>953805.25</v>
      </c>
      <c r="K5" s="206">
        <v>952647.25</v>
      </c>
      <c r="L5" s="206">
        <v>952647.25</v>
      </c>
      <c r="M5" s="206">
        <v>951489.25</v>
      </c>
      <c r="N5" s="206">
        <v>951489.25</v>
      </c>
      <c r="O5" s="206">
        <v>951489.25</v>
      </c>
      <c r="P5" s="206">
        <v>11434122.289999999</v>
      </c>
    </row>
    <row r="6" spans="1:16">
      <c r="A6" s="204" t="s">
        <v>214</v>
      </c>
      <c r="B6" s="205" t="s">
        <v>213</v>
      </c>
      <c r="C6" s="204"/>
      <c r="D6" s="206">
        <v>376350.02</v>
      </c>
      <c r="E6" s="206">
        <v>376349.97</v>
      </c>
      <c r="F6" s="206">
        <v>376349.97</v>
      </c>
      <c r="G6" s="206">
        <v>376349.97</v>
      </c>
      <c r="H6" s="206">
        <v>376349.97</v>
      </c>
      <c r="I6" s="206">
        <v>377507.97</v>
      </c>
      <c r="J6" s="206">
        <v>377507.97</v>
      </c>
      <c r="K6" s="206">
        <v>377507.97</v>
      </c>
      <c r="L6" s="206">
        <v>377507.97</v>
      </c>
      <c r="M6" s="206">
        <v>375191.97</v>
      </c>
      <c r="N6" s="206">
        <v>375191.97</v>
      </c>
      <c r="O6" s="206">
        <v>375191.97</v>
      </c>
      <c r="P6" s="206">
        <v>4517357.6899999995</v>
      </c>
    </row>
    <row r="7" spans="1:16">
      <c r="A7" s="204" t="s">
        <v>216</v>
      </c>
      <c r="B7" s="205" t="s">
        <v>215</v>
      </c>
      <c r="C7" s="204"/>
      <c r="D7" s="206">
        <v>186752.87</v>
      </c>
      <c r="E7" s="206">
        <v>154395.89000000001</v>
      </c>
      <c r="F7" s="206">
        <v>174612.66</v>
      </c>
      <c r="G7" s="206">
        <v>176334.96000000002</v>
      </c>
      <c r="H7" s="206">
        <v>190549.80000000002</v>
      </c>
      <c r="I7" s="206">
        <v>159667.78</v>
      </c>
      <c r="J7" s="206">
        <v>197298.55</v>
      </c>
      <c r="K7" s="206">
        <v>191554.72</v>
      </c>
      <c r="L7" s="206">
        <v>155417.53999999998</v>
      </c>
      <c r="M7" s="206">
        <v>198668.47000000003</v>
      </c>
      <c r="N7" s="206">
        <v>156923.81</v>
      </c>
      <c r="O7" s="206">
        <v>153221.13</v>
      </c>
      <c r="P7" s="206">
        <v>2095398.1800000002</v>
      </c>
    </row>
    <row r="8" spans="1:16">
      <c r="D8" s="209"/>
      <c r="E8" s="209"/>
      <c r="F8" s="209"/>
      <c r="G8" s="209"/>
      <c r="H8" s="209"/>
      <c r="I8" s="209"/>
      <c r="J8" s="209"/>
      <c r="K8" s="209"/>
      <c r="L8" s="209"/>
      <c r="M8" s="209"/>
      <c r="N8" s="209"/>
      <c r="O8" s="209"/>
      <c r="P8" s="209"/>
    </row>
    <row r="9" spans="1:16">
      <c r="A9" s="207" t="s">
        <v>270</v>
      </c>
      <c r="D9" s="208">
        <f t="shared" ref="D9:P9" si="0">SUM(D4:D7)</f>
        <v>1966144.08</v>
      </c>
      <c r="E9" s="208">
        <f t="shared" si="0"/>
        <v>1933826.67</v>
      </c>
      <c r="F9" s="208">
        <f t="shared" si="0"/>
        <v>1955162.0699999998</v>
      </c>
      <c r="G9" s="208">
        <f t="shared" si="0"/>
        <v>1959365.3699999999</v>
      </c>
      <c r="H9" s="208">
        <f t="shared" si="0"/>
        <v>1973580.21</v>
      </c>
      <c r="I9" s="208">
        <f t="shared" si="0"/>
        <v>1943856.19</v>
      </c>
      <c r="J9" s="208">
        <f t="shared" si="0"/>
        <v>1980328.96</v>
      </c>
      <c r="K9" s="208">
        <f t="shared" si="0"/>
        <v>1973427.13</v>
      </c>
      <c r="L9" s="208">
        <f t="shared" si="0"/>
        <v>1937289.95</v>
      </c>
      <c r="M9" s="208">
        <f t="shared" si="0"/>
        <v>1977066.88</v>
      </c>
      <c r="N9" s="208">
        <f t="shared" si="0"/>
        <v>1935322.22</v>
      </c>
      <c r="O9" s="208">
        <f t="shared" si="0"/>
        <v>1931619.54</v>
      </c>
      <c r="P9" s="208">
        <f t="shared" si="0"/>
        <v>23466989.269999996</v>
      </c>
    </row>
    <row r="10" spans="1:16">
      <c r="D10" s="209"/>
      <c r="E10" s="209"/>
      <c r="F10" s="209"/>
      <c r="G10" s="209"/>
      <c r="H10" s="209"/>
      <c r="I10" s="209"/>
      <c r="J10" s="209"/>
      <c r="K10" s="209"/>
      <c r="L10" s="209"/>
      <c r="M10" s="209"/>
      <c r="N10" s="209"/>
      <c r="O10" s="209"/>
      <c r="P10" s="209"/>
    </row>
    <row r="11" spans="1:16">
      <c r="D11" s="209"/>
      <c r="E11" s="209"/>
      <c r="F11" s="209"/>
      <c r="G11" s="209"/>
      <c r="H11" s="209"/>
      <c r="I11" s="209"/>
      <c r="J11" s="209"/>
      <c r="K11" s="209"/>
      <c r="L11" s="209"/>
      <c r="M11" s="209"/>
      <c r="N11" s="209"/>
      <c r="O11" s="209"/>
      <c r="P11" s="209"/>
    </row>
    <row r="12" spans="1:16">
      <c r="A12" s="201" t="s">
        <v>91</v>
      </c>
      <c r="D12" s="210">
        <f>+D13/D4</f>
        <v>3.3424067220075432E-2</v>
      </c>
      <c r="E12" s="210">
        <f t="shared" ref="E12:O12" si="1">+E13/E4</f>
        <v>3.3424054604256771E-2</v>
      </c>
      <c r="F12" s="210">
        <f t="shared" si="1"/>
        <v>3.3424054604256771E-2</v>
      </c>
      <c r="G12" s="210">
        <f t="shared" si="1"/>
        <v>3.5797942475055869E-2</v>
      </c>
      <c r="H12" s="210">
        <f t="shared" si="1"/>
        <v>3.5797942475055869E-2</v>
      </c>
      <c r="I12" s="210">
        <f t="shared" si="1"/>
        <v>3.5797942475055869E-2</v>
      </c>
      <c r="J12" s="210">
        <f t="shared" si="1"/>
        <v>3.3326161441852582E-2</v>
      </c>
      <c r="K12" s="210">
        <f t="shared" si="1"/>
        <v>3.3326161441852582E-2</v>
      </c>
      <c r="L12" s="210">
        <f t="shared" si="1"/>
        <v>3.3326161441852582E-2</v>
      </c>
      <c r="M12" s="210">
        <f t="shared" si="1"/>
        <v>3.3326161441852582E-2</v>
      </c>
      <c r="N12" s="210">
        <f t="shared" si="1"/>
        <v>3.3326161441852582E-2</v>
      </c>
      <c r="O12" s="210">
        <f t="shared" si="1"/>
        <v>3.3326161441852582E-2</v>
      </c>
      <c r="P12" s="209"/>
    </row>
    <row r="13" spans="1:16">
      <c r="A13" s="204" t="s">
        <v>209</v>
      </c>
      <c r="B13" s="205" t="s">
        <v>208</v>
      </c>
      <c r="C13" s="204"/>
      <c r="D13" s="206">
        <v>15054</v>
      </c>
      <c r="E13" s="206">
        <v>15054</v>
      </c>
      <c r="F13" s="206">
        <v>15054</v>
      </c>
      <c r="G13" s="206">
        <v>16212</v>
      </c>
      <c r="H13" s="206">
        <v>16212</v>
      </c>
      <c r="I13" s="206">
        <v>16212</v>
      </c>
      <c r="J13" s="206">
        <v>15054</v>
      </c>
      <c r="K13" s="206">
        <v>15054</v>
      </c>
      <c r="L13" s="206">
        <v>15054</v>
      </c>
      <c r="M13" s="206">
        <v>15054</v>
      </c>
      <c r="N13" s="206">
        <v>15054</v>
      </c>
      <c r="O13" s="206">
        <v>15054</v>
      </c>
      <c r="P13" s="206">
        <v>184122</v>
      </c>
    </row>
    <row r="14" spans="1:16">
      <c r="A14" s="204" t="s">
        <v>212</v>
      </c>
      <c r="B14" s="205" t="s">
        <v>211</v>
      </c>
      <c r="C14" s="204"/>
      <c r="D14" s="206">
        <v>67164</v>
      </c>
      <c r="E14" s="206">
        <v>67164</v>
      </c>
      <c r="F14" s="206">
        <v>67164</v>
      </c>
      <c r="G14" s="206">
        <v>67164</v>
      </c>
      <c r="H14" s="206">
        <v>67164</v>
      </c>
      <c r="I14" s="206">
        <v>67164</v>
      </c>
      <c r="J14" s="206">
        <v>67164</v>
      </c>
      <c r="K14" s="206">
        <v>66006</v>
      </c>
      <c r="L14" s="206">
        <v>66006</v>
      </c>
      <c r="M14" s="206">
        <v>66006</v>
      </c>
      <c r="N14" s="206">
        <v>66006</v>
      </c>
      <c r="O14" s="206">
        <v>66006</v>
      </c>
      <c r="P14" s="206">
        <v>800178</v>
      </c>
    </row>
    <row r="15" spans="1:16">
      <c r="A15" s="204" t="s">
        <v>214</v>
      </c>
      <c r="B15" s="205" t="s">
        <v>213</v>
      </c>
      <c r="C15" s="204"/>
      <c r="D15" s="206">
        <v>26634</v>
      </c>
      <c r="E15" s="206">
        <v>26634</v>
      </c>
      <c r="F15" s="206">
        <v>26634</v>
      </c>
      <c r="G15" s="206">
        <v>26634</v>
      </c>
      <c r="H15" s="206">
        <v>26634</v>
      </c>
      <c r="I15" s="206">
        <v>26634</v>
      </c>
      <c r="J15" s="206">
        <v>26634</v>
      </c>
      <c r="K15" s="206">
        <v>26634</v>
      </c>
      <c r="L15" s="206">
        <v>26634</v>
      </c>
      <c r="M15" s="206">
        <v>25476</v>
      </c>
      <c r="N15" s="206">
        <v>25476</v>
      </c>
      <c r="O15" s="206">
        <v>25476</v>
      </c>
      <c r="P15" s="206">
        <v>316134</v>
      </c>
    </row>
    <row r="16" spans="1:16">
      <c r="A16" s="204" t="s">
        <v>216</v>
      </c>
      <c r="B16" s="205" t="s">
        <v>215</v>
      </c>
      <c r="C16" s="204"/>
      <c r="D16" s="206">
        <v>41927.160000000003</v>
      </c>
      <c r="E16" s="206">
        <v>24255.07</v>
      </c>
      <c r="F16" s="206">
        <v>38270.639999999999</v>
      </c>
      <c r="G16" s="206">
        <v>35772.14</v>
      </c>
      <c r="H16" s="206">
        <v>43085.16</v>
      </c>
      <c r="I16" s="206">
        <v>23097.07</v>
      </c>
      <c r="J16" s="206">
        <v>34249.120000000003</v>
      </c>
      <c r="K16" s="206">
        <v>48082.19</v>
      </c>
      <c r="L16" s="206">
        <v>29252.09</v>
      </c>
      <c r="M16" s="206">
        <v>53079.21</v>
      </c>
      <c r="N16" s="206">
        <v>18100.04</v>
      </c>
      <c r="O16" s="206">
        <v>25778.09</v>
      </c>
      <c r="P16" s="206">
        <v>414947.98</v>
      </c>
    </row>
    <row r="17" spans="1:16" s="201" customFormat="1">
      <c r="A17" s="207" t="s">
        <v>271</v>
      </c>
      <c r="D17" s="208">
        <f>SUM(D13:D16)</f>
        <v>150779.16</v>
      </c>
      <c r="E17" s="208">
        <f t="shared" ref="E17:P17" si="2">SUM(E13:E16)</f>
        <v>133107.07</v>
      </c>
      <c r="F17" s="208">
        <f t="shared" si="2"/>
        <v>147122.64000000001</v>
      </c>
      <c r="G17" s="208">
        <f t="shared" si="2"/>
        <v>145782.14000000001</v>
      </c>
      <c r="H17" s="208">
        <f t="shared" si="2"/>
        <v>153095.16</v>
      </c>
      <c r="I17" s="208">
        <f t="shared" si="2"/>
        <v>133107.07</v>
      </c>
      <c r="J17" s="208">
        <f t="shared" si="2"/>
        <v>143101.12</v>
      </c>
      <c r="K17" s="208">
        <f t="shared" si="2"/>
        <v>155776.19</v>
      </c>
      <c r="L17" s="208">
        <f t="shared" si="2"/>
        <v>136946.09</v>
      </c>
      <c r="M17" s="208">
        <f t="shared" si="2"/>
        <v>159615.21</v>
      </c>
      <c r="N17" s="208">
        <f t="shared" si="2"/>
        <v>124636.04000000001</v>
      </c>
      <c r="O17" s="208">
        <f t="shared" si="2"/>
        <v>132314.09</v>
      </c>
      <c r="P17" s="208">
        <f t="shared" si="2"/>
        <v>1715381.98</v>
      </c>
    </row>
    <row r="18" spans="1:16">
      <c r="D18" s="209"/>
      <c r="E18" s="209"/>
      <c r="F18" s="209"/>
      <c r="G18" s="209"/>
      <c r="H18" s="209"/>
      <c r="I18" s="209"/>
      <c r="J18" s="209"/>
      <c r="K18" s="209"/>
      <c r="L18" s="209"/>
      <c r="M18" s="209"/>
      <c r="N18" s="209"/>
      <c r="O18" s="209"/>
      <c r="P18" s="209"/>
    </row>
    <row r="19" spans="1:16">
      <c r="A19" s="207" t="s">
        <v>272</v>
      </c>
      <c r="D19" s="209"/>
      <c r="E19" s="209"/>
      <c r="F19" s="209"/>
      <c r="G19" s="209"/>
      <c r="H19" s="209"/>
      <c r="I19" s="209"/>
      <c r="J19" s="209"/>
      <c r="K19" s="209"/>
      <c r="L19" s="209"/>
      <c r="M19" s="209"/>
      <c r="N19" s="209"/>
      <c r="O19" s="209"/>
      <c r="P19" s="209"/>
    </row>
    <row r="20" spans="1:16">
      <c r="A20" s="204" t="s">
        <v>209</v>
      </c>
      <c r="B20" s="205" t="s">
        <v>208</v>
      </c>
      <c r="C20" s="204"/>
      <c r="D20" s="206">
        <f t="shared" ref="D20:O23" si="3">+D4-D13</f>
        <v>435340.02</v>
      </c>
      <c r="E20" s="206">
        <f t="shared" si="3"/>
        <v>435340.19000000006</v>
      </c>
      <c r="F20" s="206">
        <f t="shared" si="3"/>
        <v>435340.19000000006</v>
      </c>
      <c r="G20" s="206">
        <f t="shared" si="3"/>
        <v>436663.19000000006</v>
      </c>
      <c r="H20" s="206">
        <f t="shared" si="3"/>
        <v>436663.19000000006</v>
      </c>
      <c r="I20" s="206">
        <f t="shared" si="3"/>
        <v>436663.19000000006</v>
      </c>
      <c r="J20" s="206">
        <f t="shared" si="3"/>
        <v>436663.19000000006</v>
      </c>
      <c r="K20" s="206">
        <f t="shared" si="3"/>
        <v>436663.19000000006</v>
      </c>
      <c r="L20" s="206">
        <f t="shared" si="3"/>
        <v>436663.19000000006</v>
      </c>
      <c r="M20" s="206">
        <f t="shared" si="3"/>
        <v>436663.19000000006</v>
      </c>
      <c r="N20" s="206">
        <f t="shared" si="3"/>
        <v>436663.19000000006</v>
      </c>
      <c r="O20" s="206">
        <f t="shared" si="3"/>
        <v>436663.19000000006</v>
      </c>
      <c r="P20" s="206">
        <f>SUM(D20:O20)</f>
        <v>5235989.1100000013</v>
      </c>
    </row>
    <row r="21" spans="1:16">
      <c r="A21" s="204" t="s">
        <v>212</v>
      </c>
      <c r="B21" s="205" t="s">
        <v>211</v>
      </c>
      <c r="C21" s="204"/>
      <c r="D21" s="206">
        <f t="shared" si="3"/>
        <v>885483.16999999993</v>
      </c>
      <c r="E21" s="206">
        <f t="shared" si="3"/>
        <v>885522.62</v>
      </c>
      <c r="F21" s="206">
        <f t="shared" si="3"/>
        <v>886641.25</v>
      </c>
      <c r="G21" s="206">
        <f t="shared" si="3"/>
        <v>886641.25</v>
      </c>
      <c r="H21" s="206">
        <f t="shared" si="3"/>
        <v>886641.25</v>
      </c>
      <c r="I21" s="206">
        <f t="shared" si="3"/>
        <v>886641.25</v>
      </c>
      <c r="J21" s="206">
        <f t="shared" si="3"/>
        <v>886641.25</v>
      </c>
      <c r="K21" s="206">
        <f t="shared" si="3"/>
        <v>886641.25</v>
      </c>
      <c r="L21" s="206">
        <f t="shared" si="3"/>
        <v>886641.25</v>
      </c>
      <c r="M21" s="206">
        <f t="shared" si="3"/>
        <v>885483.25</v>
      </c>
      <c r="N21" s="206">
        <f t="shared" si="3"/>
        <v>885483.25</v>
      </c>
      <c r="O21" s="206">
        <f t="shared" si="3"/>
        <v>885483.25</v>
      </c>
      <c r="P21" s="206">
        <f>SUM(D21:O21)</f>
        <v>10633944.289999999</v>
      </c>
    </row>
    <row r="22" spans="1:16">
      <c r="A22" s="204" t="s">
        <v>214</v>
      </c>
      <c r="B22" s="205" t="s">
        <v>213</v>
      </c>
      <c r="C22" s="204"/>
      <c r="D22" s="206">
        <f t="shared" si="3"/>
        <v>349716.02</v>
      </c>
      <c r="E22" s="206">
        <f t="shared" si="3"/>
        <v>349715.97</v>
      </c>
      <c r="F22" s="206">
        <f t="shared" si="3"/>
        <v>349715.97</v>
      </c>
      <c r="G22" s="206">
        <f t="shared" si="3"/>
        <v>349715.97</v>
      </c>
      <c r="H22" s="206">
        <f t="shared" si="3"/>
        <v>349715.97</v>
      </c>
      <c r="I22" s="206">
        <f t="shared" si="3"/>
        <v>350873.97</v>
      </c>
      <c r="J22" s="206">
        <f t="shared" si="3"/>
        <v>350873.97</v>
      </c>
      <c r="K22" s="206">
        <f t="shared" si="3"/>
        <v>350873.97</v>
      </c>
      <c r="L22" s="206">
        <f t="shared" si="3"/>
        <v>350873.97</v>
      </c>
      <c r="M22" s="206">
        <f t="shared" si="3"/>
        <v>349715.97</v>
      </c>
      <c r="N22" s="206">
        <f t="shared" si="3"/>
        <v>349715.97</v>
      </c>
      <c r="O22" s="206">
        <f t="shared" si="3"/>
        <v>349715.97</v>
      </c>
      <c r="P22" s="206">
        <f>SUM(D22:O22)</f>
        <v>4201223.6899999985</v>
      </c>
    </row>
    <row r="23" spans="1:16">
      <c r="A23" s="204" t="s">
        <v>216</v>
      </c>
      <c r="B23" s="205" t="s">
        <v>215</v>
      </c>
      <c r="C23" s="204"/>
      <c r="D23" s="206">
        <f t="shared" si="3"/>
        <v>144825.71</v>
      </c>
      <c r="E23" s="206">
        <f t="shared" si="3"/>
        <v>130140.82</v>
      </c>
      <c r="F23" s="206">
        <f t="shared" si="3"/>
        <v>136342.02000000002</v>
      </c>
      <c r="G23" s="206">
        <f t="shared" si="3"/>
        <v>140562.82</v>
      </c>
      <c r="H23" s="206">
        <f t="shared" si="3"/>
        <v>147464.64000000001</v>
      </c>
      <c r="I23" s="206">
        <f t="shared" si="3"/>
        <v>136570.71</v>
      </c>
      <c r="J23" s="206">
        <f t="shared" si="3"/>
        <v>163049.43</v>
      </c>
      <c r="K23" s="206">
        <f t="shared" si="3"/>
        <v>143472.53</v>
      </c>
      <c r="L23" s="206">
        <f t="shared" si="3"/>
        <v>126165.44999999998</v>
      </c>
      <c r="M23" s="206">
        <f t="shared" si="3"/>
        <v>145589.26000000004</v>
      </c>
      <c r="N23" s="206">
        <f t="shared" si="3"/>
        <v>138823.76999999999</v>
      </c>
      <c r="O23" s="206">
        <f t="shared" si="3"/>
        <v>127443.04000000001</v>
      </c>
      <c r="P23" s="206">
        <f>SUM(D23:O23)</f>
        <v>1680450.2000000002</v>
      </c>
    </row>
    <row r="24" spans="1:16" s="201" customFormat="1">
      <c r="A24" s="207" t="s">
        <v>219</v>
      </c>
      <c r="D24" s="208">
        <f>SUM(D20:D23)</f>
        <v>1815364.92</v>
      </c>
      <c r="E24" s="208">
        <f t="shared" ref="E24:P24" si="4">SUM(E20:E23)</f>
        <v>1800719.6</v>
      </c>
      <c r="F24" s="208">
        <f t="shared" si="4"/>
        <v>1808039.43</v>
      </c>
      <c r="G24" s="208">
        <f t="shared" si="4"/>
        <v>1813583.23</v>
      </c>
      <c r="H24" s="208">
        <f t="shared" si="4"/>
        <v>1820485.0499999998</v>
      </c>
      <c r="I24" s="208">
        <f t="shared" si="4"/>
        <v>1810749.1199999999</v>
      </c>
      <c r="J24" s="208">
        <f t="shared" si="4"/>
        <v>1837227.8399999999</v>
      </c>
      <c r="K24" s="208">
        <f t="shared" si="4"/>
        <v>1817650.94</v>
      </c>
      <c r="L24" s="208">
        <f t="shared" si="4"/>
        <v>1800343.8599999999</v>
      </c>
      <c r="M24" s="208">
        <f t="shared" si="4"/>
        <v>1817451.67</v>
      </c>
      <c r="N24" s="208">
        <f t="shared" si="4"/>
        <v>1810686.18</v>
      </c>
      <c r="O24" s="208">
        <f t="shared" si="4"/>
        <v>1799305.45</v>
      </c>
      <c r="P24" s="208">
        <f t="shared" si="4"/>
        <v>21751607.289999999</v>
      </c>
    </row>
    <row r="28" spans="1:16">
      <c r="A28" s="201">
        <v>2014</v>
      </c>
    </row>
    <row r="30" spans="1:16">
      <c r="A30" s="203" t="s">
        <v>258</v>
      </c>
      <c r="B30" s="203" t="s">
        <v>229</v>
      </c>
      <c r="C30" s="203" t="s">
        <v>231</v>
      </c>
      <c r="D30" s="203" t="s">
        <v>164</v>
      </c>
      <c r="E30" s="203" t="s">
        <v>165</v>
      </c>
      <c r="F30" s="203" t="s">
        <v>166</v>
      </c>
      <c r="G30" s="203" t="s">
        <v>167</v>
      </c>
      <c r="H30" s="203" t="s">
        <v>168</v>
      </c>
      <c r="I30" s="203" t="s">
        <v>184</v>
      </c>
      <c r="J30" s="203" t="s">
        <v>185</v>
      </c>
      <c r="K30" s="203" t="s">
        <v>171</v>
      </c>
      <c r="L30" s="203" t="s">
        <v>196</v>
      </c>
      <c r="M30" s="203" t="s">
        <v>173</v>
      </c>
      <c r="N30" s="203" t="s">
        <v>174</v>
      </c>
      <c r="O30" s="203" t="s">
        <v>175</v>
      </c>
      <c r="P30" s="211" t="s">
        <v>222</v>
      </c>
    </row>
    <row r="31" spans="1:16">
      <c r="A31" s="204" t="s">
        <v>209</v>
      </c>
      <c r="B31" s="205" t="s">
        <v>208</v>
      </c>
      <c r="C31" s="204"/>
      <c r="D31" s="206">
        <f t="shared" ref="D31:P34" si="5">+D40+D47</f>
        <v>490316.21333333338</v>
      </c>
      <c r="E31" s="206">
        <f t="shared" si="5"/>
        <v>490316.21333333338</v>
      </c>
      <c r="F31" s="206">
        <f t="shared" si="5"/>
        <v>490316.21333333338</v>
      </c>
      <c r="G31" s="206">
        <f t="shared" si="5"/>
        <v>490316.21333333338</v>
      </c>
      <c r="H31" s="206">
        <f t="shared" si="5"/>
        <v>490316.21333333338</v>
      </c>
      <c r="I31" s="206">
        <f t="shared" si="5"/>
        <v>490316.21333333338</v>
      </c>
      <c r="J31" s="206">
        <f t="shared" si="5"/>
        <v>490316.21333333338</v>
      </c>
      <c r="K31" s="206">
        <f t="shared" si="5"/>
        <v>490316.21333333338</v>
      </c>
      <c r="L31" s="206">
        <f t="shared" si="5"/>
        <v>490316.21333333338</v>
      </c>
      <c r="M31" s="206">
        <f t="shared" si="5"/>
        <v>490316.21333333338</v>
      </c>
      <c r="N31" s="206">
        <f t="shared" si="5"/>
        <v>490316.21333333338</v>
      </c>
      <c r="O31" s="206">
        <f t="shared" si="5"/>
        <v>490316.21333333338</v>
      </c>
      <c r="P31" s="206">
        <f t="shared" si="5"/>
        <v>5883794.5600000005</v>
      </c>
    </row>
    <row r="32" spans="1:16">
      <c r="A32" s="204" t="s">
        <v>212</v>
      </c>
      <c r="B32" s="205" t="s">
        <v>211</v>
      </c>
      <c r="C32" s="204"/>
      <c r="D32" s="206">
        <f t="shared" si="5"/>
        <v>980633.02</v>
      </c>
      <c r="E32" s="206">
        <f t="shared" si="5"/>
        <v>980633.02</v>
      </c>
      <c r="F32" s="206">
        <f t="shared" si="5"/>
        <v>980633.02</v>
      </c>
      <c r="G32" s="206">
        <f t="shared" si="5"/>
        <v>980633.02</v>
      </c>
      <c r="H32" s="206">
        <f t="shared" si="5"/>
        <v>980633.02</v>
      </c>
      <c r="I32" s="206">
        <f t="shared" si="5"/>
        <v>980633.02</v>
      </c>
      <c r="J32" s="206">
        <f t="shared" si="5"/>
        <v>980633.02</v>
      </c>
      <c r="K32" s="206">
        <f t="shared" si="5"/>
        <v>980633.02</v>
      </c>
      <c r="L32" s="206">
        <f t="shared" si="5"/>
        <v>980633.02</v>
      </c>
      <c r="M32" s="206">
        <f t="shared" si="5"/>
        <v>980633.02</v>
      </c>
      <c r="N32" s="206">
        <f t="shared" si="5"/>
        <v>980633.02</v>
      </c>
      <c r="O32" s="206">
        <f t="shared" si="5"/>
        <v>980633.02</v>
      </c>
      <c r="P32" s="206">
        <f t="shared" si="5"/>
        <v>11767596.24</v>
      </c>
    </row>
    <row r="33" spans="1:16">
      <c r="A33" s="204" t="s">
        <v>214</v>
      </c>
      <c r="B33" s="205" t="s">
        <v>213</v>
      </c>
      <c r="C33" s="204"/>
      <c r="D33" s="206">
        <f t="shared" si="5"/>
        <v>395263.99416666664</v>
      </c>
      <c r="E33" s="206">
        <f t="shared" si="5"/>
        <v>395263.99416666664</v>
      </c>
      <c r="F33" s="206">
        <f t="shared" si="5"/>
        <v>395263.99416666664</v>
      </c>
      <c r="G33" s="206">
        <f t="shared" si="5"/>
        <v>395263.99416666664</v>
      </c>
      <c r="H33" s="206">
        <f t="shared" si="5"/>
        <v>395263.99416666664</v>
      </c>
      <c r="I33" s="206">
        <f t="shared" si="5"/>
        <v>395263.99416666664</v>
      </c>
      <c r="J33" s="206">
        <f t="shared" si="5"/>
        <v>395263.99416666664</v>
      </c>
      <c r="K33" s="206">
        <f t="shared" si="5"/>
        <v>395263.99416666664</v>
      </c>
      <c r="L33" s="206">
        <f t="shared" si="5"/>
        <v>395263.99416666664</v>
      </c>
      <c r="M33" s="206">
        <f t="shared" si="5"/>
        <v>395263.99416666664</v>
      </c>
      <c r="N33" s="206">
        <f t="shared" si="5"/>
        <v>395263.99416666664</v>
      </c>
      <c r="O33" s="206">
        <f t="shared" si="5"/>
        <v>395263.99416666664</v>
      </c>
      <c r="P33" s="206">
        <f t="shared" si="5"/>
        <v>4743167.93</v>
      </c>
    </row>
    <row r="34" spans="1:16">
      <c r="A34" s="204" t="s">
        <v>216</v>
      </c>
      <c r="B34" s="205" t="s">
        <v>215</v>
      </c>
      <c r="C34" s="204"/>
      <c r="D34" s="206">
        <f t="shared" si="5"/>
        <v>178862.06249999997</v>
      </c>
      <c r="E34" s="206">
        <f t="shared" si="5"/>
        <v>178862.06249999997</v>
      </c>
      <c r="F34" s="206">
        <f t="shared" si="5"/>
        <v>178862.06249999997</v>
      </c>
      <c r="G34" s="206">
        <f t="shared" si="5"/>
        <v>178862.06249999997</v>
      </c>
      <c r="H34" s="206">
        <f t="shared" si="5"/>
        <v>178862.06249999997</v>
      </c>
      <c r="I34" s="206">
        <f t="shared" si="5"/>
        <v>178862.06249999997</v>
      </c>
      <c r="J34" s="206">
        <f t="shared" si="5"/>
        <v>178862.06249999997</v>
      </c>
      <c r="K34" s="206">
        <f t="shared" si="5"/>
        <v>178862.06249999997</v>
      </c>
      <c r="L34" s="206">
        <f t="shared" si="5"/>
        <v>178862.06249999997</v>
      </c>
      <c r="M34" s="206">
        <f t="shared" si="5"/>
        <v>178862.06249999997</v>
      </c>
      <c r="N34" s="206">
        <f t="shared" si="5"/>
        <v>178862.06249999997</v>
      </c>
      <c r="O34" s="206">
        <f t="shared" si="5"/>
        <v>178862.06249999997</v>
      </c>
      <c r="P34" s="206">
        <f t="shared" si="5"/>
        <v>2146344.75</v>
      </c>
    </row>
    <row r="35" spans="1:16">
      <c r="D35" s="209"/>
      <c r="E35" s="209"/>
      <c r="F35" s="209"/>
      <c r="G35" s="209"/>
      <c r="H35" s="209"/>
      <c r="I35" s="209"/>
      <c r="J35" s="209"/>
      <c r="K35" s="209"/>
      <c r="L35" s="209"/>
      <c r="M35" s="209"/>
      <c r="N35" s="209"/>
      <c r="O35" s="209"/>
      <c r="P35" s="209"/>
    </row>
    <row r="36" spans="1:16">
      <c r="A36" s="207" t="s">
        <v>270</v>
      </c>
      <c r="D36" s="208">
        <f t="shared" ref="D36:P36" si="6">SUM(D31:D34)</f>
        <v>2045075.29</v>
      </c>
      <c r="E36" s="208">
        <f t="shared" si="6"/>
        <v>2045075.29</v>
      </c>
      <c r="F36" s="208">
        <f t="shared" si="6"/>
        <v>2045075.29</v>
      </c>
      <c r="G36" s="208">
        <f t="shared" si="6"/>
        <v>2045075.29</v>
      </c>
      <c r="H36" s="208">
        <f t="shared" si="6"/>
        <v>2045075.29</v>
      </c>
      <c r="I36" s="208">
        <f t="shared" si="6"/>
        <v>2045075.29</v>
      </c>
      <c r="J36" s="208">
        <f t="shared" si="6"/>
        <v>2045075.29</v>
      </c>
      <c r="K36" s="208">
        <f t="shared" si="6"/>
        <v>2045075.29</v>
      </c>
      <c r="L36" s="208">
        <f t="shared" si="6"/>
        <v>2045075.29</v>
      </c>
      <c r="M36" s="208">
        <f t="shared" si="6"/>
        <v>2045075.29</v>
      </c>
      <c r="N36" s="208">
        <f t="shared" si="6"/>
        <v>2045075.29</v>
      </c>
      <c r="O36" s="208">
        <f t="shared" si="6"/>
        <v>2045075.29</v>
      </c>
      <c r="P36" s="208">
        <f t="shared" si="6"/>
        <v>24540903.48</v>
      </c>
    </row>
    <row r="37" spans="1:16">
      <c r="D37" s="209"/>
      <c r="E37" s="209"/>
      <c r="F37" s="209"/>
      <c r="G37" s="209"/>
      <c r="H37" s="209"/>
      <c r="I37" s="209"/>
      <c r="J37" s="209"/>
      <c r="K37" s="209"/>
      <c r="L37" s="209"/>
      <c r="M37" s="209"/>
      <c r="N37" s="209"/>
      <c r="O37" s="209"/>
      <c r="P37" s="209"/>
    </row>
    <row r="38" spans="1:16">
      <c r="D38" s="209"/>
      <c r="E38" s="209"/>
      <c r="F38" s="209"/>
      <c r="G38" s="209"/>
      <c r="H38" s="209"/>
      <c r="I38" s="209"/>
      <c r="J38" s="209"/>
      <c r="K38" s="209"/>
      <c r="L38" s="209"/>
      <c r="M38" s="209"/>
      <c r="N38" s="209"/>
      <c r="O38" s="209"/>
      <c r="P38" s="209"/>
    </row>
    <row r="39" spans="1:16">
      <c r="A39" s="201" t="s">
        <v>91</v>
      </c>
      <c r="D39" s="209"/>
      <c r="E39" s="209"/>
      <c r="F39" s="209"/>
      <c r="G39" s="209"/>
      <c r="H39" s="209"/>
      <c r="I39" s="209"/>
      <c r="J39" s="209"/>
      <c r="K39" s="209"/>
      <c r="L39" s="209"/>
      <c r="M39" s="209"/>
      <c r="N39" s="209"/>
      <c r="O39" s="209"/>
      <c r="P39" s="209"/>
    </row>
    <row r="40" spans="1:16">
      <c r="A40" s="204" t="s">
        <v>209</v>
      </c>
      <c r="B40" s="205" t="s">
        <v>208</v>
      </c>
      <c r="C40" s="204"/>
      <c r="D40" s="206">
        <v>16115.5</v>
      </c>
      <c r="E40" s="206">
        <v>16115.5</v>
      </c>
      <c r="F40" s="206">
        <v>16115.5</v>
      </c>
      <c r="G40" s="206">
        <v>16115.5</v>
      </c>
      <c r="H40" s="206">
        <v>16115.5</v>
      </c>
      <c r="I40" s="206">
        <v>16115.5</v>
      </c>
      <c r="J40" s="206">
        <v>16115.5</v>
      </c>
      <c r="K40" s="206">
        <v>16115.5</v>
      </c>
      <c r="L40" s="206">
        <v>16115.5</v>
      </c>
      <c r="M40" s="206">
        <v>16115.5</v>
      </c>
      <c r="N40" s="206">
        <v>16115.5</v>
      </c>
      <c r="O40" s="206">
        <v>16115.5</v>
      </c>
      <c r="P40" s="206">
        <v>193386</v>
      </c>
    </row>
    <row r="41" spans="1:16">
      <c r="A41" s="204" t="s">
        <v>212</v>
      </c>
      <c r="B41" s="205" t="s">
        <v>211</v>
      </c>
      <c r="C41" s="204"/>
      <c r="D41" s="206">
        <v>68708</v>
      </c>
      <c r="E41" s="206">
        <v>68708</v>
      </c>
      <c r="F41" s="206">
        <v>68708</v>
      </c>
      <c r="G41" s="206">
        <v>68708</v>
      </c>
      <c r="H41" s="206">
        <v>68708</v>
      </c>
      <c r="I41" s="206">
        <v>68708</v>
      </c>
      <c r="J41" s="206">
        <v>68708</v>
      </c>
      <c r="K41" s="206">
        <v>68708</v>
      </c>
      <c r="L41" s="206">
        <v>68708</v>
      </c>
      <c r="M41" s="206">
        <v>68708</v>
      </c>
      <c r="N41" s="206">
        <v>68708</v>
      </c>
      <c r="O41" s="206">
        <v>68708</v>
      </c>
      <c r="P41" s="206">
        <v>824496</v>
      </c>
    </row>
    <row r="42" spans="1:16">
      <c r="A42" s="204" t="s">
        <v>214</v>
      </c>
      <c r="B42" s="205" t="s">
        <v>213</v>
      </c>
      <c r="C42" s="204"/>
      <c r="D42" s="206">
        <f>+P42/12</f>
        <v>27695.5</v>
      </c>
      <c r="E42" s="206">
        <v>27695.5</v>
      </c>
      <c r="F42" s="206">
        <v>27695.5</v>
      </c>
      <c r="G42" s="206">
        <v>27695.5</v>
      </c>
      <c r="H42" s="206">
        <v>27695.5</v>
      </c>
      <c r="I42" s="206">
        <v>27695.5</v>
      </c>
      <c r="J42" s="206">
        <v>27695.5</v>
      </c>
      <c r="K42" s="206">
        <v>27695.5</v>
      </c>
      <c r="L42" s="206">
        <v>27695.5</v>
      </c>
      <c r="M42" s="206">
        <v>27695.5</v>
      </c>
      <c r="N42" s="206">
        <v>27695.5</v>
      </c>
      <c r="O42" s="206">
        <v>27695.5</v>
      </c>
      <c r="P42" s="206">
        <v>332346</v>
      </c>
    </row>
    <row r="43" spans="1:16">
      <c r="A43" s="204" t="s">
        <v>216</v>
      </c>
      <c r="B43" s="205" t="s">
        <v>215</v>
      </c>
      <c r="C43" s="204"/>
      <c r="D43" s="206">
        <f>+P43/12</f>
        <v>33952.511666666665</v>
      </c>
      <c r="E43" s="206">
        <v>33952.511666666665</v>
      </c>
      <c r="F43" s="206">
        <v>33952.511666666665</v>
      </c>
      <c r="G43" s="206">
        <v>33952.511666666665</v>
      </c>
      <c r="H43" s="206">
        <v>33952.511666666665</v>
      </c>
      <c r="I43" s="206">
        <v>33952.511666666665</v>
      </c>
      <c r="J43" s="206">
        <v>33952.511666666665</v>
      </c>
      <c r="K43" s="206">
        <v>33952.511666666665</v>
      </c>
      <c r="L43" s="206">
        <v>33952.511666666665</v>
      </c>
      <c r="M43" s="206">
        <v>33952.511666666665</v>
      </c>
      <c r="N43" s="206">
        <v>33952.511666666665</v>
      </c>
      <c r="O43" s="206">
        <v>33952.511666666665</v>
      </c>
      <c r="P43" s="206">
        <v>407430.14</v>
      </c>
    </row>
    <row r="44" spans="1:16" s="201" customFormat="1">
      <c r="A44" s="207" t="s">
        <v>271</v>
      </c>
      <c r="D44" s="208">
        <f>SUM(D40:D43)</f>
        <v>146471.51166666666</v>
      </c>
      <c r="E44" s="208">
        <f t="shared" ref="E44:P44" si="7">SUM(E40:E43)</f>
        <v>146471.51166666666</v>
      </c>
      <c r="F44" s="208">
        <f t="shared" si="7"/>
        <v>146471.51166666666</v>
      </c>
      <c r="G44" s="208">
        <f t="shared" si="7"/>
        <v>146471.51166666666</v>
      </c>
      <c r="H44" s="208">
        <f t="shared" si="7"/>
        <v>146471.51166666666</v>
      </c>
      <c r="I44" s="208">
        <f t="shared" si="7"/>
        <v>146471.51166666666</v>
      </c>
      <c r="J44" s="208">
        <f t="shared" si="7"/>
        <v>146471.51166666666</v>
      </c>
      <c r="K44" s="208">
        <f t="shared" si="7"/>
        <v>146471.51166666666</v>
      </c>
      <c r="L44" s="208">
        <f t="shared" si="7"/>
        <v>146471.51166666666</v>
      </c>
      <c r="M44" s="208">
        <f t="shared" si="7"/>
        <v>146471.51166666666</v>
      </c>
      <c r="N44" s="208">
        <f t="shared" si="7"/>
        <v>146471.51166666666</v>
      </c>
      <c r="O44" s="208">
        <f t="shared" si="7"/>
        <v>146471.51166666666</v>
      </c>
      <c r="P44" s="208">
        <f t="shared" si="7"/>
        <v>1757658.1400000001</v>
      </c>
    </row>
    <row r="45" spans="1:16">
      <c r="D45" s="209"/>
      <c r="E45" s="209"/>
      <c r="F45" s="209"/>
      <c r="G45" s="209"/>
      <c r="H45" s="209"/>
      <c r="I45" s="209"/>
      <c r="J45" s="209"/>
      <c r="K45" s="209"/>
      <c r="L45" s="209"/>
      <c r="M45" s="209"/>
      <c r="N45" s="209"/>
      <c r="O45" s="209"/>
      <c r="P45" s="209"/>
    </row>
    <row r="46" spans="1:16">
      <c r="A46" s="207" t="s">
        <v>272</v>
      </c>
      <c r="D46" s="209"/>
      <c r="E46" s="209"/>
      <c r="F46" s="209"/>
      <c r="G46" s="209"/>
      <c r="H46" s="209"/>
      <c r="I46" s="209"/>
      <c r="J46" s="209"/>
      <c r="K46" s="209"/>
      <c r="L46" s="209"/>
      <c r="M46" s="209"/>
      <c r="N46" s="209"/>
      <c r="O46" s="209"/>
      <c r="P46" s="209"/>
    </row>
    <row r="47" spans="1:16">
      <c r="A47" s="204" t="s">
        <v>209</v>
      </c>
      <c r="B47" s="205" t="s">
        <v>208</v>
      </c>
      <c r="C47" s="204"/>
      <c r="D47" s="206">
        <v>474200.71333333338</v>
      </c>
      <c r="E47" s="206">
        <v>474200.71333333338</v>
      </c>
      <c r="F47" s="206">
        <v>474200.71333333338</v>
      </c>
      <c r="G47" s="206">
        <v>474200.71333333338</v>
      </c>
      <c r="H47" s="206">
        <v>474200.71333333338</v>
      </c>
      <c r="I47" s="206">
        <v>474200.71333333338</v>
      </c>
      <c r="J47" s="206">
        <v>474200.71333333338</v>
      </c>
      <c r="K47" s="206">
        <v>474200.71333333338</v>
      </c>
      <c r="L47" s="206">
        <v>474200.71333333338</v>
      </c>
      <c r="M47" s="206">
        <v>474200.71333333338</v>
      </c>
      <c r="N47" s="206">
        <v>474200.71333333338</v>
      </c>
      <c r="O47" s="206">
        <v>474200.71333333338</v>
      </c>
      <c r="P47" s="206">
        <v>5690408.5600000005</v>
      </c>
    </row>
    <row r="48" spans="1:16">
      <c r="A48" s="204" t="s">
        <v>212</v>
      </c>
      <c r="B48" s="205" t="s">
        <v>211</v>
      </c>
      <c r="C48" s="204"/>
      <c r="D48" s="206">
        <v>911925.02</v>
      </c>
      <c r="E48" s="206">
        <v>911925.02</v>
      </c>
      <c r="F48" s="206">
        <v>911925.02</v>
      </c>
      <c r="G48" s="206">
        <v>911925.02</v>
      </c>
      <c r="H48" s="206">
        <v>911925.02</v>
      </c>
      <c r="I48" s="206">
        <v>911925.02</v>
      </c>
      <c r="J48" s="206">
        <v>911925.02</v>
      </c>
      <c r="K48" s="206">
        <v>911925.02</v>
      </c>
      <c r="L48" s="206">
        <v>911925.02</v>
      </c>
      <c r="M48" s="206">
        <v>911925.02</v>
      </c>
      <c r="N48" s="206">
        <v>911925.02</v>
      </c>
      <c r="O48" s="206">
        <v>911925.02</v>
      </c>
      <c r="P48" s="206">
        <v>10943100.24</v>
      </c>
    </row>
    <row r="49" spans="1:16">
      <c r="A49" s="204" t="s">
        <v>214</v>
      </c>
      <c r="B49" s="205" t="s">
        <v>213</v>
      </c>
      <c r="C49" s="204"/>
      <c r="D49" s="206">
        <f>+P49/12</f>
        <v>367568.49416666664</v>
      </c>
      <c r="E49" s="206">
        <v>367568.49416666664</v>
      </c>
      <c r="F49" s="206">
        <v>367568.49416666664</v>
      </c>
      <c r="G49" s="206">
        <v>367568.49416666664</v>
      </c>
      <c r="H49" s="206">
        <v>367568.49416666664</v>
      </c>
      <c r="I49" s="206">
        <v>367568.49416666664</v>
      </c>
      <c r="J49" s="206">
        <v>367568.49416666664</v>
      </c>
      <c r="K49" s="206">
        <v>367568.49416666664</v>
      </c>
      <c r="L49" s="206">
        <v>367568.49416666664</v>
      </c>
      <c r="M49" s="206">
        <v>367568.49416666664</v>
      </c>
      <c r="N49" s="206">
        <v>367568.49416666664</v>
      </c>
      <c r="O49" s="206">
        <v>367568.49416666664</v>
      </c>
      <c r="P49" s="206">
        <v>4410821.93</v>
      </c>
    </row>
    <row r="50" spans="1:16">
      <c r="A50" s="204" t="s">
        <v>216</v>
      </c>
      <c r="B50" s="205" t="s">
        <v>215</v>
      </c>
      <c r="C50" s="204"/>
      <c r="D50" s="206">
        <f>+P50/12</f>
        <v>144909.55083333331</v>
      </c>
      <c r="E50" s="206">
        <v>144909.55083333331</v>
      </c>
      <c r="F50" s="206">
        <v>144909.55083333331</v>
      </c>
      <c r="G50" s="206">
        <v>144909.55083333331</v>
      </c>
      <c r="H50" s="206">
        <v>144909.55083333331</v>
      </c>
      <c r="I50" s="206">
        <v>144909.55083333331</v>
      </c>
      <c r="J50" s="206">
        <v>144909.55083333331</v>
      </c>
      <c r="K50" s="206">
        <v>144909.55083333331</v>
      </c>
      <c r="L50" s="206">
        <v>144909.55083333331</v>
      </c>
      <c r="M50" s="206">
        <v>144909.55083333331</v>
      </c>
      <c r="N50" s="206">
        <v>144909.55083333331</v>
      </c>
      <c r="O50" s="206">
        <v>144909.55083333331</v>
      </c>
      <c r="P50" s="206">
        <v>1738914.6099999999</v>
      </c>
    </row>
    <row r="51" spans="1:16" s="201" customFormat="1">
      <c r="A51" s="207" t="s">
        <v>219</v>
      </c>
      <c r="D51" s="208">
        <f t="shared" ref="D51:P51" si="8">SUM(D47:D50)</f>
        <v>1898603.7783333333</v>
      </c>
      <c r="E51" s="208">
        <f t="shared" si="8"/>
        <v>1898603.7783333333</v>
      </c>
      <c r="F51" s="208">
        <f t="shared" si="8"/>
        <v>1898603.7783333333</v>
      </c>
      <c r="G51" s="208">
        <f t="shared" si="8"/>
        <v>1898603.7783333333</v>
      </c>
      <c r="H51" s="208">
        <f t="shared" si="8"/>
        <v>1898603.7783333333</v>
      </c>
      <c r="I51" s="208">
        <f t="shared" si="8"/>
        <v>1898603.7783333333</v>
      </c>
      <c r="J51" s="208">
        <f t="shared" si="8"/>
        <v>1898603.7783333333</v>
      </c>
      <c r="K51" s="208">
        <f t="shared" si="8"/>
        <v>1898603.7783333333</v>
      </c>
      <c r="L51" s="208">
        <f t="shared" si="8"/>
        <v>1898603.7783333333</v>
      </c>
      <c r="M51" s="208">
        <f t="shared" si="8"/>
        <v>1898603.7783333333</v>
      </c>
      <c r="N51" s="208">
        <f t="shared" si="8"/>
        <v>1898603.7783333333</v>
      </c>
      <c r="O51" s="208">
        <f t="shared" si="8"/>
        <v>1898603.7783333333</v>
      </c>
      <c r="P51" s="208">
        <f t="shared" si="8"/>
        <v>22783245.34</v>
      </c>
    </row>
    <row r="55" spans="1:16">
      <c r="A55" s="201">
        <v>2015</v>
      </c>
    </row>
    <row r="57" spans="1:16">
      <c r="A57" s="203" t="s">
        <v>258</v>
      </c>
      <c r="B57" s="203" t="s">
        <v>229</v>
      </c>
      <c r="C57" s="203" t="s">
        <v>231</v>
      </c>
      <c r="D57" s="203" t="s">
        <v>164</v>
      </c>
      <c r="E57" s="203" t="s">
        <v>165</v>
      </c>
      <c r="F57" s="203" t="s">
        <v>166</v>
      </c>
      <c r="G57" s="203" t="s">
        <v>167</v>
      </c>
      <c r="H57" s="203" t="s">
        <v>168</v>
      </c>
      <c r="I57" s="203" t="s">
        <v>184</v>
      </c>
      <c r="J57" s="203" t="s">
        <v>185</v>
      </c>
      <c r="K57" s="203" t="s">
        <v>171</v>
      </c>
      <c r="L57" s="203" t="s">
        <v>196</v>
      </c>
      <c r="M57" s="203" t="s">
        <v>173</v>
      </c>
      <c r="N57" s="203" t="s">
        <v>174</v>
      </c>
      <c r="O57" s="203" t="s">
        <v>175</v>
      </c>
      <c r="P57" s="211" t="s">
        <v>223</v>
      </c>
    </row>
    <row r="58" spans="1:16">
      <c r="A58" s="204" t="s">
        <v>209</v>
      </c>
      <c r="B58" s="205" t="s">
        <v>208</v>
      </c>
      <c r="C58" s="204"/>
      <c r="D58" s="206">
        <f>+D66+D73</f>
        <v>501416.66666666669</v>
      </c>
      <c r="E58" s="206">
        <f t="shared" ref="E58:O58" si="9">+E66+E73</f>
        <v>501416.66666666669</v>
      </c>
      <c r="F58" s="206">
        <f t="shared" si="9"/>
        <v>501416.66666666669</v>
      </c>
      <c r="G58" s="206">
        <f t="shared" si="9"/>
        <v>501416.66666666669</v>
      </c>
      <c r="H58" s="206">
        <f t="shared" si="9"/>
        <v>501416.66666666669</v>
      </c>
      <c r="I58" s="206">
        <f t="shared" si="9"/>
        <v>501416.66666666669</v>
      </c>
      <c r="J58" s="206">
        <f t="shared" si="9"/>
        <v>501416.66666666669</v>
      </c>
      <c r="K58" s="206">
        <f t="shared" si="9"/>
        <v>501416.66666666669</v>
      </c>
      <c r="L58" s="206">
        <f t="shared" si="9"/>
        <v>501416.66666666669</v>
      </c>
      <c r="M58" s="206">
        <f t="shared" si="9"/>
        <v>501416.66666666669</v>
      </c>
      <c r="N58" s="206">
        <f t="shared" si="9"/>
        <v>501416.66666666669</v>
      </c>
      <c r="O58" s="206">
        <f t="shared" si="9"/>
        <v>501416.66666666669</v>
      </c>
      <c r="P58" s="206">
        <f>+P66+P73</f>
        <v>6017000</v>
      </c>
    </row>
    <row r="59" spans="1:16">
      <c r="A59" s="204" t="s">
        <v>212</v>
      </c>
      <c r="B59" s="205" t="s">
        <v>211</v>
      </c>
      <c r="C59" s="204"/>
      <c r="D59" s="206">
        <f t="shared" ref="D59:P61" si="10">+D67+D74</f>
        <v>1060083.3333333335</v>
      </c>
      <c r="E59" s="206">
        <f t="shared" si="10"/>
        <v>1060083.3333333335</v>
      </c>
      <c r="F59" s="206">
        <f t="shared" si="10"/>
        <v>1060083.3333333335</v>
      </c>
      <c r="G59" s="206">
        <f t="shared" si="10"/>
        <v>1060083.3333333335</v>
      </c>
      <c r="H59" s="206">
        <f t="shared" si="10"/>
        <v>1060083.3333333335</v>
      </c>
      <c r="I59" s="206">
        <f t="shared" si="10"/>
        <v>1060083.3333333335</v>
      </c>
      <c r="J59" s="206">
        <f t="shared" si="10"/>
        <v>1060083.3333333335</v>
      </c>
      <c r="K59" s="206">
        <f t="shared" si="10"/>
        <v>1060083.3333333335</v>
      </c>
      <c r="L59" s="206">
        <f t="shared" si="10"/>
        <v>1060083.3333333335</v>
      </c>
      <c r="M59" s="206">
        <f t="shared" si="10"/>
        <v>1060083.3333333335</v>
      </c>
      <c r="N59" s="206">
        <f t="shared" si="10"/>
        <v>1060083.3333333335</v>
      </c>
      <c r="O59" s="206">
        <f t="shared" si="10"/>
        <v>1060083.3333333335</v>
      </c>
      <c r="P59" s="206">
        <f t="shared" si="10"/>
        <v>12721000</v>
      </c>
    </row>
    <row r="60" spans="1:16">
      <c r="A60" s="204" t="s">
        <v>214</v>
      </c>
      <c r="B60" s="205" t="s">
        <v>213</v>
      </c>
      <c r="C60" s="204"/>
      <c r="D60" s="206">
        <f t="shared" si="10"/>
        <v>415000</v>
      </c>
      <c r="E60" s="206">
        <f t="shared" si="10"/>
        <v>415000</v>
      </c>
      <c r="F60" s="206">
        <f t="shared" si="10"/>
        <v>415000</v>
      </c>
      <c r="G60" s="206">
        <f t="shared" si="10"/>
        <v>415000</v>
      </c>
      <c r="H60" s="206">
        <f t="shared" si="10"/>
        <v>415000</v>
      </c>
      <c r="I60" s="206">
        <f t="shared" si="10"/>
        <v>415000</v>
      </c>
      <c r="J60" s="206">
        <f t="shared" si="10"/>
        <v>415000</v>
      </c>
      <c r="K60" s="206">
        <f t="shared" si="10"/>
        <v>415000</v>
      </c>
      <c r="L60" s="206">
        <f t="shared" si="10"/>
        <v>415000</v>
      </c>
      <c r="M60" s="206">
        <f t="shared" si="10"/>
        <v>415000</v>
      </c>
      <c r="N60" s="206">
        <f t="shared" si="10"/>
        <v>415000</v>
      </c>
      <c r="O60" s="206">
        <f t="shared" si="10"/>
        <v>415000</v>
      </c>
      <c r="P60" s="206">
        <f t="shared" si="10"/>
        <v>4980000</v>
      </c>
    </row>
    <row r="61" spans="1:16">
      <c r="A61" s="204" t="s">
        <v>216</v>
      </c>
      <c r="B61" s="205" t="s">
        <v>215</v>
      </c>
      <c r="C61" s="204"/>
      <c r="D61" s="206">
        <f t="shared" si="10"/>
        <v>183666.63</v>
      </c>
      <c r="E61" s="206">
        <f t="shared" si="10"/>
        <v>183666.66999999998</v>
      </c>
      <c r="F61" s="206">
        <f t="shared" si="10"/>
        <v>183666.66999999998</v>
      </c>
      <c r="G61" s="206">
        <f t="shared" si="10"/>
        <v>183666.66999999998</v>
      </c>
      <c r="H61" s="206">
        <f t="shared" si="10"/>
        <v>183666.66999999998</v>
      </c>
      <c r="I61" s="206">
        <f t="shared" si="10"/>
        <v>183666.66999999998</v>
      </c>
      <c r="J61" s="206">
        <f t="shared" si="10"/>
        <v>183666.66999999998</v>
      </c>
      <c r="K61" s="206">
        <f t="shared" si="10"/>
        <v>183666.66999999998</v>
      </c>
      <c r="L61" s="206">
        <f t="shared" si="10"/>
        <v>183666.66999999998</v>
      </c>
      <c r="M61" s="206">
        <f t="shared" si="10"/>
        <v>183666.66999999998</v>
      </c>
      <c r="N61" s="206">
        <f t="shared" si="10"/>
        <v>183666.66999999998</v>
      </c>
      <c r="O61" s="206">
        <f t="shared" si="10"/>
        <v>183666.66999999998</v>
      </c>
      <c r="P61" s="206">
        <f t="shared" si="10"/>
        <v>2204000</v>
      </c>
    </row>
    <row r="62" spans="1:16">
      <c r="D62" s="209"/>
      <c r="E62" s="209"/>
      <c r="F62" s="209"/>
      <c r="G62" s="209"/>
      <c r="H62" s="209"/>
      <c r="I62" s="209"/>
      <c r="J62" s="209"/>
      <c r="K62" s="209"/>
      <c r="L62" s="209"/>
      <c r="M62" s="209"/>
      <c r="N62" s="209"/>
      <c r="O62" s="209"/>
      <c r="P62" s="209"/>
    </row>
    <row r="63" spans="1:16">
      <c r="A63" s="212" t="s">
        <v>274</v>
      </c>
      <c r="D63" s="208">
        <f t="shared" ref="D63:P63" si="11">SUM(D58:D61)</f>
        <v>2160166.6300000004</v>
      </c>
      <c r="E63" s="208">
        <f t="shared" si="11"/>
        <v>2160166.6700000004</v>
      </c>
      <c r="F63" s="208">
        <f t="shared" si="11"/>
        <v>2160166.6700000004</v>
      </c>
      <c r="G63" s="208">
        <f t="shared" si="11"/>
        <v>2160166.6700000004</v>
      </c>
      <c r="H63" s="208">
        <f t="shared" si="11"/>
        <v>2160166.6700000004</v>
      </c>
      <c r="I63" s="208">
        <f t="shared" si="11"/>
        <v>2160166.6700000004</v>
      </c>
      <c r="J63" s="208">
        <f t="shared" si="11"/>
        <v>2160166.6700000004</v>
      </c>
      <c r="K63" s="208">
        <f t="shared" si="11"/>
        <v>2160166.6700000004</v>
      </c>
      <c r="L63" s="208">
        <f t="shared" si="11"/>
        <v>2160166.6700000004</v>
      </c>
      <c r="M63" s="208">
        <f t="shared" si="11"/>
        <v>2160166.6700000004</v>
      </c>
      <c r="N63" s="208">
        <f t="shared" si="11"/>
        <v>2160166.6700000004</v>
      </c>
      <c r="O63" s="208">
        <f t="shared" si="11"/>
        <v>2160166.6700000004</v>
      </c>
      <c r="P63" s="208">
        <f t="shared" si="11"/>
        <v>25922000</v>
      </c>
    </row>
    <row r="64" spans="1:16">
      <c r="D64" s="209"/>
      <c r="E64" s="209"/>
      <c r="F64" s="209"/>
      <c r="G64" s="209"/>
      <c r="H64" s="209"/>
      <c r="I64" s="209"/>
      <c r="J64" s="209"/>
      <c r="K64" s="209"/>
      <c r="L64" s="209"/>
      <c r="M64" s="209"/>
      <c r="N64" s="209"/>
      <c r="O64" s="209"/>
      <c r="P64" s="209"/>
    </row>
    <row r="65" spans="1:16" s="201" customFormat="1">
      <c r="A65" s="201" t="s">
        <v>91</v>
      </c>
      <c r="B65" s="202"/>
      <c r="C65" s="202"/>
      <c r="D65" s="208"/>
      <c r="E65" s="208"/>
      <c r="F65" s="208"/>
      <c r="G65" s="208"/>
      <c r="H65" s="208"/>
      <c r="I65" s="208"/>
      <c r="J65" s="208"/>
      <c r="K65" s="208"/>
      <c r="L65" s="208"/>
      <c r="M65" s="208"/>
      <c r="N65" s="208"/>
      <c r="O65" s="208"/>
      <c r="P65" s="208"/>
    </row>
    <row r="66" spans="1:16">
      <c r="A66" s="204" t="s">
        <v>209</v>
      </c>
      <c r="B66" s="205" t="s">
        <v>208</v>
      </c>
      <c r="C66" s="204"/>
      <c r="D66" s="206">
        <v>27750</v>
      </c>
      <c r="E66" s="206">
        <v>27750</v>
      </c>
      <c r="F66" s="206">
        <v>27750</v>
      </c>
      <c r="G66" s="206">
        <v>27750</v>
      </c>
      <c r="H66" s="206">
        <v>27750</v>
      </c>
      <c r="I66" s="206">
        <v>27750</v>
      </c>
      <c r="J66" s="206">
        <v>27750</v>
      </c>
      <c r="K66" s="206">
        <v>27750</v>
      </c>
      <c r="L66" s="206">
        <v>27750</v>
      </c>
      <c r="M66" s="206">
        <v>27750</v>
      </c>
      <c r="N66" s="206">
        <v>27750</v>
      </c>
      <c r="O66" s="206">
        <v>27750</v>
      </c>
      <c r="P66" s="206">
        <v>333000</v>
      </c>
    </row>
    <row r="67" spans="1:16">
      <c r="A67" s="204" t="s">
        <v>212</v>
      </c>
      <c r="B67" s="205" t="s">
        <v>211</v>
      </c>
      <c r="C67" s="204"/>
      <c r="D67" s="206">
        <f>333000/12</f>
        <v>27750</v>
      </c>
      <c r="E67" s="206">
        <f t="shared" ref="E67:O67" si="12">333000/12</f>
        <v>27750</v>
      </c>
      <c r="F67" s="206">
        <f t="shared" si="12"/>
        <v>27750</v>
      </c>
      <c r="G67" s="206">
        <f t="shared" si="12"/>
        <v>27750</v>
      </c>
      <c r="H67" s="206">
        <f t="shared" si="12"/>
        <v>27750</v>
      </c>
      <c r="I67" s="206">
        <f t="shared" si="12"/>
        <v>27750</v>
      </c>
      <c r="J67" s="206">
        <f t="shared" si="12"/>
        <v>27750</v>
      </c>
      <c r="K67" s="206">
        <f t="shared" si="12"/>
        <v>27750</v>
      </c>
      <c r="L67" s="206">
        <f t="shared" si="12"/>
        <v>27750</v>
      </c>
      <c r="M67" s="206">
        <f t="shared" si="12"/>
        <v>27750</v>
      </c>
      <c r="N67" s="206">
        <f t="shared" si="12"/>
        <v>27750</v>
      </c>
      <c r="O67" s="206">
        <f t="shared" si="12"/>
        <v>27750</v>
      </c>
      <c r="P67" s="206">
        <v>333000</v>
      </c>
    </row>
    <row r="68" spans="1:16">
      <c r="A68" s="204" t="s">
        <v>214</v>
      </c>
      <c r="B68" s="205" t="s">
        <v>213</v>
      </c>
      <c r="C68" s="204"/>
      <c r="D68" s="206"/>
      <c r="E68" s="206"/>
      <c r="F68" s="206"/>
      <c r="G68" s="206"/>
      <c r="H68" s="206"/>
      <c r="I68" s="206"/>
      <c r="J68" s="206"/>
      <c r="K68" s="206"/>
      <c r="L68" s="206"/>
      <c r="M68" s="206"/>
      <c r="N68" s="206"/>
      <c r="O68" s="206"/>
      <c r="P68" s="206"/>
    </row>
    <row r="69" spans="1:16">
      <c r="A69" s="204" t="s">
        <v>216</v>
      </c>
      <c r="B69" s="205" t="s">
        <v>215</v>
      </c>
      <c r="C69" s="204"/>
      <c r="D69" s="206">
        <v>34916.629999999997</v>
      </c>
      <c r="E69" s="206">
        <v>34916.67</v>
      </c>
      <c r="F69" s="206">
        <v>34916.67</v>
      </c>
      <c r="G69" s="206">
        <v>34916.67</v>
      </c>
      <c r="H69" s="206">
        <v>34916.67</v>
      </c>
      <c r="I69" s="206">
        <v>34916.67</v>
      </c>
      <c r="J69" s="206">
        <v>34916.67</v>
      </c>
      <c r="K69" s="206">
        <v>34916.67</v>
      </c>
      <c r="L69" s="206">
        <v>34916.67</v>
      </c>
      <c r="M69" s="206">
        <v>34916.67</v>
      </c>
      <c r="N69" s="206">
        <v>34916.67</v>
      </c>
      <c r="O69" s="206">
        <v>34916.67</v>
      </c>
      <c r="P69" s="206">
        <v>419000</v>
      </c>
    </row>
    <row r="70" spans="1:16">
      <c r="A70" s="207" t="s">
        <v>271</v>
      </c>
      <c r="B70" s="201"/>
      <c r="C70" s="201"/>
      <c r="D70" s="206"/>
      <c r="E70" s="206"/>
      <c r="F70" s="206"/>
      <c r="G70" s="206"/>
      <c r="H70" s="206"/>
      <c r="I70" s="206"/>
      <c r="J70" s="206"/>
      <c r="K70" s="206"/>
      <c r="L70" s="206"/>
      <c r="M70" s="206"/>
      <c r="N70" s="206"/>
      <c r="O70" s="206"/>
      <c r="P70" s="213">
        <f>SUM(P66:P69)</f>
        <v>1085000</v>
      </c>
    </row>
    <row r="71" spans="1:16" s="201" customFormat="1">
      <c r="A71" s="202"/>
      <c r="B71" s="202"/>
      <c r="C71" s="202"/>
      <c r="D71" s="208"/>
      <c r="E71" s="208"/>
      <c r="F71" s="208"/>
      <c r="G71" s="208"/>
      <c r="H71" s="208"/>
      <c r="I71" s="208"/>
      <c r="J71" s="208"/>
      <c r="K71" s="208"/>
      <c r="L71" s="208"/>
      <c r="M71" s="208"/>
      <c r="N71" s="208"/>
      <c r="O71" s="208"/>
      <c r="P71" s="208"/>
    </row>
    <row r="72" spans="1:16" s="201" customFormat="1">
      <c r="A72" s="207" t="s">
        <v>272</v>
      </c>
      <c r="B72" s="202"/>
      <c r="C72" s="202"/>
      <c r="D72" s="208"/>
      <c r="E72" s="208"/>
      <c r="F72" s="208"/>
      <c r="G72" s="208"/>
      <c r="H72" s="208"/>
      <c r="I72" s="208"/>
      <c r="J72" s="208"/>
      <c r="K72" s="208"/>
      <c r="L72" s="208"/>
      <c r="M72" s="208"/>
      <c r="N72" s="208"/>
      <c r="O72" s="208"/>
      <c r="P72" s="208"/>
    </row>
    <row r="73" spans="1:16" s="201" customFormat="1">
      <c r="A73" s="204" t="s">
        <v>209</v>
      </c>
      <c r="B73" s="205" t="s">
        <v>208</v>
      </c>
      <c r="C73" s="204"/>
      <c r="D73" s="214">
        <f>5684000/12</f>
        <v>473666.66666666669</v>
      </c>
      <c r="E73" s="214">
        <v>473666.66666666669</v>
      </c>
      <c r="F73" s="214">
        <v>473666.66666666669</v>
      </c>
      <c r="G73" s="214">
        <v>473666.66666666669</v>
      </c>
      <c r="H73" s="214">
        <v>473666.66666666669</v>
      </c>
      <c r="I73" s="214">
        <v>473666.66666666669</v>
      </c>
      <c r="J73" s="214">
        <v>473666.66666666669</v>
      </c>
      <c r="K73" s="214">
        <v>473666.66666666669</v>
      </c>
      <c r="L73" s="214">
        <v>473666.66666666669</v>
      </c>
      <c r="M73" s="214">
        <v>473666.66666666669</v>
      </c>
      <c r="N73" s="214">
        <v>473666.66666666669</v>
      </c>
      <c r="O73" s="214">
        <v>473666.66666666669</v>
      </c>
      <c r="P73" s="214">
        <v>5684000</v>
      </c>
    </row>
    <row r="74" spans="1:16" s="201" customFormat="1">
      <c r="A74" s="204" t="s">
        <v>212</v>
      </c>
      <c r="B74" s="205" t="s">
        <v>211</v>
      </c>
      <c r="C74" s="204"/>
      <c r="D74" s="206">
        <f>12388000/12</f>
        <v>1032333.3333333334</v>
      </c>
      <c r="E74" s="206">
        <f t="shared" ref="E74:O74" si="13">12388000/12</f>
        <v>1032333.3333333334</v>
      </c>
      <c r="F74" s="206">
        <f t="shared" si="13"/>
        <v>1032333.3333333334</v>
      </c>
      <c r="G74" s="206">
        <f t="shared" si="13"/>
        <v>1032333.3333333334</v>
      </c>
      <c r="H74" s="206">
        <f t="shared" si="13"/>
        <v>1032333.3333333334</v>
      </c>
      <c r="I74" s="206">
        <f t="shared" si="13"/>
        <v>1032333.3333333334</v>
      </c>
      <c r="J74" s="206">
        <f t="shared" si="13"/>
        <v>1032333.3333333334</v>
      </c>
      <c r="K74" s="206">
        <f t="shared" si="13"/>
        <v>1032333.3333333334</v>
      </c>
      <c r="L74" s="206">
        <f t="shared" si="13"/>
        <v>1032333.3333333334</v>
      </c>
      <c r="M74" s="206">
        <f t="shared" si="13"/>
        <v>1032333.3333333334</v>
      </c>
      <c r="N74" s="206">
        <f t="shared" si="13"/>
        <v>1032333.3333333334</v>
      </c>
      <c r="O74" s="206">
        <f t="shared" si="13"/>
        <v>1032333.3333333334</v>
      </c>
      <c r="P74" s="206">
        <v>12388000</v>
      </c>
    </row>
    <row r="75" spans="1:16" s="201" customFormat="1">
      <c r="A75" s="204" t="s">
        <v>214</v>
      </c>
      <c r="B75" s="205" t="s">
        <v>213</v>
      </c>
      <c r="C75" s="204"/>
      <c r="D75" s="214">
        <f>4980000/12</f>
        <v>415000</v>
      </c>
      <c r="E75" s="214">
        <v>415000</v>
      </c>
      <c r="F75" s="214">
        <v>415000</v>
      </c>
      <c r="G75" s="214">
        <v>415000</v>
      </c>
      <c r="H75" s="214">
        <v>415000</v>
      </c>
      <c r="I75" s="214">
        <v>415000</v>
      </c>
      <c r="J75" s="214">
        <v>415000</v>
      </c>
      <c r="K75" s="214">
        <v>415000</v>
      </c>
      <c r="L75" s="214">
        <v>415000</v>
      </c>
      <c r="M75" s="214">
        <v>415000</v>
      </c>
      <c r="N75" s="214">
        <v>415000</v>
      </c>
      <c r="O75" s="214">
        <v>415000</v>
      </c>
      <c r="P75" s="214">
        <v>4980000</v>
      </c>
    </row>
    <row r="76" spans="1:16" s="201" customFormat="1">
      <c r="A76" s="204" t="s">
        <v>216</v>
      </c>
      <c r="B76" s="205" t="s">
        <v>215</v>
      </c>
      <c r="C76" s="204"/>
      <c r="D76" s="214">
        <v>148750</v>
      </c>
      <c r="E76" s="214">
        <v>148750</v>
      </c>
      <c r="F76" s="214">
        <v>148750</v>
      </c>
      <c r="G76" s="214">
        <v>148750</v>
      </c>
      <c r="H76" s="214">
        <v>148750</v>
      </c>
      <c r="I76" s="214">
        <v>148750</v>
      </c>
      <c r="J76" s="214">
        <v>148750</v>
      </c>
      <c r="K76" s="214">
        <v>148750</v>
      </c>
      <c r="L76" s="214">
        <v>148750</v>
      </c>
      <c r="M76" s="214">
        <v>148750</v>
      </c>
      <c r="N76" s="214">
        <v>148750</v>
      </c>
      <c r="O76" s="214">
        <v>148750</v>
      </c>
      <c r="P76" s="214">
        <v>1785000</v>
      </c>
    </row>
    <row r="77" spans="1:16" s="201" customFormat="1">
      <c r="A77" s="207" t="s">
        <v>219</v>
      </c>
      <c r="D77" s="208"/>
      <c r="E77" s="208"/>
      <c r="F77" s="208"/>
      <c r="G77" s="208"/>
      <c r="H77" s="208"/>
      <c r="I77" s="208"/>
      <c r="J77" s="208"/>
      <c r="K77" s="208"/>
      <c r="L77" s="208"/>
      <c r="M77" s="208"/>
      <c r="N77" s="208"/>
      <c r="O77" s="208"/>
      <c r="P77" s="208">
        <f>SUM(P73:P76)</f>
        <v>24837000</v>
      </c>
    </row>
    <row r="78" spans="1:16" s="201" customFormat="1">
      <c r="D78" s="208"/>
      <c r="E78" s="208"/>
      <c r="F78" s="208"/>
      <c r="G78" s="208"/>
      <c r="H78" s="208"/>
      <c r="I78" s="208"/>
      <c r="J78" s="208"/>
      <c r="K78" s="208"/>
      <c r="L78" s="208"/>
      <c r="M78" s="208"/>
      <c r="N78" s="208"/>
      <c r="O78" s="208"/>
      <c r="P78" s="208"/>
    </row>
    <row r="79" spans="1:16" s="201" customFormat="1">
      <c r="D79" s="208"/>
      <c r="E79" s="208"/>
      <c r="F79" s="208"/>
      <c r="G79" s="208"/>
      <c r="H79" s="208"/>
      <c r="I79" s="208"/>
      <c r="J79" s="208"/>
      <c r="K79" s="208"/>
      <c r="L79" s="208"/>
      <c r="M79" s="208"/>
      <c r="N79" s="208"/>
      <c r="O79" s="208"/>
      <c r="P79" s="208"/>
    </row>
    <row r="80" spans="1:16">
      <c r="A80" s="201"/>
      <c r="D80" s="209"/>
      <c r="E80" s="209"/>
      <c r="F80" s="209"/>
      <c r="G80" s="209"/>
      <c r="H80" s="209"/>
      <c r="I80" s="209"/>
      <c r="J80" s="209"/>
      <c r="K80" s="209"/>
      <c r="L80" s="209"/>
      <c r="M80" s="209"/>
      <c r="N80" s="209"/>
      <c r="O80" s="209"/>
      <c r="P80" s="209"/>
    </row>
    <row r="81" spans="1:16">
      <c r="A81" s="201">
        <v>2016</v>
      </c>
    </row>
    <row r="83" spans="1:16">
      <c r="A83" s="203" t="s">
        <v>258</v>
      </c>
      <c r="B83" s="203" t="s">
        <v>229</v>
      </c>
      <c r="C83" s="203" t="s">
        <v>231</v>
      </c>
      <c r="D83" s="203" t="s">
        <v>164</v>
      </c>
      <c r="E83" s="203" t="s">
        <v>165</v>
      </c>
      <c r="F83" s="203" t="s">
        <v>166</v>
      </c>
      <c r="G83" s="203" t="s">
        <v>167</v>
      </c>
      <c r="H83" s="203" t="s">
        <v>168</v>
      </c>
      <c r="I83" s="203" t="s">
        <v>184</v>
      </c>
      <c r="J83" s="203" t="s">
        <v>185</v>
      </c>
      <c r="K83" s="203" t="s">
        <v>171</v>
      </c>
      <c r="L83" s="203" t="s">
        <v>196</v>
      </c>
      <c r="M83" s="203" t="s">
        <v>173</v>
      </c>
      <c r="N83" s="203" t="s">
        <v>174</v>
      </c>
      <c r="O83" s="203" t="s">
        <v>175</v>
      </c>
      <c r="P83" s="211" t="s">
        <v>224</v>
      </c>
    </row>
    <row r="84" spans="1:16">
      <c r="A84" s="204" t="s">
        <v>209</v>
      </c>
      <c r="B84" s="205" t="s">
        <v>208</v>
      </c>
      <c r="C84" s="204"/>
      <c r="D84" s="206">
        <f t="shared" ref="D84:O85" si="14">+D90+D97</f>
        <v>2093916.63</v>
      </c>
      <c r="E84" s="206">
        <f t="shared" si="14"/>
        <v>2093916.67</v>
      </c>
      <c r="F84" s="206">
        <f t="shared" si="14"/>
        <v>2093916.67</v>
      </c>
      <c r="G84" s="206">
        <f t="shared" si="14"/>
        <v>2093916.67</v>
      </c>
      <c r="H84" s="206">
        <f t="shared" si="14"/>
        <v>2093916.67</v>
      </c>
      <c r="I84" s="206">
        <f t="shared" si="14"/>
        <v>2093916.67</v>
      </c>
      <c r="J84" s="206">
        <f t="shared" si="14"/>
        <v>2093916.67</v>
      </c>
      <c r="K84" s="206">
        <f t="shared" si="14"/>
        <v>2093916.67</v>
      </c>
      <c r="L84" s="206">
        <f t="shared" si="14"/>
        <v>2093916.67</v>
      </c>
      <c r="M84" s="206">
        <f t="shared" si="14"/>
        <v>2093916.67</v>
      </c>
      <c r="N84" s="206">
        <f t="shared" si="14"/>
        <v>2093916.67</v>
      </c>
      <c r="O84" s="206">
        <f t="shared" si="14"/>
        <v>2093916.67</v>
      </c>
      <c r="P84" s="206">
        <f>SUM(D84:O84)</f>
        <v>25127000</v>
      </c>
    </row>
    <row r="85" spans="1:16">
      <c r="A85" s="204" t="s">
        <v>212</v>
      </c>
      <c r="B85" s="205" t="s">
        <v>211</v>
      </c>
      <c r="C85" s="204"/>
      <c r="D85" s="206">
        <f>+D91+D98</f>
        <v>0</v>
      </c>
      <c r="E85" s="206">
        <f t="shared" si="14"/>
        <v>0</v>
      </c>
      <c r="F85" s="206">
        <f t="shared" si="14"/>
        <v>0</v>
      </c>
      <c r="G85" s="206">
        <f t="shared" si="14"/>
        <v>0</v>
      </c>
      <c r="H85" s="206">
        <f t="shared" si="14"/>
        <v>0</v>
      </c>
      <c r="I85" s="206">
        <f t="shared" si="14"/>
        <v>0</v>
      </c>
      <c r="J85" s="206">
        <f t="shared" si="14"/>
        <v>0</v>
      </c>
      <c r="K85" s="206">
        <f t="shared" si="14"/>
        <v>0</v>
      </c>
      <c r="L85" s="206">
        <f t="shared" si="14"/>
        <v>0</v>
      </c>
      <c r="M85" s="206">
        <f t="shared" si="14"/>
        <v>0</v>
      </c>
      <c r="N85" s="206">
        <f t="shared" si="14"/>
        <v>0</v>
      </c>
      <c r="O85" s="206">
        <f t="shared" si="14"/>
        <v>0</v>
      </c>
      <c r="P85" s="206">
        <f>SUM(D85:O85)</f>
        <v>0</v>
      </c>
    </row>
    <row r="86" spans="1:16">
      <c r="A86" s="204" t="s">
        <v>214</v>
      </c>
      <c r="B86" s="205" t="s">
        <v>213</v>
      </c>
      <c r="C86" s="204"/>
      <c r="D86" s="206"/>
      <c r="E86" s="206"/>
      <c r="F86" s="206"/>
      <c r="G86" s="206"/>
      <c r="H86" s="206"/>
      <c r="I86" s="206"/>
      <c r="J86" s="206"/>
      <c r="K86" s="206"/>
      <c r="L86" s="206"/>
      <c r="M86" s="206"/>
      <c r="N86" s="206"/>
      <c r="O86" s="206"/>
      <c r="P86" s="206">
        <f>SUM(D86:O86)</f>
        <v>0</v>
      </c>
    </row>
    <row r="87" spans="1:16">
      <c r="A87" s="204" t="s">
        <v>216</v>
      </c>
      <c r="B87" s="205" t="s">
        <v>215</v>
      </c>
      <c r="C87" s="204"/>
      <c r="D87" s="206">
        <f>+D93+D100</f>
        <v>188666.74</v>
      </c>
      <c r="E87" s="206">
        <f t="shared" ref="E87:O87" si="15">+E93+E100</f>
        <v>188666.65999999997</v>
      </c>
      <c r="F87" s="206">
        <f t="shared" si="15"/>
        <v>188666.65999999997</v>
      </c>
      <c r="G87" s="206">
        <f t="shared" si="15"/>
        <v>188666.65999999997</v>
      </c>
      <c r="H87" s="206">
        <f t="shared" si="15"/>
        <v>188666.65999999997</v>
      </c>
      <c r="I87" s="206">
        <f t="shared" si="15"/>
        <v>188666.65999999997</v>
      </c>
      <c r="J87" s="206">
        <f t="shared" si="15"/>
        <v>188666.65999999997</v>
      </c>
      <c r="K87" s="206">
        <f t="shared" si="15"/>
        <v>188666.65999999997</v>
      </c>
      <c r="L87" s="206">
        <f t="shared" si="15"/>
        <v>188666.65999999997</v>
      </c>
      <c r="M87" s="206">
        <f t="shared" si="15"/>
        <v>188666.65999999997</v>
      </c>
      <c r="N87" s="206">
        <f t="shared" si="15"/>
        <v>188666.65999999997</v>
      </c>
      <c r="O87" s="206">
        <f t="shared" si="15"/>
        <v>188666.65999999997</v>
      </c>
      <c r="P87" s="206">
        <f>SUM(D87:O87)</f>
        <v>2263999.9999999995</v>
      </c>
    </row>
    <row r="88" spans="1:16">
      <c r="A88" s="204"/>
      <c r="B88" s="205"/>
      <c r="C88" s="204"/>
      <c r="D88" s="215"/>
      <c r="E88" s="215"/>
      <c r="F88" s="215"/>
      <c r="G88" s="215"/>
      <c r="H88" s="215"/>
      <c r="I88" s="215"/>
      <c r="J88" s="215"/>
      <c r="K88" s="215"/>
      <c r="L88" s="215"/>
      <c r="M88" s="215"/>
      <c r="N88" s="215"/>
      <c r="O88" s="215"/>
      <c r="P88" s="216">
        <f>SUM(P84:P87)</f>
        <v>27391000</v>
      </c>
    </row>
    <row r="89" spans="1:16">
      <c r="A89" s="207" t="s">
        <v>91</v>
      </c>
      <c r="B89" s="205"/>
      <c r="C89" s="204"/>
      <c r="D89" s="215"/>
      <c r="E89" s="215"/>
      <c r="F89" s="215"/>
      <c r="G89" s="215"/>
      <c r="H89" s="215"/>
      <c r="I89" s="215"/>
      <c r="J89" s="215"/>
      <c r="K89" s="215"/>
      <c r="L89" s="215"/>
      <c r="M89" s="215"/>
      <c r="N89" s="215"/>
      <c r="O89" s="215"/>
      <c r="P89" s="215"/>
    </row>
    <row r="90" spans="1:16">
      <c r="A90" s="204" t="s">
        <v>209</v>
      </c>
      <c r="B90" s="205" t="s">
        <v>208</v>
      </c>
      <c r="C90" s="204"/>
      <c r="D90" s="215">
        <v>69987.210194353815</v>
      </c>
      <c r="E90" s="215">
        <v>69987.185114843509</v>
      </c>
      <c r="F90" s="215">
        <v>69987.185114843509</v>
      </c>
      <c r="G90" s="215">
        <v>74957.908500220539</v>
      </c>
      <c r="H90" s="215">
        <v>74957.908500220539</v>
      </c>
      <c r="I90" s="215">
        <v>74957.908500220539</v>
      </c>
      <c r="J90" s="215">
        <v>69782.204990206359</v>
      </c>
      <c r="K90" s="215">
        <v>69782.204990206359</v>
      </c>
      <c r="L90" s="215">
        <v>69782.204990206359</v>
      </c>
      <c r="M90" s="215">
        <v>69782.204990206359</v>
      </c>
      <c r="N90" s="215">
        <v>69782.204990206359</v>
      </c>
      <c r="O90" s="215">
        <v>69782.204990206359</v>
      </c>
      <c r="P90" s="206">
        <f>SUM(D90:O90)</f>
        <v>853528.53586594074</v>
      </c>
    </row>
    <row r="91" spans="1:16" ht="14.25" customHeight="1">
      <c r="A91" s="204" t="s">
        <v>212</v>
      </c>
      <c r="B91" s="205" t="s">
        <v>211</v>
      </c>
      <c r="D91" s="209"/>
      <c r="E91" s="209"/>
      <c r="F91" s="209"/>
      <c r="G91" s="209"/>
      <c r="H91" s="209"/>
      <c r="I91" s="209"/>
      <c r="J91" s="209"/>
      <c r="K91" s="209"/>
      <c r="L91" s="209"/>
      <c r="M91" s="209"/>
      <c r="N91" s="209"/>
      <c r="O91" s="209"/>
      <c r="P91" s="206">
        <f>SUM(D91:O91)</f>
        <v>0</v>
      </c>
    </row>
    <row r="92" spans="1:16">
      <c r="A92" s="204" t="s">
        <v>214</v>
      </c>
      <c r="B92" s="205" t="s">
        <v>213</v>
      </c>
      <c r="C92" s="204"/>
      <c r="D92" s="206"/>
      <c r="E92" s="206"/>
      <c r="F92" s="206"/>
      <c r="G92" s="209"/>
      <c r="H92" s="209"/>
      <c r="I92" s="209"/>
      <c r="J92" s="209"/>
      <c r="K92" s="209"/>
      <c r="L92" s="209"/>
      <c r="M92" s="209"/>
      <c r="N92" s="209"/>
      <c r="O92" s="209"/>
      <c r="P92" s="206">
        <f>SUM(D92:O92)</f>
        <v>0</v>
      </c>
    </row>
    <row r="93" spans="1:16">
      <c r="A93" s="204" t="s">
        <v>216</v>
      </c>
      <c r="B93" s="205" t="s">
        <v>215</v>
      </c>
      <c r="C93" s="204"/>
      <c r="D93" s="215">
        <v>35833.370000000003</v>
      </c>
      <c r="E93" s="215">
        <v>35833.33</v>
      </c>
      <c r="F93" s="215">
        <v>35833.33</v>
      </c>
      <c r="G93" s="215">
        <v>35833.33</v>
      </c>
      <c r="H93" s="215">
        <v>35833.33</v>
      </c>
      <c r="I93" s="215">
        <v>35833.33</v>
      </c>
      <c r="J93" s="215">
        <v>35833.33</v>
      </c>
      <c r="K93" s="215">
        <v>35833.33</v>
      </c>
      <c r="L93" s="215">
        <v>35833.33</v>
      </c>
      <c r="M93" s="215">
        <v>35833.33</v>
      </c>
      <c r="N93" s="215">
        <v>35833.33</v>
      </c>
      <c r="O93" s="215">
        <v>35833.33</v>
      </c>
      <c r="P93" s="206">
        <f>SUM(D93:O93)</f>
        <v>430000.00000000012</v>
      </c>
    </row>
    <row r="94" spans="1:16" s="201" customFormat="1">
      <c r="A94" s="207" t="s">
        <v>271</v>
      </c>
      <c r="D94" s="208"/>
      <c r="E94" s="208"/>
      <c r="F94" s="208"/>
      <c r="G94" s="208"/>
      <c r="H94" s="208"/>
      <c r="I94" s="208"/>
      <c r="J94" s="208"/>
      <c r="K94" s="208"/>
      <c r="L94" s="208"/>
      <c r="M94" s="208"/>
      <c r="N94" s="208"/>
      <c r="O94" s="208"/>
      <c r="P94" s="208">
        <f>+P93</f>
        <v>430000.00000000012</v>
      </c>
    </row>
    <row r="96" spans="1:16">
      <c r="A96" s="207" t="s">
        <v>272</v>
      </c>
      <c r="D96" s="209"/>
      <c r="E96" s="209"/>
      <c r="F96" s="209"/>
      <c r="G96" s="209"/>
      <c r="H96" s="209"/>
      <c r="I96" s="209"/>
      <c r="J96" s="209"/>
      <c r="K96" s="209"/>
      <c r="L96" s="209"/>
      <c r="M96" s="209"/>
      <c r="N96" s="209"/>
      <c r="O96" s="209"/>
    </row>
    <row r="97" spans="1:16">
      <c r="A97" s="204" t="s">
        <v>209</v>
      </c>
      <c r="B97" s="205" t="s">
        <v>208</v>
      </c>
      <c r="D97" s="209">
        <v>2023929.4198056462</v>
      </c>
      <c r="E97" s="209">
        <v>2023929.4848851564</v>
      </c>
      <c r="F97" s="209">
        <v>2023929.4848851564</v>
      </c>
      <c r="G97" s="209">
        <v>2018958.7614997793</v>
      </c>
      <c r="H97" s="209">
        <v>2018958.7614997793</v>
      </c>
      <c r="I97" s="209">
        <v>2018958.7614997793</v>
      </c>
      <c r="J97" s="209">
        <v>2024134.4650097936</v>
      </c>
      <c r="K97" s="209">
        <v>2024134.4650097936</v>
      </c>
      <c r="L97" s="209">
        <v>2024134.4650097936</v>
      </c>
      <c r="M97" s="209">
        <v>2024134.4650097936</v>
      </c>
      <c r="N97" s="209">
        <v>2024134.4650097936</v>
      </c>
      <c r="O97" s="209">
        <v>2024134.4650097936</v>
      </c>
      <c r="P97" s="206">
        <f>SUM(D97:O97)</f>
        <v>24273471.46413406</v>
      </c>
    </row>
    <row r="98" spans="1:16">
      <c r="A98" s="204" t="s">
        <v>212</v>
      </c>
      <c r="B98" s="205" t="s">
        <v>211</v>
      </c>
      <c r="D98" s="206"/>
      <c r="E98" s="206"/>
      <c r="F98" s="206"/>
      <c r="G98" s="206"/>
      <c r="H98" s="206"/>
      <c r="I98" s="206"/>
      <c r="J98" s="206"/>
      <c r="K98" s="206"/>
      <c r="L98" s="206"/>
      <c r="M98" s="206"/>
      <c r="N98" s="206"/>
      <c r="O98" s="206"/>
      <c r="P98" s="206">
        <f>SUM(D98:O98)</f>
        <v>0</v>
      </c>
    </row>
    <row r="99" spans="1:16">
      <c r="A99" s="204" t="s">
        <v>214</v>
      </c>
      <c r="B99" s="205" t="s">
        <v>213</v>
      </c>
      <c r="D99" s="206"/>
      <c r="E99" s="206"/>
      <c r="F99" s="206"/>
      <c r="G99" s="206"/>
      <c r="H99" s="206"/>
      <c r="I99" s="206"/>
      <c r="J99" s="206"/>
      <c r="K99" s="206"/>
      <c r="L99" s="206"/>
      <c r="M99" s="206"/>
      <c r="N99" s="206"/>
      <c r="O99" s="206"/>
      <c r="P99" s="206">
        <f>SUM(D99:O99)</f>
        <v>0</v>
      </c>
    </row>
    <row r="100" spans="1:16">
      <c r="A100" s="204" t="s">
        <v>216</v>
      </c>
      <c r="B100" s="205" t="s">
        <v>215</v>
      </c>
      <c r="D100" s="206">
        <v>152833.37</v>
      </c>
      <c r="E100" s="206">
        <v>152833.32999999999</v>
      </c>
      <c r="F100" s="206">
        <v>152833.32999999999</v>
      </c>
      <c r="G100" s="206">
        <v>152833.32999999999</v>
      </c>
      <c r="H100" s="206">
        <v>152833.32999999999</v>
      </c>
      <c r="I100" s="206">
        <v>152833.32999999999</v>
      </c>
      <c r="J100" s="206">
        <v>152833.32999999999</v>
      </c>
      <c r="K100" s="206">
        <v>152833.32999999999</v>
      </c>
      <c r="L100" s="206">
        <v>152833.32999999999</v>
      </c>
      <c r="M100" s="206">
        <v>152833.32999999999</v>
      </c>
      <c r="N100" s="206">
        <v>152833.32999999999</v>
      </c>
      <c r="O100" s="206">
        <v>152833.32999999999</v>
      </c>
      <c r="P100" s="206">
        <f>SUM(D100:O100)</f>
        <v>1834000.0000000002</v>
      </c>
    </row>
    <row r="101" spans="1:16">
      <c r="A101" s="207" t="s">
        <v>219</v>
      </c>
      <c r="B101" s="201"/>
      <c r="P101" s="208">
        <f>SUM(P97:P100)</f>
        <v>26107471.46413406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8"/>
  <sheetViews>
    <sheetView topLeftCell="A21" workbookViewId="0"/>
  </sheetViews>
  <sheetFormatPr defaultRowHeight="15.75"/>
  <cols>
    <col min="1" max="1" width="44.42578125" style="67" customWidth="1"/>
    <col min="2" max="7" width="16.7109375" style="67" customWidth="1"/>
    <col min="9" max="9" width="11.85546875" style="3" customWidth="1"/>
    <col min="10" max="10" width="17" style="3" bestFit="1" customWidth="1"/>
    <col min="11" max="11" width="16.140625" bestFit="1" customWidth="1"/>
    <col min="12" max="24" width="14.7109375" customWidth="1"/>
    <col min="26" max="26" width="10.5703125" bestFit="1" customWidth="1"/>
  </cols>
  <sheetData>
    <row r="1" spans="1:31" hidden="1">
      <c r="I1" s="22"/>
      <c r="J1" s="62"/>
      <c r="K1" s="34" t="s">
        <v>105</v>
      </c>
      <c r="L1" s="23"/>
      <c r="M1" s="23"/>
      <c r="N1" s="23"/>
      <c r="O1" s="24"/>
    </row>
    <row r="2" spans="1:31" ht="20.100000000000001" hidden="1" customHeight="1">
      <c r="I2" s="33" t="s">
        <v>100</v>
      </c>
      <c r="J2" s="63"/>
      <c r="K2" s="38">
        <v>5</v>
      </c>
      <c r="L2" s="31" t="s">
        <v>101</v>
      </c>
      <c r="M2" s="25"/>
      <c r="N2" s="25"/>
      <c r="O2" s="26"/>
      <c r="AB2">
        <v>5</v>
      </c>
      <c r="AC2" s="2" t="s">
        <v>97</v>
      </c>
      <c r="AD2">
        <v>1</v>
      </c>
      <c r="AE2" s="2" t="s">
        <v>107</v>
      </c>
    </row>
    <row r="3" spans="1:31" ht="20.100000000000001" hidden="1" customHeight="1">
      <c r="I3" s="27"/>
      <c r="J3" s="64"/>
      <c r="K3" s="38" t="s">
        <v>85</v>
      </c>
      <c r="L3" s="31" t="s">
        <v>102</v>
      </c>
      <c r="M3" s="25"/>
      <c r="N3" s="25"/>
      <c r="O3" s="26"/>
      <c r="AB3">
        <v>7</v>
      </c>
      <c r="AC3" s="2" t="s">
        <v>85</v>
      </c>
      <c r="AD3">
        <v>2</v>
      </c>
      <c r="AE3" s="2" t="s">
        <v>108</v>
      </c>
    </row>
    <row r="4" spans="1:31" ht="20.100000000000001" hidden="1" customHeight="1">
      <c r="I4" s="27"/>
      <c r="J4" s="64"/>
      <c r="K4" s="38">
        <v>2</v>
      </c>
      <c r="L4" s="32" t="s">
        <v>103</v>
      </c>
      <c r="M4" s="25"/>
      <c r="N4" s="25"/>
      <c r="O4" s="26"/>
    </row>
    <row r="5" spans="1:31" ht="20.100000000000001" hidden="1" customHeight="1">
      <c r="I5" s="27"/>
      <c r="J5" s="64"/>
      <c r="K5" s="38" t="s">
        <v>107</v>
      </c>
      <c r="L5" s="31" t="s">
        <v>111</v>
      </c>
      <c r="M5" s="25"/>
      <c r="N5" s="25"/>
      <c r="O5" s="26"/>
    </row>
    <row r="6" spans="1:31" ht="12.75" hidden="1" customHeight="1">
      <c r="I6" s="28"/>
      <c r="J6" s="65"/>
      <c r="K6" s="29"/>
      <c r="L6" s="29"/>
      <c r="M6" s="29"/>
      <c r="N6" s="29"/>
      <c r="O6" s="30"/>
      <c r="V6" s="39"/>
    </row>
    <row r="7" spans="1:31" ht="12.75" hidden="1" customHeight="1"/>
    <row r="8" spans="1:31" hidden="1"/>
    <row r="9" spans="1:31" s="4" customFormat="1" ht="27.75" hidden="1" customHeight="1">
      <c r="A9" s="73"/>
      <c r="B9" s="73"/>
      <c r="C9" s="73"/>
      <c r="D9" s="73"/>
      <c r="E9" s="73"/>
      <c r="F9" s="73"/>
      <c r="G9" s="73"/>
      <c r="I9" s="17" t="s">
        <v>97</v>
      </c>
      <c r="J9" s="17"/>
      <c r="R9" s="564" t="s">
        <v>95</v>
      </c>
      <c r="S9" s="565"/>
      <c r="T9" s="565"/>
      <c r="U9" s="565"/>
      <c r="V9" s="565"/>
      <c r="W9" s="565"/>
      <c r="X9" s="565"/>
    </row>
    <row r="10" spans="1:31" s="4" customFormat="1" hidden="1">
      <c r="A10" s="73"/>
      <c r="B10" s="73"/>
      <c r="C10" s="73"/>
      <c r="D10" s="73"/>
      <c r="E10" s="73"/>
      <c r="F10" s="73"/>
      <c r="G10" s="73"/>
      <c r="I10" s="10"/>
      <c r="J10" s="61"/>
      <c r="K10" s="13" t="s">
        <v>88</v>
      </c>
      <c r="L10" s="14" t="s">
        <v>88</v>
      </c>
      <c r="M10" s="14" t="s">
        <v>88</v>
      </c>
      <c r="N10" s="14" t="s">
        <v>115</v>
      </c>
      <c r="O10" s="14" t="s">
        <v>115</v>
      </c>
      <c r="P10" s="14" t="s">
        <v>115</v>
      </c>
      <c r="Q10" s="14" t="s">
        <v>113</v>
      </c>
      <c r="R10" s="14" t="s">
        <v>92</v>
      </c>
      <c r="S10" s="14" t="s">
        <v>92</v>
      </c>
      <c r="T10" s="14" t="s">
        <v>92</v>
      </c>
      <c r="U10" s="14" t="s">
        <v>92</v>
      </c>
      <c r="V10" s="14" t="s">
        <v>96</v>
      </c>
      <c r="W10" s="14" t="s">
        <v>96</v>
      </c>
      <c r="X10" s="14" t="s">
        <v>94</v>
      </c>
    </row>
    <row r="11" spans="1:31" s="4" customFormat="1" hidden="1">
      <c r="A11" s="73"/>
      <c r="B11" s="73"/>
      <c r="C11" s="73"/>
      <c r="D11" s="73"/>
      <c r="E11" s="73"/>
      <c r="F11" s="73"/>
      <c r="G11" s="73"/>
      <c r="I11" s="10"/>
      <c r="J11" s="61"/>
      <c r="K11" s="15" t="s">
        <v>89</v>
      </c>
      <c r="L11" s="15" t="s">
        <v>90</v>
      </c>
      <c r="M11" s="15" t="s">
        <v>91</v>
      </c>
      <c r="N11" s="15" t="s">
        <v>89</v>
      </c>
      <c r="O11" s="15" t="s">
        <v>90</v>
      </c>
      <c r="P11" s="15" t="s">
        <v>91</v>
      </c>
      <c r="Q11" s="15" t="s">
        <v>93</v>
      </c>
      <c r="R11" s="15" t="s">
        <v>89</v>
      </c>
      <c r="S11" s="15" t="s">
        <v>90</v>
      </c>
      <c r="T11" s="15" t="s">
        <v>91</v>
      </c>
      <c r="U11" s="15" t="s">
        <v>93</v>
      </c>
      <c r="V11" s="15" t="s">
        <v>89</v>
      </c>
      <c r="W11" s="15" t="s">
        <v>93</v>
      </c>
      <c r="X11" s="15" t="s">
        <v>89</v>
      </c>
    </row>
    <row r="12" spans="1:31" hidden="1">
      <c r="I12" s="10" t="s">
        <v>87</v>
      </c>
      <c r="J12" s="61"/>
      <c r="K12" s="11"/>
      <c r="L12" s="11"/>
      <c r="M12" s="11"/>
      <c r="N12" s="11"/>
      <c r="O12" s="11"/>
      <c r="P12" s="11"/>
      <c r="Q12" s="11"/>
      <c r="R12" s="11"/>
      <c r="S12" s="11"/>
      <c r="T12" s="11"/>
      <c r="U12" s="11"/>
      <c r="V12" s="19">
        <v>2.5000000000000001E-2</v>
      </c>
      <c r="W12" s="19">
        <v>2.5000000000000001E-2</v>
      </c>
      <c r="X12" s="19">
        <v>2.5000000000000001E-2</v>
      </c>
      <c r="Y12" s="9" t="s">
        <v>99</v>
      </c>
    </row>
    <row r="13" spans="1:31" hidden="1">
      <c r="I13" s="10">
        <v>1</v>
      </c>
      <c r="J13" s="61"/>
      <c r="K13" s="35">
        <v>27951000</v>
      </c>
      <c r="L13" s="35">
        <v>1490260</v>
      </c>
      <c r="M13" s="35">
        <v>1061000</v>
      </c>
      <c r="N13" s="35"/>
      <c r="O13" s="35"/>
      <c r="P13" s="35"/>
      <c r="Q13" s="35">
        <v>0</v>
      </c>
      <c r="R13" s="35">
        <v>20375000</v>
      </c>
      <c r="S13" s="35">
        <v>3375560.49</v>
      </c>
      <c r="T13" s="35">
        <v>163000</v>
      </c>
      <c r="U13" s="35">
        <v>0</v>
      </c>
      <c r="V13" s="35">
        <v>5000000</v>
      </c>
      <c r="W13" s="35">
        <v>-200000</v>
      </c>
      <c r="X13" s="35">
        <v>1000000</v>
      </c>
    </row>
    <row r="14" spans="1:31" hidden="1">
      <c r="I14" s="10">
        <v>2</v>
      </c>
      <c r="J14" s="61"/>
      <c r="K14" s="35">
        <v>29567000</v>
      </c>
      <c r="L14" s="35">
        <v>1490260</v>
      </c>
      <c r="M14" s="35">
        <v>1130000</v>
      </c>
      <c r="N14" s="35"/>
      <c r="O14" s="35"/>
      <c r="P14" s="35"/>
      <c r="Q14" s="35">
        <v>0</v>
      </c>
      <c r="R14" s="35">
        <v>21346000</v>
      </c>
      <c r="S14" s="35">
        <v>3375560.49</v>
      </c>
      <c r="T14" s="35">
        <v>167000</v>
      </c>
      <c r="U14" s="35">
        <v>0</v>
      </c>
      <c r="V14" s="35">
        <f>V13*(1+V$12)</f>
        <v>5125000</v>
      </c>
      <c r="W14" s="35">
        <f>W13*(1+W$12)</f>
        <v>-204999.99999999997</v>
      </c>
      <c r="X14" s="35">
        <f>X13*(1+X$12)</f>
        <v>1024999.9999999999</v>
      </c>
    </row>
    <row r="15" spans="1:31" hidden="1">
      <c r="I15" s="10">
        <v>3</v>
      </c>
      <c r="J15" s="61"/>
      <c r="K15" s="35">
        <v>30752000</v>
      </c>
      <c r="L15" s="35">
        <v>1490260</v>
      </c>
      <c r="M15" s="35">
        <v>1172000</v>
      </c>
      <c r="N15" s="35"/>
      <c r="O15" s="35"/>
      <c r="P15" s="35"/>
      <c r="Q15" s="35">
        <v>0</v>
      </c>
      <c r="R15" s="35">
        <v>21987000</v>
      </c>
      <c r="S15" s="35">
        <v>3375560.49</v>
      </c>
      <c r="T15" s="35">
        <v>172000</v>
      </c>
      <c r="U15" s="35">
        <v>0</v>
      </c>
      <c r="V15" s="35">
        <f t="shared" ref="V15:X17" si="0">V14*(1+V$12)</f>
        <v>5253125</v>
      </c>
      <c r="W15" s="35">
        <f t="shared" si="0"/>
        <v>-210124.99999999994</v>
      </c>
      <c r="X15" s="35">
        <f t="shared" si="0"/>
        <v>1050624.9999999998</v>
      </c>
    </row>
    <row r="16" spans="1:31" hidden="1">
      <c r="I16" s="10">
        <v>4</v>
      </c>
      <c r="J16" s="61"/>
      <c r="K16" s="35">
        <v>31168000</v>
      </c>
      <c r="L16" s="35">
        <v>1490260</v>
      </c>
      <c r="M16" s="35">
        <v>1130000</v>
      </c>
      <c r="N16" s="35"/>
      <c r="O16" s="35"/>
      <c r="P16" s="35"/>
      <c r="Q16" s="35">
        <v>0</v>
      </c>
      <c r="R16" s="35">
        <v>22646000</v>
      </c>
      <c r="S16" s="35">
        <v>3375560.49</v>
      </c>
      <c r="T16" s="35">
        <v>178000</v>
      </c>
      <c r="U16" s="35">
        <v>0</v>
      </c>
      <c r="V16" s="35">
        <f t="shared" si="0"/>
        <v>5384453.1249999991</v>
      </c>
      <c r="W16" s="35">
        <f t="shared" si="0"/>
        <v>-215378.12499999991</v>
      </c>
      <c r="X16" s="35">
        <f t="shared" si="0"/>
        <v>1076890.6249999998</v>
      </c>
    </row>
    <row r="17" spans="1:24" hidden="1">
      <c r="I17" s="10">
        <v>5</v>
      </c>
      <c r="J17" s="61"/>
      <c r="K17" s="36"/>
      <c r="L17" s="36"/>
      <c r="M17" s="36"/>
      <c r="N17" s="36"/>
      <c r="O17" s="36"/>
      <c r="P17" s="36"/>
      <c r="Q17" s="35">
        <v>0</v>
      </c>
      <c r="R17" s="35">
        <v>23326000</v>
      </c>
      <c r="S17" s="35">
        <v>3375560.49</v>
      </c>
      <c r="T17" s="35">
        <v>183000</v>
      </c>
      <c r="U17" s="35">
        <v>0</v>
      </c>
      <c r="V17" s="35">
        <f t="shared" si="0"/>
        <v>5519064.4531249981</v>
      </c>
      <c r="W17" s="35">
        <f t="shared" si="0"/>
        <v>-220762.57812499988</v>
      </c>
      <c r="X17" s="35">
        <f t="shared" si="0"/>
        <v>1103812.8906249998</v>
      </c>
    </row>
    <row r="18" spans="1:24" hidden="1">
      <c r="I18" s="10">
        <v>6</v>
      </c>
      <c r="J18" s="61"/>
      <c r="K18" s="36"/>
      <c r="L18" s="36"/>
      <c r="M18" s="36"/>
      <c r="N18" s="36"/>
      <c r="O18" s="36"/>
      <c r="P18" s="36"/>
      <c r="Q18" s="35">
        <v>0</v>
      </c>
      <c r="R18" s="37"/>
      <c r="S18" s="37"/>
      <c r="T18" s="37"/>
      <c r="U18" s="35">
        <v>0</v>
      </c>
      <c r="V18" s="35">
        <f t="shared" ref="V18:X19" si="1">V17*(1+V$12)</f>
        <v>5657041.0644531222</v>
      </c>
      <c r="W18" s="35">
        <f t="shared" si="1"/>
        <v>-226281.64257812485</v>
      </c>
      <c r="X18" s="35">
        <f t="shared" si="1"/>
        <v>1131408.2128906248</v>
      </c>
    </row>
    <row r="19" spans="1:24" hidden="1">
      <c r="I19" s="10">
        <v>7</v>
      </c>
      <c r="J19" s="61"/>
      <c r="K19" s="36"/>
      <c r="L19" s="36"/>
      <c r="M19" s="36"/>
      <c r="N19" s="36"/>
      <c r="O19" s="36"/>
      <c r="P19" s="36"/>
      <c r="Q19" s="35">
        <v>0</v>
      </c>
      <c r="R19" s="37"/>
      <c r="S19" s="37"/>
      <c r="T19" s="37"/>
      <c r="U19" s="35">
        <v>0</v>
      </c>
      <c r="V19" s="35">
        <f t="shared" si="1"/>
        <v>5798467.0910644494</v>
      </c>
      <c r="W19" s="35">
        <f t="shared" si="1"/>
        <v>-231938.68364257796</v>
      </c>
      <c r="X19" s="35">
        <f t="shared" si="1"/>
        <v>1159693.4182128904</v>
      </c>
    </row>
    <row r="20" spans="1:24" hidden="1">
      <c r="I20" s="10" t="s">
        <v>98</v>
      </c>
      <c r="J20" s="61"/>
      <c r="K20" s="18">
        <f>SUM(K13:K19)</f>
        <v>119438000</v>
      </c>
      <c r="L20" s="18">
        <f t="shared" ref="L20:X20" si="2">SUM(L13:L19)</f>
        <v>5961040</v>
      </c>
      <c r="M20" s="18">
        <f t="shared" si="2"/>
        <v>4493000</v>
      </c>
      <c r="N20" s="18">
        <f>SUM(N13:N19)</f>
        <v>0</v>
      </c>
      <c r="O20" s="18">
        <f>SUM(O13:O19)</f>
        <v>0</v>
      </c>
      <c r="P20" s="18">
        <f>SUM(P13:P19)</f>
        <v>0</v>
      </c>
      <c r="Q20" s="18">
        <f>SUM(Q13:Q19)</f>
        <v>0</v>
      </c>
      <c r="R20" s="18">
        <f t="shared" si="2"/>
        <v>109680000</v>
      </c>
      <c r="S20" s="18">
        <f t="shared" si="2"/>
        <v>16877802.450000003</v>
      </c>
      <c r="T20" s="18">
        <f>SUM(T13:T19)</f>
        <v>863000</v>
      </c>
      <c r="U20" s="18">
        <f t="shared" si="2"/>
        <v>0</v>
      </c>
      <c r="V20" s="18">
        <f t="shared" si="2"/>
        <v>37737150.733642571</v>
      </c>
      <c r="W20" s="18">
        <f t="shared" si="2"/>
        <v>-1509486.0293457024</v>
      </c>
      <c r="X20" s="18">
        <f t="shared" si="2"/>
        <v>7547430.1467285156</v>
      </c>
    </row>
    <row r="21" spans="1:24" ht="18.75">
      <c r="A21" s="560" t="s">
        <v>84</v>
      </c>
      <c r="B21" s="560"/>
      <c r="C21" s="560"/>
      <c r="D21" s="560"/>
      <c r="E21" s="560"/>
      <c r="F21" s="560"/>
      <c r="G21" s="560"/>
      <c r="J21" s="174"/>
      <c r="K21" s="174"/>
      <c r="L21" s="174"/>
      <c r="M21" s="174"/>
      <c r="N21" s="174"/>
      <c r="O21" s="174"/>
      <c r="P21" s="174"/>
      <c r="Q21" s="174"/>
      <c r="R21" s="72"/>
      <c r="S21" s="72"/>
      <c r="T21" s="72"/>
      <c r="U21" s="72"/>
      <c r="V21" s="72"/>
      <c r="W21" s="72"/>
      <c r="X21" s="72"/>
    </row>
    <row r="22" spans="1:24" ht="18.75">
      <c r="A22" s="560" t="s">
        <v>158</v>
      </c>
      <c r="B22" s="560"/>
      <c r="C22" s="560"/>
      <c r="D22" s="560"/>
      <c r="E22" s="560"/>
      <c r="F22" s="560"/>
      <c r="G22" s="560"/>
      <c r="J22" s="174"/>
      <c r="K22" s="174"/>
      <c r="L22" s="174"/>
      <c r="M22" s="174"/>
      <c r="N22" s="174"/>
      <c r="O22" s="174"/>
      <c r="P22" s="174"/>
      <c r="Q22" s="174"/>
      <c r="R22" s="72"/>
      <c r="S22" s="72"/>
      <c r="T22" s="72"/>
      <c r="U22" s="72"/>
      <c r="V22" s="72"/>
      <c r="W22" s="72"/>
      <c r="X22" s="72"/>
    </row>
    <row r="23" spans="1:24">
      <c r="I23" s="20"/>
      <c r="J23" s="68"/>
      <c r="K23" s="72"/>
      <c r="L23" s="72"/>
      <c r="M23" s="72"/>
      <c r="N23" s="72"/>
      <c r="O23" s="72"/>
      <c r="P23" s="72"/>
      <c r="R23" s="72"/>
      <c r="S23" s="72"/>
      <c r="T23" s="72"/>
      <c r="U23" s="72"/>
      <c r="V23" s="72"/>
      <c r="W23" s="72"/>
      <c r="X23" s="72"/>
    </row>
    <row r="24" spans="1:24">
      <c r="I24" s="20"/>
      <c r="J24" s="68"/>
      <c r="K24" s="72"/>
      <c r="L24" s="72"/>
      <c r="M24" s="72"/>
      <c r="N24" s="72"/>
      <c r="O24" s="72"/>
      <c r="P24" s="72"/>
      <c r="R24" s="72"/>
      <c r="S24" s="72"/>
      <c r="T24" s="72"/>
      <c r="U24" s="72"/>
      <c r="V24" s="72"/>
      <c r="W24" s="72"/>
      <c r="X24" s="72"/>
    </row>
    <row r="25" spans="1:24">
      <c r="I25" s="71"/>
      <c r="J25" s="71"/>
      <c r="K25" s="72"/>
      <c r="L25" s="72"/>
      <c r="M25" s="72"/>
      <c r="N25" s="72"/>
      <c r="O25" s="72"/>
      <c r="P25" s="72"/>
      <c r="R25" s="72"/>
      <c r="S25" s="72"/>
      <c r="T25" s="72"/>
      <c r="U25" s="72"/>
      <c r="V25" s="72"/>
      <c r="W25" s="72"/>
      <c r="X25" s="72"/>
    </row>
    <row r="26" spans="1:24" ht="18" hidden="1">
      <c r="I26" s="40" t="s">
        <v>85</v>
      </c>
      <c r="J26" s="40"/>
    </row>
    <row r="27" spans="1:24" s="4" customFormat="1">
      <c r="A27" s="73"/>
      <c r="B27" s="73"/>
      <c r="C27" s="73"/>
      <c r="D27" s="73"/>
      <c r="E27" s="73"/>
      <c r="F27" s="73"/>
      <c r="G27" s="73"/>
      <c r="I27"/>
      <c r="J27"/>
      <c r="K27"/>
      <c r="L27"/>
      <c r="M27"/>
      <c r="N27"/>
      <c r="O27"/>
      <c r="P27"/>
      <c r="Q27"/>
    </row>
    <row r="28" spans="1:24" ht="16.5" thickBot="1">
      <c r="A28" s="178" t="s">
        <v>7</v>
      </c>
      <c r="B28" s="178">
        <v>2012</v>
      </c>
      <c r="C28" s="178">
        <v>2013</v>
      </c>
      <c r="D28" s="178">
        <v>2014</v>
      </c>
      <c r="E28" s="178">
        <v>2015</v>
      </c>
      <c r="F28" s="178">
        <v>2016</v>
      </c>
      <c r="G28" s="178">
        <v>2017</v>
      </c>
      <c r="I28"/>
      <c r="J28"/>
    </row>
    <row r="29" spans="1:24">
      <c r="A29" s="179"/>
      <c r="B29" s="179"/>
      <c r="C29" s="179"/>
      <c r="D29" s="179"/>
      <c r="E29" s="179"/>
      <c r="F29" s="179"/>
      <c r="G29" s="179"/>
      <c r="I29"/>
      <c r="J29"/>
    </row>
    <row r="30" spans="1:24">
      <c r="A30" s="67" t="s">
        <v>119</v>
      </c>
      <c r="B30" s="175">
        <v>12844209</v>
      </c>
      <c r="C30" s="175">
        <v>20071157</v>
      </c>
      <c r="D30" s="175">
        <v>21044331</v>
      </c>
      <c r="E30" s="175">
        <v>23052000</v>
      </c>
      <c r="F30" s="175">
        <v>24273471</v>
      </c>
      <c r="G30" s="175">
        <v>0</v>
      </c>
      <c r="I30"/>
      <c r="J30"/>
    </row>
    <row r="31" spans="1:24">
      <c r="A31" s="67" t="s">
        <v>120</v>
      </c>
      <c r="B31" s="175">
        <v>-684813.09807663399</v>
      </c>
      <c r="C31" s="175">
        <v>-1011642.79199175</v>
      </c>
      <c r="D31" s="175">
        <v>-1019820.65283754</v>
      </c>
      <c r="E31" s="175">
        <v>-1102203.33418891</v>
      </c>
      <c r="F31" s="175">
        <v>-1160606.48397266</v>
      </c>
      <c r="G31" s="175">
        <v>0</v>
      </c>
      <c r="I31"/>
      <c r="J31"/>
    </row>
    <row r="32" spans="1:24">
      <c r="A32" s="67" t="s">
        <v>146</v>
      </c>
      <c r="B32" s="175">
        <v>1333688</v>
      </c>
      <c r="C32" s="175">
        <v>1680450</v>
      </c>
      <c r="D32" s="175">
        <v>1738915</v>
      </c>
      <c r="E32" s="175">
        <v>1785000</v>
      </c>
      <c r="F32" s="175">
        <v>1834000</v>
      </c>
      <c r="G32" s="175">
        <v>0</v>
      </c>
      <c r="I32"/>
      <c r="J32"/>
    </row>
    <row r="33" spans="1:26">
      <c r="A33" s="67" t="s">
        <v>121</v>
      </c>
      <c r="B33" s="176">
        <v>-71108.077667346399</v>
      </c>
      <c r="C33" s="176">
        <v>-84699.408698887302</v>
      </c>
      <c r="D33" s="176">
        <v>-84268.843258975001</v>
      </c>
      <c r="E33" s="176">
        <v>-85347.6033110883</v>
      </c>
      <c r="F33" s="176">
        <v>-87690.478696098595</v>
      </c>
      <c r="G33" s="176">
        <v>0</v>
      </c>
      <c r="I33"/>
      <c r="J33"/>
    </row>
    <row r="34" spans="1:26">
      <c r="A34" s="67" t="s">
        <v>147</v>
      </c>
      <c r="B34" s="175">
        <v>0</v>
      </c>
      <c r="C34" s="175">
        <v>16814074</v>
      </c>
      <c r="D34" s="175">
        <v>23307809</v>
      </c>
      <c r="E34" s="175">
        <v>23743206</v>
      </c>
      <c r="F34" s="175">
        <v>24247299</v>
      </c>
      <c r="G34" s="175">
        <v>24724972</v>
      </c>
      <c r="I34"/>
      <c r="J34"/>
    </row>
    <row r="35" spans="1:26">
      <c r="A35" s="67" t="s">
        <v>123</v>
      </c>
      <c r="B35" s="175">
        <v>0</v>
      </c>
      <c r="C35" s="175">
        <v>-3375560.49</v>
      </c>
      <c r="D35" s="175">
        <v>-3375560.49</v>
      </c>
      <c r="E35" s="175">
        <v>-3375560.49</v>
      </c>
      <c r="F35" s="175">
        <v>-3375560.49</v>
      </c>
      <c r="G35" s="175">
        <v>-3375560.49</v>
      </c>
      <c r="I35"/>
      <c r="J35"/>
    </row>
    <row r="36" spans="1:26">
      <c r="A36" s="67" t="s">
        <v>148</v>
      </c>
      <c r="B36" s="177">
        <v>0</v>
      </c>
      <c r="C36" s="177">
        <v>6399445</v>
      </c>
      <c r="D36" s="177">
        <v>6591428</v>
      </c>
      <c r="E36" s="177">
        <v>6789171</v>
      </c>
      <c r="F36" s="177">
        <v>6992846</v>
      </c>
      <c r="G36" s="177">
        <v>7202632</v>
      </c>
      <c r="I36"/>
      <c r="J36"/>
    </row>
    <row r="37" spans="1:26">
      <c r="A37" s="67" t="s">
        <v>149</v>
      </c>
      <c r="B37" s="175">
        <f t="shared" ref="B37:G37" si="3">SUM(B30:B36)</f>
        <v>13421975.82425602</v>
      </c>
      <c r="C37" s="175">
        <f t="shared" si="3"/>
        <v>40493223.309309356</v>
      </c>
      <c r="D37" s="175">
        <f t="shared" si="3"/>
        <v>48202833.013903484</v>
      </c>
      <c r="E37" s="175">
        <f t="shared" si="3"/>
        <v>50806265.572499998</v>
      </c>
      <c r="F37" s="175">
        <f t="shared" si="3"/>
        <v>52723758.547331236</v>
      </c>
      <c r="G37" s="175">
        <f t="shared" si="3"/>
        <v>28552043.509999998</v>
      </c>
      <c r="I37"/>
      <c r="J37"/>
    </row>
    <row r="38" spans="1:26">
      <c r="B38" s="175"/>
      <c r="C38" s="175"/>
      <c r="D38" s="175"/>
      <c r="E38" s="175"/>
      <c r="F38" s="175"/>
      <c r="G38" s="175"/>
      <c r="I38"/>
      <c r="J38"/>
    </row>
    <row r="39" spans="1:26" hidden="1">
      <c r="B39" s="175"/>
      <c r="C39" s="175"/>
      <c r="D39" s="175"/>
      <c r="E39" s="175"/>
      <c r="F39" s="175"/>
      <c r="G39" s="175"/>
      <c r="I39"/>
      <c r="J39"/>
      <c r="T39" s="66" t="s">
        <v>131</v>
      </c>
      <c r="U39" s="21">
        <f>M105+O105+Q105</f>
        <v>0</v>
      </c>
    </row>
    <row r="40" spans="1:26" hidden="1">
      <c r="B40" s="175"/>
      <c r="C40" s="175"/>
      <c r="D40" s="175"/>
      <c r="E40" s="175"/>
      <c r="F40" s="175"/>
      <c r="G40" s="175"/>
      <c r="I40"/>
      <c r="J40"/>
    </row>
    <row r="41" spans="1:26" hidden="1">
      <c r="B41" s="175"/>
      <c r="C41" s="175"/>
      <c r="D41" s="175"/>
      <c r="E41" s="175"/>
      <c r="F41" s="175"/>
      <c r="G41" s="175"/>
      <c r="I41"/>
      <c r="J41"/>
    </row>
    <row r="42" spans="1:26" hidden="1">
      <c r="B42" s="175"/>
      <c r="C42" s="175"/>
      <c r="D42" s="175"/>
      <c r="E42" s="175"/>
      <c r="F42" s="175"/>
      <c r="G42" s="175"/>
      <c r="I42"/>
      <c r="J42"/>
    </row>
    <row r="43" spans="1:26" hidden="1">
      <c r="B43" s="175"/>
      <c r="C43" s="175"/>
      <c r="D43" s="175"/>
      <c r="E43" s="175"/>
      <c r="F43" s="175"/>
      <c r="G43" s="175"/>
      <c r="I43"/>
      <c r="J43"/>
      <c r="R43" s="21"/>
    </row>
    <row r="44" spans="1:26" hidden="1">
      <c r="B44" s="175"/>
      <c r="C44" s="175"/>
      <c r="D44" s="175"/>
      <c r="E44" s="175"/>
      <c r="F44" s="175"/>
      <c r="G44" s="175"/>
      <c r="I44"/>
      <c r="J44"/>
    </row>
    <row r="45" spans="1:26" hidden="1">
      <c r="B45" s="175"/>
      <c r="C45" s="175"/>
      <c r="D45" s="175"/>
      <c r="E45" s="175"/>
      <c r="F45" s="175"/>
      <c r="G45" s="175"/>
      <c r="I45"/>
      <c r="J45"/>
      <c r="R45" s="12">
        <v>21437000</v>
      </c>
      <c r="S45" s="35">
        <v>3375560.49</v>
      </c>
      <c r="T45" s="35">
        <v>163000</v>
      </c>
      <c r="U45" s="35">
        <v>0</v>
      </c>
      <c r="V45" s="12">
        <v>7800000</v>
      </c>
      <c r="W45" s="12">
        <v>-200000</v>
      </c>
      <c r="X45" s="12">
        <v>3000000</v>
      </c>
      <c r="Z45">
        <v>2012</v>
      </c>
    </row>
    <row r="46" spans="1:26" hidden="1">
      <c r="B46" s="175"/>
      <c r="C46" s="175"/>
      <c r="D46" s="175"/>
      <c r="E46" s="175"/>
      <c r="F46" s="175"/>
      <c r="G46" s="175"/>
      <c r="I46"/>
      <c r="J46"/>
      <c r="R46" s="12">
        <v>22080000</v>
      </c>
      <c r="S46" s="35">
        <v>3375560.49</v>
      </c>
      <c r="T46" s="35">
        <v>167000</v>
      </c>
      <c r="U46" s="35">
        <v>0</v>
      </c>
      <c r="V46" s="12">
        <f>V45*(1+V$12)</f>
        <v>7994999.9999999991</v>
      </c>
      <c r="W46" s="12">
        <f>W45*(1+W$12)</f>
        <v>-204999.99999999997</v>
      </c>
      <c r="X46" s="12">
        <f>X45*(1+X$12)</f>
        <v>3074999.9999999995</v>
      </c>
      <c r="Z46">
        <v>2013</v>
      </c>
    </row>
    <row r="47" spans="1:26" hidden="1">
      <c r="B47" s="175"/>
      <c r="C47" s="175"/>
      <c r="D47" s="175"/>
      <c r="E47" s="175"/>
      <c r="F47" s="175"/>
      <c r="G47" s="175"/>
      <c r="I47"/>
      <c r="J47"/>
      <c r="R47" s="12">
        <v>22743000</v>
      </c>
      <c r="S47" s="35">
        <v>3375560.49</v>
      </c>
      <c r="T47" s="35">
        <v>172000</v>
      </c>
      <c r="U47" s="35">
        <v>0</v>
      </c>
      <c r="V47" s="12">
        <f t="shared" ref="V47:X51" si="4">V46*(1+V$12)</f>
        <v>8194874.9999999981</v>
      </c>
      <c r="W47" s="12">
        <f t="shared" si="4"/>
        <v>-210124.99999999994</v>
      </c>
      <c r="X47" s="12">
        <f t="shared" si="4"/>
        <v>3151874.9999999991</v>
      </c>
      <c r="Z47">
        <v>2014</v>
      </c>
    </row>
    <row r="48" spans="1:26" hidden="1">
      <c r="B48" s="175"/>
      <c r="C48" s="175"/>
      <c r="D48" s="175"/>
      <c r="E48" s="175"/>
      <c r="F48" s="175"/>
      <c r="G48" s="175"/>
      <c r="I48"/>
      <c r="J48"/>
      <c r="R48" s="12">
        <v>23425000</v>
      </c>
      <c r="S48" s="35">
        <v>3375560.49</v>
      </c>
      <c r="T48" s="35">
        <v>178000</v>
      </c>
      <c r="U48" s="35">
        <v>0</v>
      </c>
      <c r="V48" s="12">
        <f t="shared" si="4"/>
        <v>8399746.8749999981</v>
      </c>
      <c r="W48" s="12">
        <f t="shared" si="4"/>
        <v>-215378.12499999991</v>
      </c>
      <c r="X48" s="12">
        <f t="shared" si="4"/>
        <v>3230671.8749999986</v>
      </c>
      <c r="Z48">
        <v>2015</v>
      </c>
    </row>
    <row r="49" spans="2:26" hidden="1">
      <c r="B49" s="175"/>
      <c r="C49" s="175"/>
      <c r="D49" s="175"/>
      <c r="E49" s="175"/>
      <c r="F49" s="175"/>
      <c r="G49" s="175"/>
      <c r="I49"/>
      <c r="J49"/>
      <c r="R49" s="12">
        <v>24128000</v>
      </c>
      <c r="S49" s="35">
        <v>3375560.49</v>
      </c>
      <c r="T49" s="35">
        <v>183000</v>
      </c>
      <c r="U49" s="35">
        <v>0</v>
      </c>
      <c r="V49" s="12">
        <f t="shared" si="4"/>
        <v>8609740.5468749981</v>
      </c>
      <c r="W49" s="12">
        <f t="shared" si="4"/>
        <v>-220762.57812499988</v>
      </c>
      <c r="X49" s="12">
        <f t="shared" si="4"/>
        <v>3311438.6718749981</v>
      </c>
      <c r="Z49">
        <v>2016</v>
      </c>
    </row>
    <row r="50" spans="2:26" hidden="1">
      <c r="B50" s="175"/>
      <c r="C50" s="175"/>
      <c r="D50" s="175"/>
      <c r="E50" s="175"/>
      <c r="F50" s="175"/>
      <c r="G50" s="175"/>
      <c r="I50"/>
      <c r="J50"/>
      <c r="R50" s="16"/>
      <c r="S50" s="16"/>
      <c r="T50" s="16"/>
      <c r="U50" s="35">
        <v>0</v>
      </c>
      <c r="V50" s="12">
        <f t="shared" si="4"/>
        <v>8824984.0605468731</v>
      </c>
      <c r="W50" s="12">
        <f t="shared" si="4"/>
        <v>-226281.64257812485</v>
      </c>
      <c r="X50" s="12">
        <f t="shared" si="4"/>
        <v>3394224.6386718727</v>
      </c>
      <c r="Z50">
        <v>2017</v>
      </c>
    </row>
    <row r="51" spans="2:26" hidden="1">
      <c r="B51" s="175"/>
      <c r="C51" s="175"/>
      <c r="D51" s="175"/>
      <c r="E51" s="175"/>
      <c r="F51" s="175"/>
      <c r="G51" s="175"/>
      <c r="I51"/>
      <c r="J51"/>
      <c r="R51" s="16"/>
      <c r="S51" s="16"/>
      <c r="T51" s="16"/>
      <c r="U51" s="35">
        <v>0</v>
      </c>
      <c r="V51" s="12">
        <f t="shared" si="4"/>
        <v>9045608.6620605439</v>
      </c>
      <c r="W51" s="12">
        <f t="shared" si="4"/>
        <v>-231938.68364257796</v>
      </c>
      <c r="X51" s="12">
        <f t="shared" si="4"/>
        <v>3479080.2546386691</v>
      </c>
      <c r="Z51">
        <v>2018</v>
      </c>
    </row>
    <row r="52" spans="2:26" hidden="1">
      <c r="B52" s="175"/>
      <c r="C52" s="175"/>
      <c r="D52" s="175"/>
      <c r="E52" s="175"/>
      <c r="F52" s="175"/>
      <c r="G52" s="175"/>
      <c r="I52"/>
      <c r="J52"/>
      <c r="R52" s="18">
        <f t="shared" ref="R52:X52" si="5">SUM(R45:R51)</f>
        <v>113813000</v>
      </c>
      <c r="S52" s="18">
        <f t="shared" si="5"/>
        <v>16877802.450000003</v>
      </c>
      <c r="T52" s="18">
        <f t="shared" si="5"/>
        <v>863000</v>
      </c>
      <c r="U52" s="18">
        <f t="shared" si="5"/>
        <v>0</v>
      </c>
      <c r="V52" s="18">
        <f t="shared" si="5"/>
        <v>58869955.144482419</v>
      </c>
      <c r="W52" s="18">
        <f t="shared" si="5"/>
        <v>-1509486.0293457024</v>
      </c>
      <c r="X52" s="18">
        <f t="shared" si="5"/>
        <v>22642290.440185536</v>
      </c>
    </row>
    <row r="53" spans="2:26" hidden="1">
      <c r="B53" s="175"/>
      <c r="C53" s="175"/>
      <c r="D53" s="175"/>
      <c r="E53" s="175"/>
      <c r="F53" s="175"/>
      <c r="G53" s="175"/>
      <c r="I53"/>
      <c r="J53"/>
    </row>
    <row r="54" spans="2:26" hidden="1">
      <c r="B54" s="175"/>
      <c r="C54" s="175"/>
      <c r="D54" s="175"/>
      <c r="E54" s="175"/>
      <c r="F54" s="175"/>
      <c r="G54" s="175"/>
      <c r="I54"/>
      <c r="J54"/>
    </row>
    <row r="55" spans="2:26" hidden="1">
      <c r="B55" s="175"/>
      <c r="C55" s="175"/>
      <c r="D55" s="175"/>
      <c r="E55" s="175"/>
      <c r="F55" s="175"/>
      <c r="G55" s="175"/>
      <c r="I55"/>
      <c r="J55"/>
    </row>
    <row r="56" spans="2:26" hidden="1">
      <c r="B56" s="175"/>
      <c r="C56" s="175"/>
      <c r="D56" s="175"/>
      <c r="E56" s="175"/>
      <c r="F56" s="175"/>
      <c r="G56" s="175"/>
      <c r="I56"/>
      <c r="J56"/>
      <c r="R56">
        <v>0</v>
      </c>
      <c r="S56">
        <v>0</v>
      </c>
      <c r="T56">
        <v>0</v>
      </c>
      <c r="U56">
        <v>0</v>
      </c>
      <c r="V56">
        <v>0</v>
      </c>
      <c r="W56">
        <v>0</v>
      </c>
      <c r="X56">
        <v>0</v>
      </c>
    </row>
    <row r="57" spans="2:26" hidden="1">
      <c r="B57" s="175"/>
      <c r="C57" s="175"/>
      <c r="D57" s="175"/>
      <c r="E57" s="175"/>
      <c r="F57" s="175"/>
      <c r="G57" s="175"/>
      <c r="I57"/>
      <c r="J57"/>
      <c r="R57">
        <v>16814074</v>
      </c>
      <c r="S57">
        <v>3375560.49</v>
      </c>
      <c r="T57">
        <v>884951</v>
      </c>
      <c r="U57">
        <v>2091757</v>
      </c>
      <c r="V57">
        <v>6399445</v>
      </c>
      <c r="W57">
        <v>903458</v>
      </c>
      <c r="X57">
        <v>0</v>
      </c>
    </row>
    <row r="58" spans="2:26" hidden="1">
      <c r="B58" s="175"/>
      <c r="C58" s="175"/>
      <c r="D58" s="175"/>
      <c r="E58" s="175"/>
      <c r="F58" s="175"/>
      <c r="G58" s="175"/>
      <c r="I58"/>
      <c r="J58"/>
      <c r="R58">
        <v>23307809</v>
      </c>
      <c r="S58">
        <v>3375560.49</v>
      </c>
      <c r="T58">
        <v>1226727</v>
      </c>
      <c r="U58">
        <v>307018</v>
      </c>
      <c r="V58">
        <v>6591428</v>
      </c>
      <c r="W58">
        <v>663025</v>
      </c>
      <c r="X58">
        <v>0</v>
      </c>
    </row>
    <row r="59" spans="2:26" hidden="1">
      <c r="B59" s="175"/>
      <c r="C59" s="175"/>
      <c r="D59" s="175"/>
      <c r="E59" s="175"/>
      <c r="F59" s="175"/>
      <c r="G59" s="175"/>
      <c r="I59"/>
      <c r="J59"/>
      <c r="R59">
        <v>23743206</v>
      </c>
      <c r="S59">
        <v>3375560.49</v>
      </c>
      <c r="T59">
        <v>1249642</v>
      </c>
      <c r="U59">
        <v>208815</v>
      </c>
      <c r="V59">
        <v>6789171</v>
      </c>
      <c r="W59">
        <v>450950</v>
      </c>
      <c r="X59">
        <v>0</v>
      </c>
    </row>
    <row r="60" spans="2:26" hidden="1">
      <c r="B60" s="175"/>
      <c r="C60" s="175"/>
      <c r="D60" s="175"/>
      <c r="E60" s="175"/>
      <c r="F60" s="175"/>
      <c r="G60" s="175"/>
      <c r="I60"/>
      <c r="J60"/>
      <c r="R60">
        <v>24247299</v>
      </c>
      <c r="S60">
        <v>3375560.49</v>
      </c>
      <c r="T60">
        <v>1276174</v>
      </c>
      <c r="U60">
        <v>106464</v>
      </c>
      <c r="V60">
        <v>6992846</v>
      </c>
      <c r="W60">
        <v>229917</v>
      </c>
      <c r="X60">
        <v>0</v>
      </c>
    </row>
    <row r="61" spans="2:26" hidden="1">
      <c r="B61" s="175"/>
      <c r="C61" s="175"/>
      <c r="D61" s="175"/>
      <c r="E61" s="175"/>
      <c r="F61" s="175"/>
      <c r="G61" s="175"/>
      <c r="I61"/>
      <c r="J61"/>
      <c r="R61">
        <v>24724972</v>
      </c>
      <c r="S61">
        <v>3375560.49</v>
      </c>
      <c r="T61">
        <v>1301314</v>
      </c>
      <c r="U61">
        <v>0</v>
      </c>
      <c r="V61">
        <v>7202632</v>
      </c>
      <c r="W61">
        <v>0</v>
      </c>
      <c r="X61">
        <v>0</v>
      </c>
    </row>
    <row r="62" spans="2:26" hidden="1">
      <c r="B62" s="175"/>
      <c r="C62" s="175"/>
      <c r="D62" s="175"/>
      <c r="E62" s="175"/>
      <c r="F62" s="175"/>
      <c r="G62" s="175"/>
      <c r="I62"/>
      <c r="J62"/>
      <c r="R62">
        <v>0</v>
      </c>
      <c r="S62">
        <v>0</v>
      </c>
      <c r="T62">
        <v>0</v>
      </c>
      <c r="U62">
        <v>0</v>
      </c>
      <c r="V62">
        <v>0</v>
      </c>
      <c r="W62">
        <v>0</v>
      </c>
      <c r="X62">
        <v>0</v>
      </c>
    </row>
    <row r="63" spans="2:26" hidden="1">
      <c r="B63" s="175"/>
      <c r="C63" s="175"/>
      <c r="D63" s="175"/>
      <c r="E63" s="175"/>
      <c r="F63" s="175"/>
      <c r="G63" s="175"/>
      <c r="I63"/>
      <c r="J63"/>
    </row>
    <row r="64" spans="2:26" hidden="1">
      <c r="B64" s="175"/>
      <c r="C64" s="175"/>
      <c r="D64" s="175"/>
      <c r="E64" s="175"/>
      <c r="F64" s="175"/>
      <c r="G64" s="175"/>
      <c r="I64"/>
      <c r="J64"/>
    </row>
    <row r="65" spans="2:24" hidden="1">
      <c r="B65" s="175"/>
      <c r="C65" s="175"/>
      <c r="D65" s="175"/>
      <c r="E65" s="175"/>
      <c r="F65" s="175"/>
      <c r="G65" s="175"/>
      <c r="I65"/>
      <c r="J65"/>
    </row>
    <row r="66" spans="2:24" ht="16.5" hidden="1" thickBot="1">
      <c r="B66" s="175"/>
      <c r="C66" s="175"/>
      <c r="D66" s="175"/>
      <c r="E66" s="175"/>
      <c r="F66" s="175"/>
      <c r="G66" s="175"/>
      <c r="I66"/>
      <c r="J66"/>
      <c r="R66" s="566" t="s">
        <v>118</v>
      </c>
      <c r="S66" s="567"/>
      <c r="T66" s="567"/>
      <c r="U66" s="567"/>
      <c r="V66" s="567"/>
      <c r="W66" s="567"/>
      <c r="X66" s="567"/>
    </row>
    <row r="67" spans="2:24" ht="30.75" hidden="1" thickBot="1">
      <c r="B67" s="175"/>
      <c r="C67" s="175"/>
      <c r="D67" s="175"/>
      <c r="E67" s="175"/>
      <c r="F67" s="175"/>
      <c r="G67" s="175"/>
      <c r="I67"/>
      <c r="J67"/>
      <c r="R67" s="42" t="s">
        <v>122</v>
      </c>
      <c r="S67" s="43" t="s">
        <v>123</v>
      </c>
      <c r="T67" s="44" t="s">
        <v>124</v>
      </c>
      <c r="U67" s="45" t="s">
        <v>125</v>
      </c>
      <c r="V67" s="46" t="s">
        <v>126</v>
      </c>
      <c r="W67" s="43" t="s">
        <v>127</v>
      </c>
      <c r="X67" s="41" t="s">
        <v>128</v>
      </c>
    </row>
    <row r="68" spans="2:24" hidden="1">
      <c r="B68" s="175"/>
      <c r="C68" s="175"/>
      <c r="D68" s="175"/>
      <c r="E68" s="175"/>
      <c r="F68" s="175"/>
      <c r="G68" s="175"/>
      <c r="I68"/>
      <c r="J68"/>
      <c r="R68" s="48">
        <v>0</v>
      </c>
      <c r="S68" s="47">
        <v>0</v>
      </c>
      <c r="T68" s="49">
        <v>0</v>
      </c>
      <c r="U68" s="50">
        <v>0</v>
      </c>
      <c r="V68" s="51">
        <v>0</v>
      </c>
      <c r="W68" s="47">
        <v>0</v>
      </c>
      <c r="X68" s="47">
        <v>0</v>
      </c>
    </row>
    <row r="69" spans="2:24" hidden="1">
      <c r="B69" s="175"/>
      <c r="C69" s="175"/>
      <c r="D69" s="175"/>
      <c r="E69" s="175"/>
      <c r="F69" s="175"/>
      <c r="G69" s="175"/>
      <c r="I69"/>
      <c r="J69"/>
      <c r="R69" s="52">
        <v>16814074</v>
      </c>
      <c r="S69" s="18">
        <v>3375560</v>
      </c>
      <c r="T69" s="53">
        <v>884951</v>
      </c>
      <c r="U69" s="54">
        <v>2091757</v>
      </c>
      <c r="V69" s="55">
        <v>6399445</v>
      </c>
      <c r="W69" s="18">
        <v>903458</v>
      </c>
      <c r="X69" s="18">
        <v>0</v>
      </c>
    </row>
    <row r="70" spans="2:24" hidden="1">
      <c r="B70" s="175"/>
      <c r="C70" s="175"/>
      <c r="D70" s="175"/>
      <c r="E70" s="175"/>
      <c r="F70" s="175"/>
      <c r="G70" s="175"/>
      <c r="I70"/>
      <c r="J70"/>
      <c r="R70" s="52">
        <v>23307809</v>
      </c>
      <c r="S70" s="18">
        <v>3375560</v>
      </c>
      <c r="T70" s="53">
        <v>1226727</v>
      </c>
      <c r="U70" s="54">
        <v>307018</v>
      </c>
      <c r="V70" s="55">
        <v>6591428</v>
      </c>
      <c r="W70" s="18">
        <v>663025</v>
      </c>
      <c r="X70" s="18">
        <v>0</v>
      </c>
    </row>
    <row r="71" spans="2:24" hidden="1">
      <c r="B71" s="175"/>
      <c r="C71" s="175"/>
      <c r="D71" s="175"/>
      <c r="E71" s="175"/>
      <c r="F71" s="175"/>
      <c r="G71" s="175"/>
      <c r="I71"/>
      <c r="J71"/>
      <c r="R71" s="52">
        <v>23743206</v>
      </c>
      <c r="S71" s="18">
        <v>3375560</v>
      </c>
      <c r="T71" s="53">
        <v>1249642</v>
      </c>
      <c r="U71" s="54">
        <v>208815</v>
      </c>
      <c r="V71" s="55">
        <v>6789171</v>
      </c>
      <c r="W71" s="18">
        <v>450950</v>
      </c>
      <c r="X71" s="18">
        <v>0</v>
      </c>
    </row>
    <row r="72" spans="2:24" hidden="1">
      <c r="B72" s="175"/>
      <c r="C72" s="175"/>
      <c r="D72" s="175"/>
      <c r="E72" s="175"/>
      <c r="F72" s="175"/>
      <c r="G72" s="175"/>
      <c r="I72"/>
      <c r="J72"/>
      <c r="R72" s="52">
        <v>24247299</v>
      </c>
      <c r="S72" s="18">
        <v>3375560</v>
      </c>
      <c r="T72" s="53">
        <v>1276174</v>
      </c>
      <c r="U72" s="54">
        <v>106464</v>
      </c>
      <c r="V72" s="55">
        <v>6992846</v>
      </c>
      <c r="W72" s="18">
        <v>229917</v>
      </c>
      <c r="X72" s="18">
        <v>0</v>
      </c>
    </row>
    <row r="73" spans="2:24" hidden="1">
      <c r="B73" s="175"/>
      <c r="C73" s="175"/>
      <c r="D73" s="175"/>
      <c r="E73" s="175"/>
      <c r="F73" s="175"/>
      <c r="G73" s="175"/>
      <c r="I73"/>
      <c r="J73"/>
      <c r="R73" s="52">
        <v>24724972</v>
      </c>
      <c r="S73" s="18">
        <v>3375560</v>
      </c>
      <c r="T73" s="53">
        <v>1301314</v>
      </c>
      <c r="U73" s="54">
        <v>0</v>
      </c>
      <c r="V73" s="55">
        <v>7202632</v>
      </c>
      <c r="W73" s="18">
        <v>0</v>
      </c>
      <c r="X73" s="18">
        <v>0</v>
      </c>
    </row>
    <row r="74" spans="2:24" ht="16.5" hidden="1" thickBot="1">
      <c r="B74" s="175"/>
      <c r="C74" s="175"/>
      <c r="D74" s="175"/>
      <c r="E74" s="175"/>
      <c r="F74" s="175"/>
      <c r="G74" s="175"/>
      <c r="I74"/>
      <c r="J74"/>
      <c r="R74" s="57">
        <v>0</v>
      </c>
      <c r="S74" s="56">
        <v>0</v>
      </c>
      <c r="T74" s="58">
        <v>0</v>
      </c>
      <c r="U74" s="59">
        <v>0</v>
      </c>
      <c r="V74" s="60">
        <v>0</v>
      </c>
      <c r="W74" s="56">
        <v>0</v>
      </c>
      <c r="X74" s="56">
        <v>0</v>
      </c>
    </row>
    <row r="75" spans="2:24" hidden="1">
      <c r="B75" s="175"/>
      <c r="C75" s="175"/>
      <c r="D75" s="175"/>
      <c r="E75" s="175"/>
      <c r="F75" s="175"/>
      <c r="G75" s="175"/>
      <c r="I75"/>
      <c r="J75"/>
    </row>
    <row r="76" spans="2:24" hidden="1">
      <c r="B76" s="175"/>
      <c r="C76" s="175"/>
      <c r="D76" s="175"/>
      <c r="E76" s="175"/>
      <c r="F76" s="175"/>
      <c r="G76" s="175"/>
      <c r="I76"/>
      <c r="J76"/>
    </row>
    <row r="77" spans="2:24" hidden="1">
      <c r="B77" s="175"/>
      <c r="C77" s="175"/>
      <c r="D77" s="175"/>
      <c r="E77" s="175"/>
      <c r="F77" s="175"/>
      <c r="G77" s="175"/>
      <c r="I77"/>
      <c r="J77"/>
    </row>
    <row r="78" spans="2:24" hidden="1">
      <c r="B78" s="175"/>
      <c r="C78" s="175"/>
      <c r="D78" s="175"/>
      <c r="E78" s="175"/>
      <c r="F78" s="175"/>
      <c r="G78" s="175"/>
      <c r="I78"/>
      <c r="J78"/>
    </row>
    <row r="79" spans="2:24" hidden="1">
      <c r="B79" s="175"/>
      <c r="C79" s="175"/>
      <c r="D79" s="175"/>
      <c r="E79" s="175"/>
      <c r="F79" s="175"/>
      <c r="G79" s="175"/>
      <c r="I79"/>
      <c r="J79"/>
    </row>
    <row r="80" spans="2:24" hidden="1">
      <c r="B80" s="175"/>
      <c r="C80" s="175"/>
      <c r="D80" s="175"/>
      <c r="E80" s="175"/>
      <c r="F80" s="175"/>
      <c r="G80" s="175"/>
      <c r="I80"/>
      <c r="J80"/>
    </row>
    <row r="81" spans="1:10" hidden="1">
      <c r="B81" s="175"/>
      <c r="C81" s="175"/>
      <c r="D81" s="175"/>
      <c r="E81" s="175"/>
      <c r="F81" s="175"/>
      <c r="G81" s="175"/>
      <c r="I81"/>
      <c r="J81"/>
    </row>
    <row r="82" spans="1:10" hidden="1">
      <c r="B82" s="175"/>
      <c r="C82" s="175"/>
      <c r="D82" s="175"/>
      <c r="E82" s="175"/>
      <c r="F82" s="175"/>
      <c r="G82" s="175"/>
      <c r="I82"/>
      <c r="J82"/>
    </row>
    <row r="83" spans="1:10" hidden="1">
      <c r="B83" s="175"/>
      <c r="C83" s="175"/>
      <c r="D83" s="175"/>
      <c r="E83" s="175"/>
      <c r="F83" s="175"/>
      <c r="G83" s="175"/>
      <c r="I83"/>
      <c r="J83"/>
    </row>
    <row r="84" spans="1:10" hidden="1">
      <c r="B84" s="175"/>
      <c r="C84" s="175"/>
      <c r="D84" s="175"/>
      <c r="E84" s="175"/>
      <c r="F84" s="175"/>
      <c r="G84" s="175"/>
      <c r="I84"/>
      <c r="J84"/>
    </row>
    <row r="85" spans="1:10" hidden="1">
      <c r="B85" s="175"/>
      <c r="C85" s="175"/>
      <c r="D85" s="175"/>
      <c r="E85" s="175"/>
      <c r="F85" s="175"/>
      <c r="G85" s="175"/>
      <c r="I85"/>
      <c r="J85"/>
    </row>
    <row r="86" spans="1:10" hidden="1">
      <c r="B86" s="175"/>
      <c r="C86" s="175"/>
      <c r="D86" s="175"/>
      <c r="E86" s="175"/>
      <c r="F86" s="175"/>
      <c r="G86" s="175"/>
      <c r="I86"/>
      <c r="J86"/>
    </row>
    <row r="87" spans="1:10" hidden="1">
      <c r="B87" s="175"/>
      <c r="C87" s="175"/>
      <c r="D87" s="175"/>
      <c r="E87" s="175"/>
      <c r="F87" s="175"/>
      <c r="G87" s="175"/>
      <c r="I87"/>
      <c r="J87"/>
    </row>
    <row r="88" spans="1:10" hidden="1">
      <c r="B88" s="175"/>
      <c r="C88" s="175"/>
      <c r="D88" s="175"/>
      <c r="E88" s="175"/>
      <c r="F88" s="175"/>
      <c r="G88" s="175"/>
      <c r="I88"/>
      <c r="J88"/>
    </row>
    <row r="89" spans="1:10" hidden="1">
      <c r="B89" s="175"/>
      <c r="C89" s="175"/>
      <c r="D89" s="175"/>
      <c r="E89" s="175"/>
      <c r="F89" s="175"/>
      <c r="G89" s="175"/>
      <c r="I89"/>
      <c r="J89"/>
    </row>
    <row r="90" spans="1:10" hidden="1">
      <c r="B90" s="175"/>
      <c r="C90" s="175"/>
      <c r="D90" s="175"/>
      <c r="E90" s="175"/>
      <c r="F90" s="175"/>
      <c r="G90" s="175"/>
      <c r="I90"/>
      <c r="J90"/>
    </row>
    <row r="91" spans="1:10" hidden="1">
      <c r="B91" s="175"/>
      <c r="C91" s="175"/>
      <c r="D91" s="175"/>
      <c r="E91" s="175"/>
      <c r="F91" s="175"/>
      <c r="G91" s="175"/>
      <c r="I91"/>
      <c r="J91"/>
    </row>
    <row r="92" spans="1:10" hidden="1">
      <c r="B92" s="175"/>
      <c r="C92" s="175"/>
      <c r="D92" s="175"/>
      <c r="E92" s="175"/>
      <c r="F92" s="175"/>
      <c r="G92" s="175"/>
      <c r="I92"/>
      <c r="J92"/>
    </row>
    <row r="93" spans="1:10" hidden="1">
      <c r="B93" s="175"/>
      <c r="C93" s="175"/>
      <c r="D93" s="175"/>
      <c r="E93" s="175"/>
      <c r="F93" s="175"/>
      <c r="G93" s="175"/>
      <c r="I93"/>
      <c r="J93"/>
    </row>
    <row r="94" spans="1:10">
      <c r="B94" s="175"/>
      <c r="C94" s="175"/>
      <c r="D94" s="175"/>
      <c r="E94" s="175"/>
      <c r="F94" s="175"/>
      <c r="G94" s="175"/>
      <c r="I94"/>
      <c r="J94"/>
    </row>
    <row r="95" spans="1:10" ht="16.5" customHeight="1">
      <c r="A95" s="67" t="s">
        <v>150</v>
      </c>
      <c r="B95" s="175">
        <v>378111</v>
      </c>
      <c r="C95" s="175">
        <v>1300434</v>
      </c>
      <c r="D95" s="175">
        <v>1350228</v>
      </c>
      <c r="E95" s="175">
        <v>666000</v>
      </c>
      <c r="F95" s="175">
        <v>853529</v>
      </c>
      <c r="G95" s="175">
        <v>0</v>
      </c>
      <c r="I95"/>
      <c r="J95"/>
    </row>
    <row r="96" spans="1:10">
      <c r="A96" s="67" t="s">
        <v>151</v>
      </c>
      <c r="B96" s="175">
        <v>303780</v>
      </c>
      <c r="C96" s="175">
        <v>414948</v>
      </c>
      <c r="D96" s="175">
        <v>407430</v>
      </c>
      <c r="E96" s="175">
        <v>419000</v>
      </c>
      <c r="F96" s="175">
        <v>430000</v>
      </c>
      <c r="G96" s="175">
        <v>0</v>
      </c>
      <c r="I96"/>
      <c r="J96"/>
    </row>
    <row r="97" spans="1:10">
      <c r="A97" s="67" t="s">
        <v>152</v>
      </c>
      <c r="B97" s="177">
        <v>0</v>
      </c>
      <c r="C97" s="177">
        <v>884951</v>
      </c>
      <c r="D97" s="177">
        <v>1226727</v>
      </c>
      <c r="E97" s="177">
        <v>1249642</v>
      </c>
      <c r="F97" s="177">
        <v>1276174</v>
      </c>
      <c r="G97" s="177">
        <v>1301314</v>
      </c>
      <c r="I97"/>
      <c r="J97"/>
    </row>
    <row r="98" spans="1:10">
      <c r="A98" s="67" t="s">
        <v>153</v>
      </c>
      <c r="B98" s="175">
        <f t="shared" ref="B98:G98" si="6">SUM(B95:B97)</f>
        <v>681891</v>
      </c>
      <c r="C98" s="175">
        <f t="shared" si="6"/>
        <v>2600333</v>
      </c>
      <c r="D98" s="175">
        <f t="shared" si="6"/>
        <v>2984385</v>
      </c>
      <c r="E98" s="175">
        <f t="shared" si="6"/>
        <v>2334642</v>
      </c>
      <c r="F98" s="175">
        <f t="shared" si="6"/>
        <v>2559703</v>
      </c>
      <c r="G98" s="175">
        <f t="shared" si="6"/>
        <v>1301314</v>
      </c>
      <c r="I98"/>
      <c r="J98"/>
    </row>
    <row r="99" spans="1:10">
      <c r="B99" s="175"/>
      <c r="C99" s="175"/>
      <c r="D99" s="175"/>
      <c r="E99" s="175"/>
      <c r="F99" s="175"/>
      <c r="G99" s="175"/>
      <c r="I99"/>
      <c r="J99"/>
    </row>
    <row r="100" spans="1:10">
      <c r="B100" s="175"/>
      <c r="C100" s="175"/>
      <c r="D100" s="175"/>
      <c r="E100" s="175"/>
      <c r="F100" s="175"/>
      <c r="G100" s="175"/>
      <c r="I100"/>
      <c r="J100"/>
    </row>
    <row r="101" spans="1:10">
      <c r="A101" s="67" t="s">
        <v>154</v>
      </c>
      <c r="B101" s="175">
        <v>0</v>
      </c>
      <c r="C101" s="175">
        <v>903458</v>
      </c>
      <c r="D101" s="175">
        <v>663025</v>
      </c>
      <c r="E101" s="175">
        <v>450950</v>
      </c>
      <c r="F101" s="175">
        <v>229917</v>
      </c>
      <c r="G101" s="175">
        <v>0</v>
      </c>
      <c r="I101"/>
      <c r="J101"/>
    </row>
    <row r="102" spans="1:10">
      <c r="A102" s="67" t="s">
        <v>155</v>
      </c>
      <c r="B102" s="176">
        <v>0</v>
      </c>
      <c r="C102" s="176">
        <v>1151839</v>
      </c>
      <c r="D102" s="176">
        <v>1186394</v>
      </c>
      <c r="E102" s="176">
        <v>1221986</v>
      </c>
      <c r="F102" s="176">
        <v>1258646</v>
      </c>
      <c r="G102" s="176">
        <v>1296405</v>
      </c>
      <c r="I102"/>
      <c r="J102"/>
    </row>
    <row r="103" spans="1:10">
      <c r="A103" s="67" t="s">
        <v>157</v>
      </c>
      <c r="B103" s="177">
        <v>0</v>
      </c>
      <c r="C103" s="177">
        <v>2091757</v>
      </c>
      <c r="D103" s="177">
        <v>307018</v>
      </c>
      <c r="E103" s="177">
        <v>208815</v>
      </c>
      <c r="F103" s="177">
        <v>106464</v>
      </c>
      <c r="G103" s="177">
        <v>0</v>
      </c>
      <c r="I103"/>
      <c r="J103"/>
    </row>
    <row r="104" spans="1:10">
      <c r="A104" s="67" t="s">
        <v>156</v>
      </c>
      <c r="B104" s="175">
        <f>SUM(B101:B102)</f>
        <v>0</v>
      </c>
      <c r="C104" s="175">
        <f>SUM(C101:C103)</f>
        <v>4147054</v>
      </c>
      <c r="D104" s="175">
        <f>SUM(D101:D103)</f>
        <v>2156437</v>
      </c>
      <c r="E104" s="175">
        <f>SUM(E101:E103)</f>
        <v>1881751</v>
      </c>
      <c r="F104" s="175">
        <f>SUM(F101:F103)</f>
        <v>1595027</v>
      </c>
      <c r="G104" s="175">
        <f>SUM(G101:G103)</f>
        <v>1296405</v>
      </c>
      <c r="I104"/>
      <c r="J104"/>
    </row>
    <row r="105" spans="1:10">
      <c r="I105"/>
      <c r="J105"/>
    </row>
    <row r="106" spans="1:10">
      <c r="I106"/>
      <c r="J106"/>
    </row>
    <row r="107" spans="1:10">
      <c r="I107"/>
      <c r="J107"/>
    </row>
    <row r="108" spans="1:10">
      <c r="I108"/>
      <c r="J108"/>
    </row>
  </sheetData>
  <mergeCells count="4">
    <mergeCell ref="A21:G21"/>
    <mergeCell ref="A22:G22"/>
    <mergeCell ref="R9:X9"/>
    <mergeCell ref="R66:X66"/>
  </mergeCells>
  <dataValidations disablePrompts="1" count="4">
    <dataValidation type="list" allowBlank="1" showErrorMessage="1" error="Enter 5 or 7" sqref="K2">
      <formula1>$AB$2:$AB$3</formula1>
    </dataValidation>
    <dataValidation type="list" allowBlank="1" showErrorMessage="1" error="Enter LOW or HIGH" sqref="K3">
      <formula1>$AC$2:$AC$3</formula1>
    </dataValidation>
    <dataValidation type="list" allowBlank="1" showErrorMessage="1" error="Enter 1 or 2" sqref="K4">
      <formula1>$AD$2:$AD$3</formula1>
    </dataValidation>
    <dataValidation type="list" allowBlank="1" showErrorMessage="1" error="Enter YES or NO" sqref="K5">
      <formula1>$AE$2:$AE$3</formula1>
    </dataValidation>
  </dataValidations>
  <printOptions horizontalCentered="1"/>
  <pageMargins left="0.5" right="0.62187499999999996" top="1" bottom="0.75" header="0.3" footer="0.3"/>
  <pageSetup scale="88" orientation="landscape" r:id="rId1"/>
  <headerFooter>
    <oddFooter>&amp;R&amp;"Times New Roman,Bold"&amp;14Bellar Exhibit 2
Page &amp;P of &amp;N</oddFooter>
  </headerFooter>
  <colBreaks count="1" manualBreakCount="1">
    <brk id="2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142</v>
      </c>
      <c r="B2" s="561"/>
      <c r="C2" s="561"/>
      <c r="D2" s="561"/>
      <c r="E2" s="561"/>
      <c r="F2" s="561"/>
      <c r="G2" s="561"/>
      <c r="H2" s="561"/>
      <c r="I2" s="561"/>
      <c r="J2" s="561"/>
      <c r="K2" s="561"/>
      <c r="L2" s="561"/>
      <c r="M2" s="561"/>
      <c r="N2" s="561"/>
      <c r="O2" s="561"/>
      <c r="P2" s="561"/>
      <c r="Q2" s="561"/>
      <c r="R2" s="561"/>
    </row>
    <row r="3" spans="1:18" ht="18.75">
      <c r="A3" s="560" t="s">
        <v>159</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181"/>
      <c r="B5" s="84"/>
      <c r="C5" s="84"/>
      <c r="D5" s="84"/>
      <c r="E5" s="84"/>
      <c r="F5" s="84"/>
      <c r="G5" s="84"/>
      <c r="H5" s="84"/>
      <c r="I5" s="84"/>
      <c r="J5" s="84"/>
      <c r="K5" s="84"/>
      <c r="L5" s="84"/>
      <c r="M5" s="84"/>
      <c r="N5" s="84"/>
      <c r="O5" s="84"/>
      <c r="P5" s="84"/>
      <c r="Q5" s="84"/>
    </row>
    <row r="6" spans="1:18">
      <c r="C6" s="84"/>
      <c r="D6" s="84"/>
      <c r="E6" s="84"/>
      <c r="F6" s="84">
        <v>2012</v>
      </c>
      <c r="G6" s="84"/>
      <c r="H6" s="84"/>
      <c r="I6" s="84"/>
      <c r="J6" s="84"/>
      <c r="K6" s="84"/>
      <c r="L6" s="84">
        <v>2012</v>
      </c>
      <c r="M6" s="84"/>
      <c r="N6" s="84"/>
      <c r="O6" s="84"/>
      <c r="P6" s="84"/>
      <c r="Q6" s="84"/>
      <c r="R6" s="84">
        <v>2012</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v>0</v>
      </c>
      <c r="H13" s="1">
        <v>1.89E-2</v>
      </c>
      <c r="J13" s="69">
        <f>F13*H13</f>
        <v>0</v>
      </c>
      <c r="L13" s="69">
        <f>'pg 3 Cap &amp; OpEx'!B30</f>
        <v>12844209</v>
      </c>
      <c r="N13" s="69">
        <f>H13*L13*0.5</f>
        <v>121377.77505</v>
      </c>
      <c r="P13" s="80">
        <f>H13*L13</f>
        <v>242755.55009999999</v>
      </c>
      <c r="R13" s="80">
        <f>L13+F13</f>
        <v>12844209</v>
      </c>
    </row>
    <row r="14" spans="1:18">
      <c r="A14" s="74">
        <v>2</v>
      </c>
      <c r="B14" s="67"/>
      <c r="C14" s="77" t="s">
        <v>73</v>
      </c>
      <c r="D14" s="74">
        <v>380</v>
      </c>
      <c r="F14" s="69">
        <v>0</v>
      </c>
      <c r="H14" s="1">
        <v>3.7900000000000003E-2</v>
      </c>
      <c r="J14" s="69">
        <f>F14*H14</f>
        <v>0</v>
      </c>
      <c r="L14" s="69">
        <f>'pg 3 Cap &amp; OpEx'!B32</f>
        <v>1333688</v>
      </c>
      <c r="N14" s="69">
        <f>H14*L14*0.5</f>
        <v>25273.387600000002</v>
      </c>
      <c r="P14" s="80">
        <f>H14*L14</f>
        <v>50546.775200000004</v>
      </c>
      <c r="R14" s="80">
        <f>L14+F14</f>
        <v>1333688</v>
      </c>
    </row>
    <row r="15" spans="1:18">
      <c r="A15" s="74">
        <v>3</v>
      </c>
      <c r="B15" s="67"/>
      <c r="C15" s="77" t="s">
        <v>74</v>
      </c>
      <c r="D15" s="74">
        <v>380</v>
      </c>
      <c r="F15" s="69">
        <v>0</v>
      </c>
      <c r="H15" s="1">
        <v>3.7900000000000003E-2</v>
      </c>
      <c r="J15" s="69">
        <f>F15*H15</f>
        <v>0</v>
      </c>
      <c r="L15" s="69">
        <f>'pg 3 Cap &amp; OpEx'!B34</f>
        <v>0</v>
      </c>
      <c r="N15" s="69">
        <f>H15*L15*0.5</f>
        <v>0</v>
      </c>
      <c r="P15" s="80">
        <f>H15*L15</f>
        <v>0</v>
      </c>
      <c r="R15" s="80">
        <f>L15+F15</f>
        <v>0</v>
      </c>
    </row>
    <row r="16" spans="1:18">
      <c r="A16" s="74">
        <v>4</v>
      </c>
      <c r="B16" s="67"/>
      <c r="C16" s="67" t="s">
        <v>52</v>
      </c>
      <c r="F16" s="69">
        <v>0</v>
      </c>
      <c r="H16" s="1">
        <v>3.7900000000000003E-2</v>
      </c>
      <c r="J16" s="69">
        <f>F16*H16</f>
        <v>0</v>
      </c>
      <c r="L16" s="69">
        <f>'pg 3 Cap &amp; OpEx'!B36</f>
        <v>0</v>
      </c>
      <c r="N16" s="69">
        <f>H16*L16*0.5</f>
        <v>0</v>
      </c>
      <c r="P16" s="80">
        <f>H16*L16</f>
        <v>0</v>
      </c>
      <c r="R16" s="80">
        <f>L16+F16</f>
        <v>0</v>
      </c>
    </row>
    <row r="17" spans="1:18">
      <c r="A17" s="74">
        <v>5</v>
      </c>
      <c r="B17" s="67"/>
      <c r="C17" s="67" t="s">
        <v>26</v>
      </c>
      <c r="F17" s="81">
        <f>SUM(F13:F16)</f>
        <v>0</v>
      </c>
      <c r="J17" s="81">
        <f>SUM(J13:J16)</f>
        <v>0</v>
      </c>
      <c r="L17" s="81">
        <f>SUM(L13:L16)</f>
        <v>14177897</v>
      </c>
      <c r="N17" s="81">
        <f>SUM(N13:N16)</f>
        <v>146651.16265000001</v>
      </c>
      <c r="P17" s="81">
        <f>SUM(P13:P16)</f>
        <v>293302.32530000003</v>
      </c>
      <c r="R17" s="81">
        <f>SUM(R13:R16)</f>
        <v>14177897</v>
      </c>
    </row>
    <row r="18" spans="1:18">
      <c r="B18" s="67"/>
    </row>
    <row r="19" spans="1:18">
      <c r="B19" s="79" t="s">
        <v>13</v>
      </c>
      <c r="C19" s="79"/>
    </row>
    <row r="20" spans="1:18">
      <c r="A20" s="74">
        <v>6</v>
      </c>
      <c r="B20" s="67"/>
      <c r="C20" s="67" t="s">
        <v>25</v>
      </c>
      <c r="D20" s="74">
        <v>376</v>
      </c>
      <c r="F20" s="69">
        <v>0</v>
      </c>
      <c r="H20" s="1">
        <v>1.89E-2</v>
      </c>
      <c r="J20" s="69">
        <f>F20*H20</f>
        <v>0</v>
      </c>
      <c r="L20" s="69">
        <f>'pg 3 Cap &amp; OpEx'!B31</f>
        <v>-684813.09807663399</v>
      </c>
      <c r="N20" s="69">
        <f>H20*L20*0.5</f>
        <v>-6471.4837768241914</v>
      </c>
      <c r="P20" s="80">
        <f>H20*L20</f>
        <v>-12942.967553648383</v>
      </c>
      <c r="R20" s="80">
        <f>L20+F20</f>
        <v>-684813.09807663399</v>
      </c>
    </row>
    <row r="21" spans="1:18">
      <c r="A21" s="74">
        <v>7</v>
      </c>
      <c r="B21" s="67"/>
      <c r="C21" s="77" t="s">
        <v>73</v>
      </c>
      <c r="D21" s="74">
        <v>380</v>
      </c>
      <c r="F21" s="69">
        <v>0</v>
      </c>
      <c r="H21" s="1">
        <v>3.7900000000000003E-2</v>
      </c>
      <c r="J21" s="69">
        <f>F21*H21</f>
        <v>0</v>
      </c>
      <c r="L21" s="69">
        <f>'pg 3 Cap &amp; OpEx'!B33</f>
        <v>-71108.077667346399</v>
      </c>
      <c r="N21" s="69">
        <f>H21*L21*0.5</f>
        <v>-1347.4980717962144</v>
      </c>
      <c r="P21" s="80">
        <f>H21*L21</f>
        <v>-2694.9961435924288</v>
      </c>
      <c r="R21" s="80">
        <f>L21+F21</f>
        <v>-71108.077667346399</v>
      </c>
    </row>
    <row r="22" spans="1:18">
      <c r="A22" s="74">
        <v>8</v>
      </c>
      <c r="B22" s="67"/>
      <c r="C22" s="77" t="s">
        <v>74</v>
      </c>
      <c r="D22" s="74">
        <v>380</v>
      </c>
      <c r="F22" s="69">
        <v>0</v>
      </c>
      <c r="H22" s="1">
        <v>3.7900000000000003E-2</v>
      </c>
      <c r="J22" s="69">
        <f>F22*H22</f>
        <v>0</v>
      </c>
      <c r="L22" s="69">
        <f>'pg 3 Cap &amp; OpEx'!B35</f>
        <v>0</v>
      </c>
      <c r="N22" s="69">
        <f>H22*L22*0.5</f>
        <v>0</v>
      </c>
      <c r="P22" s="80">
        <f>H22*L22</f>
        <v>0</v>
      </c>
      <c r="R22" s="80">
        <f>L22+F22</f>
        <v>0</v>
      </c>
    </row>
    <row r="23" spans="1:18">
      <c r="A23" s="74">
        <v>9</v>
      </c>
      <c r="B23" s="67"/>
      <c r="C23" s="67" t="s">
        <v>27</v>
      </c>
      <c r="F23" s="81">
        <f>SUM(F20:F22)</f>
        <v>0</v>
      </c>
      <c r="J23" s="81">
        <f>SUM(J20:J22)</f>
        <v>0</v>
      </c>
      <c r="L23" s="81">
        <f>SUM(L20:L22)</f>
        <v>-755921.17574398033</v>
      </c>
      <c r="N23" s="81">
        <f>SUM(N20:N22)</f>
        <v>-7818.9818486204058</v>
      </c>
      <c r="P23" s="81">
        <f>SUM(P20:P22)</f>
        <v>-15637.963697240812</v>
      </c>
      <c r="R23" s="81">
        <f>SUM(R20:R22)</f>
        <v>-755921.17574398033</v>
      </c>
    </row>
    <row r="24" spans="1:18">
      <c r="B24" s="67"/>
    </row>
    <row r="25" spans="1:18" ht="16.5" thickBot="1">
      <c r="A25" s="74">
        <v>10</v>
      </c>
      <c r="B25" s="82" t="s">
        <v>22</v>
      </c>
      <c r="C25" s="82"/>
      <c r="F25" s="83">
        <f>F17+F23</f>
        <v>0</v>
      </c>
      <c r="J25" s="83">
        <f>J17+J23</f>
        <v>0</v>
      </c>
      <c r="L25" s="83">
        <f>L17+L23</f>
        <v>13421975.82425602</v>
      </c>
      <c r="N25" s="83">
        <f>N17+N23</f>
        <v>138832.18080137961</v>
      </c>
      <c r="P25" s="83">
        <f>P17+P23</f>
        <v>277664.36160275922</v>
      </c>
      <c r="R25" s="83">
        <f>R17+R23</f>
        <v>13421975.82425602</v>
      </c>
    </row>
    <row r="26" spans="1:18" ht="16.5" thickTop="1">
      <c r="B26" s="67"/>
    </row>
    <row r="27" spans="1:18">
      <c r="B27" s="82" t="s">
        <v>23</v>
      </c>
      <c r="C27" s="82"/>
    </row>
    <row r="28" spans="1:18">
      <c r="A28" s="74">
        <v>11</v>
      </c>
      <c r="B28" s="67"/>
      <c r="C28" s="67" t="s">
        <v>25</v>
      </c>
      <c r="D28" s="74">
        <v>376</v>
      </c>
      <c r="F28" s="69">
        <v>0</v>
      </c>
      <c r="L28" s="69">
        <f>'pg 3 Cap &amp; OpEx'!B95</f>
        <v>378111</v>
      </c>
      <c r="R28" s="80">
        <f>L28+F28</f>
        <v>378111</v>
      </c>
    </row>
    <row r="29" spans="1:18">
      <c r="A29" s="74">
        <v>12</v>
      </c>
      <c r="B29" s="67"/>
      <c r="C29" s="77" t="s">
        <v>73</v>
      </c>
      <c r="D29" s="74">
        <v>380</v>
      </c>
      <c r="F29" s="69">
        <v>0</v>
      </c>
      <c r="L29" s="69">
        <f>'pg 3 Cap &amp; OpEx'!B96</f>
        <v>303780</v>
      </c>
      <c r="R29" s="80">
        <f>L29+F29</f>
        <v>303780</v>
      </c>
    </row>
    <row r="30" spans="1:18">
      <c r="A30" s="74">
        <v>12</v>
      </c>
      <c r="B30" s="67"/>
      <c r="C30" s="77" t="s">
        <v>74</v>
      </c>
      <c r="D30" s="74">
        <v>380</v>
      </c>
      <c r="F30" s="69">
        <v>0</v>
      </c>
      <c r="L30" s="69">
        <f>'pg 3 Cap &amp; OpEx'!B97</f>
        <v>0</v>
      </c>
      <c r="R30" s="80">
        <f>L30+F30</f>
        <v>0</v>
      </c>
    </row>
    <row r="31" spans="1:18">
      <c r="A31" s="74">
        <v>14</v>
      </c>
      <c r="B31" s="67"/>
      <c r="C31" s="67" t="s">
        <v>28</v>
      </c>
      <c r="F31" s="81">
        <f>SUM(F28:F30)</f>
        <v>0</v>
      </c>
      <c r="J31" s="81">
        <f>SUM(J28:J30)</f>
        <v>0</v>
      </c>
      <c r="L31" s="81">
        <f>SUM(L28:L30)</f>
        <v>681891</v>
      </c>
      <c r="N31" s="81">
        <f>SUM(N28:N30)</f>
        <v>0</v>
      </c>
      <c r="P31" s="81">
        <f>SUM(P28:P30)</f>
        <v>0</v>
      </c>
      <c r="R31" s="81">
        <f>SUM(R28:R30)</f>
        <v>681891</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142</v>
      </c>
      <c r="B2" s="561"/>
      <c r="C2" s="561"/>
      <c r="D2" s="561"/>
      <c r="E2" s="561"/>
      <c r="F2" s="561"/>
      <c r="G2" s="561"/>
      <c r="H2" s="561"/>
      <c r="I2" s="561"/>
      <c r="J2" s="561"/>
      <c r="K2" s="561"/>
      <c r="L2" s="561"/>
      <c r="M2" s="561"/>
      <c r="N2" s="561"/>
      <c r="O2" s="561"/>
      <c r="P2" s="561"/>
      <c r="Q2" s="561"/>
      <c r="R2" s="561"/>
    </row>
    <row r="3" spans="1:18" ht="18.75">
      <c r="A3" s="560" t="s">
        <v>133</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180"/>
      <c r="B5" s="84"/>
      <c r="C5" s="84"/>
      <c r="D5" s="84"/>
      <c r="E5" s="84"/>
      <c r="F5" s="84"/>
      <c r="G5" s="84"/>
      <c r="H5" s="84"/>
      <c r="I5" s="84"/>
      <c r="J5" s="84"/>
      <c r="K5" s="84"/>
      <c r="L5" s="84"/>
      <c r="M5" s="84"/>
      <c r="N5" s="84"/>
      <c r="O5" s="84"/>
      <c r="P5" s="84"/>
      <c r="Q5" s="84"/>
    </row>
    <row r="6" spans="1:18">
      <c r="C6" s="84"/>
      <c r="D6" s="84"/>
      <c r="E6" s="84"/>
      <c r="F6" s="84">
        <v>2013</v>
      </c>
      <c r="G6" s="84"/>
      <c r="H6" s="84"/>
      <c r="I6" s="84"/>
      <c r="J6" s="84"/>
      <c r="K6" s="84"/>
      <c r="L6" s="84">
        <v>2013</v>
      </c>
      <c r="M6" s="84"/>
      <c r="N6" s="84"/>
      <c r="O6" s="84"/>
      <c r="P6" s="84"/>
      <c r="Q6" s="84"/>
      <c r="R6" s="84">
        <v>2013</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5 2012 Bk Depr'!R13</f>
        <v>12844209</v>
      </c>
      <c r="H13" s="1">
        <v>1.89E-2</v>
      </c>
      <c r="J13" s="69">
        <f>F13*H13</f>
        <v>242755.55009999999</v>
      </c>
      <c r="L13" s="69">
        <f>'pg 3 Cap &amp; OpEx'!C30</f>
        <v>20071157</v>
      </c>
      <c r="N13" s="69">
        <f>H13*L13*0.5</f>
        <v>189672.43364999999</v>
      </c>
      <c r="P13" s="80">
        <f>H13*L13</f>
        <v>379344.86729999998</v>
      </c>
      <c r="R13" s="80">
        <f>L13+F13</f>
        <v>32915366</v>
      </c>
    </row>
    <row r="14" spans="1:18">
      <c r="A14" s="74">
        <v>2</v>
      </c>
      <c r="B14" s="67"/>
      <c r="C14" s="77" t="s">
        <v>73</v>
      </c>
      <c r="D14" s="74">
        <v>380</v>
      </c>
      <c r="F14" s="69">
        <f>'pg 5 2012 Bk Depr'!R14</f>
        <v>1333688</v>
      </c>
      <c r="H14" s="1">
        <v>3.7900000000000003E-2</v>
      </c>
      <c r="J14" s="69">
        <f>F14*H14</f>
        <v>50546.775200000004</v>
      </c>
      <c r="L14" s="69">
        <f>'pg 3 Cap &amp; OpEx'!C32</f>
        <v>1680450</v>
      </c>
      <c r="N14" s="69">
        <f>H14*L14*0.5</f>
        <v>31844.527500000004</v>
      </c>
      <c r="P14" s="80">
        <f>H14*L14</f>
        <v>63689.055000000008</v>
      </c>
      <c r="R14" s="80">
        <f>L14+F14</f>
        <v>3014138</v>
      </c>
    </row>
    <row r="15" spans="1:18">
      <c r="A15" s="74">
        <v>3</v>
      </c>
      <c r="B15" s="67"/>
      <c r="C15" s="77" t="s">
        <v>74</v>
      </c>
      <c r="D15" s="74">
        <v>380</v>
      </c>
      <c r="F15" s="69">
        <f>'pg 5 2012 Bk Depr'!R15</f>
        <v>0</v>
      </c>
      <c r="H15" s="1">
        <v>3.7900000000000003E-2</v>
      </c>
      <c r="J15" s="69">
        <f>F15*H15</f>
        <v>0</v>
      </c>
      <c r="L15" s="69">
        <f>'pg 3 Cap &amp; OpEx'!C34</f>
        <v>16814074</v>
      </c>
      <c r="N15" s="69">
        <f>H15*L15*0.5</f>
        <v>318626.7023</v>
      </c>
      <c r="P15" s="80">
        <f>H15*L15</f>
        <v>637253.40460000001</v>
      </c>
      <c r="R15" s="80">
        <f>L15+F15</f>
        <v>16814074</v>
      </c>
    </row>
    <row r="16" spans="1:18">
      <c r="A16" s="74">
        <v>4</v>
      </c>
      <c r="B16" s="67"/>
      <c r="C16" s="67" t="s">
        <v>52</v>
      </c>
      <c r="F16" s="69">
        <f>'pg 5 2012 Bk Depr'!R16</f>
        <v>0</v>
      </c>
      <c r="H16" s="1">
        <v>3.7900000000000003E-2</v>
      </c>
      <c r="J16" s="69">
        <f>F16*H16</f>
        <v>0</v>
      </c>
      <c r="L16" s="69">
        <f>'pg 3 Cap &amp; OpEx'!C36</f>
        <v>6399445</v>
      </c>
      <c r="N16" s="69">
        <f>H16*L16*0.5</f>
        <v>121269.48275000001</v>
      </c>
      <c r="P16" s="80">
        <f>H16*L16</f>
        <v>242538.96550000002</v>
      </c>
      <c r="R16" s="80">
        <f>L16+F16</f>
        <v>6399445</v>
      </c>
    </row>
    <row r="17" spans="1:18">
      <c r="A17" s="74">
        <v>5</v>
      </c>
      <c r="B17" s="67"/>
      <c r="C17" s="67" t="s">
        <v>26</v>
      </c>
      <c r="F17" s="81">
        <f>SUM(F13:F16)</f>
        <v>14177897</v>
      </c>
      <c r="J17" s="81">
        <f>SUM(J13:J16)</f>
        <v>293302.32530000003</v>
      </c>
      <c r="L17" s="81">
        <f>SUM(L13:L16)</f>
        <v>44965126</v>
      </c>
      <c r="N17" s="81">
        <f>SUM(N13:N16)</f>
        <v>661413.14619999996</v>
      </c>
      <c r="P17" s="81">
        <f>SUM(P13:P16)</f>
        <v>1322826.2923999999</v>
      </c>
      <c r="R17" s="81">
        <f>SUM(R13:R16)</f>
        <v>59143023</v>
      </c>
    </row>
    <row r="18" spans="1:18">
      <c r="B18" s="67"/>
    </row>
    <row r="19" spans="1:18">
      <c r="B19" s="79" t="s">
        <v>13</v>
      </c>
      <c r="C19" s="79"/>
    </row>
    <row r="20" spans="1:18">
      <c r="A20" s="74">
        <v>6</v>
      </c>
      <c r="B20" s="67"/>
      <c r="C20" s="67" t="s">
        <v>25</v>
      </c>
      <c r="D20" s="74">
        <v>376</v>
      </c>
      <c r="F20" s="69">
        <f>'pg 5 2012 Bk Depr'!R20</f>
        <v>-684813.09807663399</v>
      </c>
      <c r="H20" s="1">
        <v>1.89E-2</v>
      </c>
      <c r="J20" s="69">
        <f>F20*H20</f>
        <v>-12942.967553648383</v>
      </c>
      <c r="L20" s="69">
        <f>'pg 3 Cap &amp; OpEx'!C31</f>
        <v>-1011642.79199175</v>
      </c>
      <c r="N20" s="69">
        <f>H20*L20*0.5</f>
        <v>-9560.0243843220378</v>
      </c>
      <c r="P20" s="80">
        <f>H20*L20</f>
        <v>-19120.048768644076</v>
      </c>
      <c r="R20" s="80">
        <f>L20+F20</f>
        <v>-1696455.8900683839</v>
      </c>
    </row>
    <row r="21" spans="1:18">
      <c r="A21" s="74">
        <v>7</v>
      </c>
      <c r="B21" s="67"/>
      <c r="C21" s="77" t="s">
        <v>73</v>
      </c>
      <c r="D21" s="74">
        <v>380</v>
      </c>
      <c r="F21" s="69">
        <f>'pg 5 2012 Bk Depr'!R21</f>
        <v>-71108.077667346399</v>
      </c>
      <c r="H21" s="1">
        <v>3.7900000000000003E-2</v>
      </c>
      <c r="J21" s="69">
        <f>F21*H21</f>
        <v>-2694.9961435924288</v>
      </c>
      <c r="L21" s="69">
        <f>'pg 3 Cap &amp; OpEx'!C33</f>
        <v>-84699.408698887302</v>
      </c>
      <c r="N21" s="69">
        <f>H21*L21*0.5</f>
        <v>-1605.0537948439146</v>
      </c>
      <c r="P21" s="80">
        <f>H21*L21</f>
        <v>-3210.1075896878292</v>
      </c>
      <c r="R21" s="80">
        <f>L21+F21</f>
        <v>-155807.4863662337</v>
      </c>
    </row>
    <row r="22" spans="1:18">
      <c r="A22" s="74">
        <v>8</v>
      </c>
      <c r="B22" s="67"/>
      <c r="C22" s="77" t="s">
        <v>74</v>
      </c>
      <c r="D22" s="74">
        <v>380</v>
      </c>
      <c r="F22" s="69">
        <f>'pg 5 2012 Bk Depr'!R22</f>
        <v>0</v>
      </c>
      <c r="H22" s="1">
        <v>3.7900000000000003E-2</v>
      </c>
      <c r="J22" s="69">
        <f>F22*H22</f>
        <v>0</v>
      </c>
      <c r="L22" s="69">
        <f>'pg 3 Cap &amp; OpEx'!C35</f>
        <v>-3375560.49</v>
      </c>
      <c r="N22" s="69">
        <f>H22*L22*0.5</f>
        <v>-63966.871285500012</v>
      </c>
      <c r="P22" s="80">
        <f>H22*L22</f>
        <v>-127933.74257100002</v>
      </c>
      <c r="R22" s="80">
        <f>L22+F22</f>
        <v>-3375560.49</v>
      </c>
    </row>
    <row r="23" spans="1:18">
      <c r="A23" s="74">
        <v>9</v>
      </c>
      <c r="B23" s="67"/>
      <c r="C23" s="67" t="s">
        <v>27</v>
      </c>
      <c r="F23" s="81">
        <f>SUM(F20:F22)</f>
        <v>-755921.17574398033</v>
      </c>
      <c r="J23" s="81">
        <f>SUM(J20:J22)</f>
        <v>-15637.963697240812</v>
      </c>
      <c r="L23" s="81">
        <f>SUM(L20:L22)</f>
        <v>-4471902.6906906376</v>
      </c>
      <c r="N23" s="81">
        <f>SUM(N20:N22)</f>
        <v>-75131.949464665959</v>
      </c>
      <c r="P23" s="81">
        <f>SUM(P20:P22)</f>
        <v>-150263.89892933192</v>
      </c>
      <c r="R23" s="81">
        <f>SUM(R20:R22)</f>
        <v>-5227823.8664346179</v>
      </c>
    </row>
    <row r="24" spans="1:18">
      <c r="B24" s="67"/>
    </row>
    <row r="25" spans="1:18" ht="16.5" thickBot="1">
      <c r="A25" s="74">
        <v>10</v>
      </c>
      <c r="B25" s="82" t="s">
        <v>22</v>
      </c>
      <c r="C25" s="82"/>
      <c r="F25" s="83">
        <f>F17+F23</f>
        <v>13421975.82425602</v>
      </c>
      <c r="J25" s="83">
        <f>J17+J23</f>
        <v>277664.36160275922</v>
      </c>
      <c r="L25" s="83">
        <f>L17+L23</f>
        <v>40493223.309309363</v>
      </c>
      <c r="N25" s="83">
        <f>N17+N23</f>
        <v>586281.196735334</v>
      </c>
      <c r="P25" s="83">
        <f>P17+P23</f>
        <v>1172562.393470668</v>
      </c>
      <c r="R25" s="83">
        <f>R17+R23</f>
        <v>53915199.133565381</v>
      </c>
    </row>
    <row r="26" spans="1:18" ht="16.5" thickTop="1">
      <c r="B26" s="67"/>
    </row>
    <row r="27" spans="1:18">
      <c r="B27" s="82" t="s">
        <v>23</v>
      </c>
      <c r="C27" s="82"/>
    </row>
    <row r="28" spans="1:18">
      <c r="A28" s="74">
        <v>11</v>
      </c>
      <c r="B28" s="67"/>
      <c r="C28" s="67" t="s">
        <v>25</v>
      </c>
      <c r="D28" s="74">
        <v>376</v>
      </c>
      <c r="F28" s="69">
        <f>'pg 5 2012 Bk Depr'!R28</f>
        <v>378111</v>
      </c>
      <c r="L28" s="69">
        <f>'pg 3 Cap &amp; OpEx'!C95</f>
        <v>1300434</v>
      </c>
      <c r="R28" s="80">
        <f>L28+F28</f>
        <v>1678545</v>
      </c>
    </row>
    <row r="29" spans="1:18">
      <c r="A29" s="74">
        <v>12</v>
      </c>
      <c r="B29" s="67"/>
      <c r="C29" s="77" t="s">
        <v>73</v>
      </c>
      <c r="D29" s="74">
        <v>380</v>
      </c>
      <c r="F29" s="69">
        <f>'pg 5 2012 Bk Depr'!R29</f>
        <v>303780</v>
      </c>
      <c r="L29" s="69">
        <f>'pg 3 Cap &amp; OpEx'!C96</f>
        <v>414948</v>
      </c>
      <c r="R29" s="80">
        <f>L29+F29</f>
        <v>718728</v>
      </c>
    </row>
    <row r="30" spans="1:18">
      <c r="A30" s="74">
        <v>12</v>
      </c>
      <c r="B30" s="67"/>
      <c r="C30" s="77" t="s">
        <v>74</v>
      </c>
      <c r="D30" s="74">
        <v>380</v>
      </c>
      <c r="F30" s="69">
        <f>'pg 5 2012 Bk Depr'!R30</f>
        <v>0</v>
      </c>
      <c r="L30" s="69">
        <f>'pg 3 Cap &amp; OpEx'!C97</f>
        <v>884951</v>
      </c>
      <c r="R30" s="80">
        <f>L30+F30</f>
        <v>884951</v>
      </c>
    </row>
    <row r="31" spans="1:18">
      <c r="A31" s="74">
        <v>14</v>
      </c>
      <c r="B31" s="67"/>
      <c r="C31" s="67" t="s">
        <v>28</v>
      </c>
      <c r="F31" s="81">
        <f>SUM(F28:F30)</f>
        <v>681891</v>
      </c>
      <c r="J31" s="81">
        <f>SUM(J28:J30)</f>
        <v>0</v>
      </c>
      <c r="L31" s="81">
        <f>SUM(L28:L30)</f>
        <v>2600333</v>
      </c>
      <c r="N31" s="81">
        <f>SUM(N28:N30)</f>
        <v>0</v>
      </c>
      <c r="P31" s="81">
        <f>SUM(P28:P30)</f>
        <v>0</v>
      </c>
      <c r="R31" s="81">
        <f>SUM(R28:R30)</f>
        <v>3282224</v>
      </c>
    </row>
  </sheetData>
  <mergeCells count="4">
    <mergeCell ref="A4:R4"/>
    <mergeCell ref="A1:R1"/>
    <mergeCell ref="A2:R2"/>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142</v>
      </c>
      <c r="B2" s="561"/>
      <c r="C2" s="561"/>
      <c r="D2" s="561"/>
      <c r="E2" s="561"/>
      <c r="F2" s="561"/>
      <c r="G2" s="561"/>
      <c r="H2" s="561"/>
      <c r="I2" s="561"/>
      <c r="J2" s="561"/>
      <c r="K2" s="561"/>
      <c r="L2" s="561"/>
      <c r="M2" s="561"/>
      <c r="N2" s="561"/>
      <c r="O2" s="561"/>
      <c r="P2" s="561"/>
      <c r="Q2" s="561"/>
      <c r="R2" s="561"/>
    </row>
    <row r="3" spans="1:18" ht="18.75">
      <c r="A3" s="560" t="s">
        <v>134</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180"/>
      <c r="B5" s="84"/>
      <c r="C5" s="84"/>
      <c r="D5" s="84"/>
      <c r="E5" s="84"/>
      <c r="F5" s="84"/>
      <c r="G5" s="84"/>
      <c r="H5" s="84"/>
      <c r="I5" s="84"/>
      <c r="J5" s="84"/>
      <c r="K5" s="84"/>
      <c r="L5" s="84"/>
      <c r="M5" s="84"/>
      <c r="N5" s="84"/>
      <c r="O5" s="84"/>
      <c r="P5" s="84"/>
      <c r="Q5" s="84"/>
    </row>
    <row r="6" spans="1:18">
      <c r="C6" s="84"/>
      <c r="D6" s="84"/>
      <c r="E6" s="84"/>
      <c r="F6" s="84">
        <v>2014</v>
      </c>
      <c r="G6" s="84"/>
      <c r="H6" s="84"/>
      <c r="I6" s="84"/>
      <c r="J6" s="84"/>
      <c r="K6" s="84"/>
      <c r="L6" s="84">
        <v>2014</v>
      </c>
      <c r="M6" s="84"/>
      <c r="N6" s="84"/>
      <c r="O6" s="84"/>
      <c r="P6" s="84"/>
      <c r="Q6" s="84"/>
      <c r="R6" s="84">
        <v>2014</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6 2013 Bk Depr'!R13</f>
        <v>32915366</v>
      </c>
      <c r="H13" s="1">
        <v>1.89E-2</v>
      </c>
      <c r="J13" s="69">
        <f>F13*H13</f>
        <v>622100.41740000003</v>
      </c>
      <c r="L13" s="69">
        <f>'pg 3 Cap &amp; OpEx'!D30</f>
        <v>21044331</v>
      </c>
      <c r="N13" s="69">
        <f>H13*L13*0.5</f>
        <v>198868.92795000001</v>
      </c>
      <c r="P13" s="80">
        <f>H13*L13</f>
        <v>397737.85590000002</v>
      </c>
      <c r="R13" s="80">
        <f>L13+F13</f>
        <v>53959697</v>
      </c>
    </row>
    <row r="14" spans="1:18">
      <c r="A14" s="74">
        <v>2</v>
      </c>
      <c r="B14" s="67"/>
      <c r="C14" s="77" t="s">
        <v>73</v>
      </c>
      <c r="D14" s="74">
        <v>380</v>
      </c>
      <c r="F14" s="69">
        <f>'pg 6 2013 Bk Depr'!R14</f>
        <v>3014138</v>
      </c>
      <c r="H14" s="1">
        <v>3.7900000000000003E-2</v>
      </c>
      <c r="J14" s="69">
        <f>F14*H14</f>
        <v>114235.83020000001</v>
      </c>
      <c r="L14" s="69">
        <f>'pg 3 Cap &amp; OpEx'!D32</f>
        <v>1738915</v>
      </c>
      <c r="N14" s="69">
        <f>H14*L14*0.5</f>
        <v>32952.439250000003</v>
      </c>
      <c r="P14" s="80">
        <f>H14*L14</f>
        <v>65904.878500000006</v>
      </c>
      <c r="R14" s="80">
        <f>L14+F14</f>
        <v>4753053</v>
      </c>
    </row>
    <row r="15" spans="1:18">
      <c r="A15" s="74">
        <v>3</v>
      </c>
      <c r="B15" s="67"/>
      <c r="C15" s="77" t="s">
        <v>74</v>
      </c>
      <c r="D15" s="74">
        <v>380</v>
      </c>
      <c r="F15" s="69">
        <f>'pg 6 2013 Bk Depr'!R15</f>
        <v>16814074</v>
      </c>
      <c r="H15" s="1">
        <v>3.7900000000000003E-2</v>
      </c>
      <c r="J15" s="69">
        <f>F15*H15</f>
        <v>637253.40460000001</v>
      </c>
      <c r="L15" s="69">
        <f>'pg 3 Cap &amp; OpEx'!D34</f>
        <v>23307809</v>
      </c>
      <c r="N15" s="69">
        <f>H15*L15*0.5</f>
        <v>441682.98055000004</v>
      </c>
      <c r="P15" s="80">
        <f>H15*L15</f>
        <v>883365.96110000007</v>
      </c>
      <c r="R15" s="80">
        <f>L15+F15</f>
        <v>40121883</v>
      </c>
    </row>
    <row r="16" spans="1:18">
      <c r="A16" s="74">
        <v>4</v>
      </c>
      <c r="B16" s="67"/>
      <c r="C16" s="67" t="s">
        <v>52</v>
      </c>
      <c r="F16" s="69">
        <f>'pg 6 2013 Bk Depr'!R16</f>
        <v>6399445</v>
      </c>
      <c r="H16" s="1">
        <v>3.7900000000000003E-2</v>
      </c>
      <c r="J16" s="69">
        <f>F16*H16</f>
        <v>242538.96550000002</v>
      </c>
      <c r="L16" s="69">
        <f>'pg 3 Cap &amp; OpEx'!D36</f>
        <v>6591428</v>
      </c>
      <c r="N16" s="69">
        <f>H16*L16*0.5</f>
        <v>124907.56060000001</v>
      </c>
      <c r="P16" s="80">
        <f>H16*L16</f>
        <v>249815.12120000002</v>
      </c>
      <c r="R16" s="80">
        <f>L16+F16</f>
        <v>12990873</v>
      </c>
    </row>
    <row r="17" spans="1:18">
      <c r="A17" s="74">
        <v>5</v>
      </c>
      <c r="B17" s="67"/>
      <c r="C17" s="67" t="s">
        <v>26</v>
      </c>
      <c r="F17" s="81">
        <f>SUM(F13:F16)</f>
        <v>59143023</v>
      </c>
      <c r="J17" s="81">
        <f>SUM(J13:J16)</f>
        <v>1616128.6176999998</v>
      </c>
      <c r="L17" s="81">
        <f>SUM(L13:L16)</f>
        <v>52682483</v>
      </c>
      <c r="N17" s="81">
        <f>SUM(N13:N16)</f>
        <v>798411.90835000004</v>
      </c>
      <c r="P17" s="81">
        <f>SUM(P13:P16)</f>
        <v>1596823.8167000001</v>
      </c>
      <c r="R17" s="81">
        <f>SUM(R13:R16)</f>
        <v>111825506</v>
      </c>
    </row>
    <row r="18" spans="1:18">
      <c r="B18" s="67"/>
    </row>
    <row r="19" spans="1:18">
      <c r="B19" s="79" t="s">
        <v>13</v>
      </c>
      <c r="C19" s="79"/>
    </row>
    <row r="20" spans="1:18">
      <c r="A20" s="74">
        <v>6</v>
      </c>
      <c r="B20" s="67"/>
      <c r="C20" s="67" t="s">
        <v>25</v>
      </c>
      <c r="D20" s="74">
        <v>376</v>
      </c>
      <c r="F20" s="69">
        <f>'pg 6 2013 Bk Depr'!R20</f>
        <v>-1696455.8900683839</v>
      </c>
      <c r="H20" s="1">
        <v>1.89E-2</v>
      </c>
      <c r="J20" s="69">
        <f>F20*H20</f>
        <v>-32063.016322292457</v>
      </c>
      <c r="L20" s="69">
        <f>'pg 3 Cap &amp; OpEx'!D31</f>
        <v>-1019820.65283754</v>
      </c>
      <c r="N20" s="69">
        <f>H20*L20*0.5</f>
        <v>-9637.3051693147536</v>
      </c>
      <c r="P20" s="80">
        <f>H20*L20</f>
        <v>-19274.610338629507</v>
      </c>
      <c r="R20" s="80">
        <f>L20+F20</f>
        <v>-2716276.5429059239</v>
      </c>
    </row>
    <row r="21" spans="1:18">
      <c r="A21" s="74">
        <v>7</v>
      </c>
      <c r="B21" s="67"/>
      <c r="C21" s="77" t="s">
        <v>73</v>
      </c>
      <c r="D21" s="74">
        <v>380</v>
      </c>
      <c r="F21" s="69">
        <f>'pg 6 2013 Bk Depr'!R21</f>
        <v>-155807.4863662337</v>
      </c>
      <c r="H21" s="1">
        <v>3.7900000000000003E-2</v>
      </c>
      <c r="J21" s="69">
        <f>F21*H21</f>
        <v>-5905.103733280258</v>
      </c>
      <c r="L21" s="69">
        <f>'pg 3 Cap &amp; OpEx'!D33</f>
        <v>-84268.843258975001</v>
      </c>
      <c r="N21" s="69">
        <f>H21*L21*0.5</f>
        <v>-1596.8945797575764</v>
      </c>
      <c r="P21" s="80">
        <f>H21*L21</f>
        <v>-3193.7891595151527</v>
      </c>
      <c r="R21" s="80">
        <f>L21+F21</f>
        <v>-240076.32962520869</v>
      </c>
    </row>
    <row r="22" spans="1:18">
      <c r="A22" s="74">
        <v>8</v>
      </c>
      <c r="B22" s="67"/>
      <c r="C22" s="77" t="s">
        <v>74</v>
      </c>
      <c r="D22" s="74">
        <v>380</v>
      </c>
      <c r="F22" s="69">
        <f>'pg 6 2013 Bk Depr'!R22</f>
        <v>-3375560.49</v>
      </c>
      <c r="H22" s="1">
        <v>3.7900000000000003E-2</v>
      </c>
      <c r="J22" s="69">
        <f>F22*H22</f>
        <v>-127933.74257100002</v>
      </c>
      <c r="L22" s="69">
        <f>'pg 3 Cap &amp; OpEx'!D35</f>
        <v>-3375560.49</v>
      </c>
      <c r="N22" s="69">
        <f>H22*L22*0.5</f>
        <v>-63966.871285500012</v>
      </c>
      <c r="P22" s="80">
        <f>H22*L22</f>
        <v>-127933.74257100002</v>
      </c>
      <c r="R22" s="80">
        <f>L22+F22</f>
        <v>-6751120.9800000004</v>
      </c>
    </row>
    <row r="23" spans="1:18">
      <c r="A23" s="74">
        <v>9</v>
      </c>
      <c r="B23" s="67"/>
      <c r="C23" s="67" t="s">
        <v>27</v>
      </c>
      <c r="F23" s="81">
        <f>SUM(F20:F22)</f>
        <v>-5227823.8664346179</v>
      </c>
      <c r="J23" s="81">
        <f>SUM(J20:J22)</f>
        <v>-165901.86262657272</v>
      </c>
      <c r="L23" s="81">
        <f>SUM(L20:L22)</f>
        <v>-4479649.9860965153</v>
      </c>
      <c r="N23" s="81">
        <f>SUM(N20:N22)</f>
        <v>-75201.071034572349</v>
      </c>
      <c r="P23" s="81">
        <f>SUM(P20:P22)</f>
        <v>-150402.1420691447</v>
      </c>
      <c r="R23" s="81">
        <f>SUM(R20:R22)</f>
        <v>-9707473.8525311332</v>
      </c>
    </row>
    <row r="24" spans="1:18">
      <c r="B24" s="67"/>
    </row>
    <row r="25" spans="1:18" ht="16.5" thickBot="1">
      <c r="A25" s="74">
        <v>10</v>
      </c>
      <c r="B25" s="82" t="s">
        <v>22</v>
      </c>
      <c r="C25" s="82"/>
      <c r="F25" s="83">
        <f>F17+F23</f>
        <v>53915199.133565381</v>
      </c>
      <c r="J25" s="83">
        <f>J17+J23</f>
        <v>1450226.7550734272</v>
      </c>
      <c r="L25" s="83">
        <f>L17+L23</f>
        <v>48202833.013903484</v>
      </c>
      <c r="N25" s="83">
        <f>N17+N23</f>
        <v>723210.83731542772</v>
      </c>
      <c r="P25" s="83">
        <f>P17+P23</f>
        <v>1446421.6746308554</v>
      </c>
      <c r="R25" s="83">
        <f>R17+R23</f>
        <v>102118032.14746886</v>
      </c>
    </row>
    <row r="26" spans="1:18" ht="16.5" thickTop="1">
      <c r="B26" s="67"/>
    </row>
    <row r="27" spans="1:18">
      <c r="B27" s="82" t="s">
        <v>23</v>
      </c>
      <c r="C27" s="82"/>
    </row>
    <row r="28" spans="1:18">
      <c r="A28" s="74">
        <v>11</v>
      </c>
      <c r="B28" s="67"/>
      <c r="C28" s="67" t="s">
        <v>25</v>
      </c>
      <c r="D28" s="74">
        <v>376</v>
      </c>
      <c r="F28" s="69">
        <f>'pg 6 2013 Bk Depr'!R28</f>
        <v>1678545</v>
      </c>
      <c r="L28" s="69">
        <f>'pg 3 Cap &amp; OpEx'!D95</f>
        <v>1350228</v>
      </c>
      <c r="R28" s="80">
        <f>L28+F28</f>
        <v>3028773</v>
      </c>
    </row>
    <row r="29" spans="1:18">
      <c r="A29" s="74">
        <v>12</v>
      </c>
      <c r="B29" s="67"/>
      <c r="C29" s="77" t="s">
        <v>73</v>
      </c>
      <c r="D29" s="74">
        <v>380</v>
      </c>
      <c r="F29" s="69">
        <f>'pg 6 2013 Bk Depr'!R29</f>
        <v>718728</v>
      </c>
      <c r="L29" s="69">
        <f>'pg 3 Cap &amp; OpEx'!D96</f>
        <v>407430</v>
      </c>
      <c r="R29" s="80">
        <f>L29+F29</f>
        <v>1126158</v>
      </c>
    </row>
    <row r="30" spans="1:18">
      <c r="A30" s="74">
        <v>12</v>
      </c>
      <c r="B30" s="67"/>
      <c r="C30" s="77" t="s">
        <v>74</v>
      </c>
      <c r="D30" s="74">
        <v>380</v>
      </c>
      <c r="F30" s="69">
        <f>'pg 6 2013 Bk Depr'!R30</f>
        <v>884951</v>
      </c>
      <c r="L30" s="69">
        <f>'pg 3 Cap &amp; OpEx'!D97</f>
        <v>1226727</v>
      </c>
      <c r="R30" s="80">
        <f>L30+F30</f>
        <v>2111678</v>
      </c>
    </row>
    <row r="31" spans="1:18">
      <c r="A31" s="74">
        <v>14</v>
      </c>
      <c r="B31" s="67"/>
      <c r="C31" s="67" t="s">
        <v>28</v>
      </c>
      <c r="F31" s="81">
        <f>SUM(F28:F30)</f>
        <v>3282224</v>
      </c>
      <c r="J31" s="81">
        <f>SUM(J28:J30)</f>
        <v>0</v>
      </c>
      <c r="L31" s="81">
        <f>SUM(L28:L30)</f>
        <v>2984385</v>
      </c>
      <c r="N31" s="81">
        <f>SUM(N28:N30)</f>
        <v>0</v>
      </c>
      <c r="P31" s="81">
        <f>SUM(P28:P30)</f>
        <v>0</v>
      </c>
      <c r="R31" s="81">
        <f>SUM(R28:R30)</f>
        <v>6266609</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142</v>
      </c>
      <c r="B2" s="561"/>
      <c r="C2" s="561"/>
      <c r="D2" s="561"/>
      <c r="E2" s="561"/>
      <c r="F2" s="561"/>
      <c r="G2" s="561"/>
      <c r="H2" s="561"/>
      <c r="I2" s="561"/>
      <c r="J2" s="561"/>
      <c r="K2" s="561"/>
      <c r="L2" s="561"/>
      <c r="M2" s="561"/>
      <c r="N2" s="561"/>
      <c r="O2" s="561"/>
      <c r="P2" s="561"/>
      <c r="Q2" s="561"/>
      <c r="R2" s="561"/>
    </row>
    <row r="3" spans="1:18" ht="18.75">
      <c r="A3" s="560" t="s">
        <v>135</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180"/>
      <c r="B5" s="84"/>
      <c r="C5" s="84"/>
      <c r="D5" s="84"/>
      <c r="E5" s="84"/>
      <c r="F5" s="84"/>
      <c r="G5" s="84"/>
      <c r="H5" s="84"/>
      <c r="I5" s="84"/>
      <c r="J5" s="84"/>
      <c r="K5" s="84"/>
      <c r="L5" s="84"/>
      <c r="M5" s="84"/>
      <c r="N5" s="84"/>
      <c r="O5" s="84"/>
      <c r="P5" s="84"/>
      <c r="Q5" s="84"/>
    </row>
    <row r="6" spans="1:18">
      <c r="C6" s="84"/>
      <c r="D6" s="84"/>
      <c r="E6" s="84"/>
      <c r="F6" s="84">
        <v>2015</v>
      </c>
      <c r="G6" s="84"/>
      <c r="H6" s="84"/>
      <c r="I6" s="84"/>
      <c r="J6" s="84"/>
      <c r="K6" s="84"/>
      <c r="L6" s="84">
        <v>2015</v>
      </c>
      <c r="M6" s="84"/>
      <c r="N6" s="84"/>
      <c r="O6" s="84"/>
      <c r="P6" s="84"/>
      <c r="Q6" s="84"/>
      <c r="R6" s="84">
        <v>2015</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7 2014 Bk Depr'!R13</f>
        <v>53959697</v>
      </c>
      <c r="H13" s="1">
        <v>1.89E-2</v>
      </c>
      <c r="J13" s="69">
        <f>F13*H13</f>
        <v>1019838.2733</v>
      </c>
      <c r="L13" s="69">
        <f>'pg 3 Cap &amp; OpEx'!E30</f>
        <v>23052000</v>
      </c>
      <c r="N13" s="69">
        <f>H13*L13*0.5</f>
        <v>217841.4</v>
      </c>
      <c r="P13" s="80">
        <f>H13*L13</f>
        <v>435682.8</v>
      </c>
      <c r="R13" s="80">
        <f>L13+F13</f>
        <v>77011697</v>
      </c>
    </row>
    <row r="14" spans="1:18">
      <c r="A14" s="74">
        <v>2</v>
      </c>
      <c r="B14" s="67"/>
      <c r="C14" s="77" t="s">
        <v>73</v>
      </c>
      <c r="D14" s="74">
        <v>380</v>
      </c>
      <c r="F14" s="69">
        <f>'pg 7 2014 Bk Depr'!R14</f>
        <v>4753053</v>
      </c>
      <c r="H14" s="1">
        <v>3.7900000000000003E-2</v>
      </c>
      <c r="J14" s="69">
        <f>F14*H14</f>
        <v>180140.70870000002</v>
      </c>
      <c r="L14" s="69">
        <f>'pg 3 Cap &amp; OpEx'!E32</f>
        <v>1785000</v>
      </c>
      <c r="N14" s="69">
        <f>H14*L14*0.5</f>
        <v>33825.75</v>
      </c>
      <c r="P14" s="80">
        <f>H14*L14</f>
        <v>67651.5</v>
      </c>
      <c r="R14" s="80">
        <f>L14+F14</f>
        <v>6538053</v>
      </c>
    </row>
    <row r="15" spans="1:18">
      <c r="A15" s="74">
        <v>3</v>
      </c>
      <c r="B15" s="67"/>
      <c r="C15" s="77" t="s">
        <v>74</v>
      </c>
      <c r="D15" s="74">
        <v>380</v>
      </c>
      <c r="F15" s="69">
        <f>'pg 7 2014 Bk Depr'!R15</f>
        <v>40121883</v>
      </c>
      <c r="H15" s="1">
        <v>3.7900000000000003E-2</v>
      </c>
      <c r="J15" s="69">
        <f>F15*H15</f>
        <v>1520619.3657000002</v>
      </c>
      <c r="L15" s="69">
        <f>'pg 3 Cap &amp; OpEx'!E34</f>
        <v>23743206</v>
      </c>
      <c r="N15" s="69">
        <f>H15*L15*0.5</f>
        <v>449933.75370000006</v>
      </c>
      <c r="P15" s="80">
        <f>H15*L15</f>
        <v>899867.50740000012</v>
      </c>
      <c r="R15" s="80">
        <f>L15+F15</f>
        <v>63865089</v>
      </c>
    </row>
    <row r="16" spans="1:18">
      <c r="A16" s="74">
        <v>4</v>
      </c>
      <c r="B16" s="67"/>
      <c r="C16" s="67" t="s">
        <v>52</v>
      </c>
      <c r="F16" s="69">
        <f>'pg 7 2014 Bk Depr'!R16</f>
        <v>12990873</v>
      </c>
      <c r="H16" s="1">
        <v>3.7900000000000003E-2</v>
      </c>
      <c r="J16" s="69">
        <f>F16*H16</f>
        <v>492354.08670000004</v>
      </c>
      <c r="L16" s="69">
        <f>'pg 3 Cap &amp; OpEx'!E36</f>
        <v>6789171</v>
      </c>
      <c r="N16" s="69">
        <f>H16*L16*0.5</f>
        <v>128654.79045000001</v>
      </c>
      <c r="P16" s="80">
        <f>H16*L16</f>
        <v>257309.58090000003</v>
      </c>
      <c r="R16" s="80">
        <f>L16+F16</f>
        <v>19780044</v>
      </c>
    </row>
    <row r="17" spans="1:18">
      <c r="A17" s="74">
        <v>5</v>
      </c>
      <c r="B17" s="67"/>
      <c r="C17" s="67" t="s">
        <v>26</v>
      </c>
      <c r="F17" s="81">
        <f>SUM(F13:F16)</f>
        <v>111825506</v>
      </c>
      <c r="J17" s="81">
        <f>SUM(J13:J16)</f>
        <v>3212952.4344000001</v>
      </c>
      <c r="L17" s="81">
        <f>SUM(L13:L16)</f>
        <v>55369377</v>
      </c>
      <c r="N17" s="81">
        <f>SUM(N13:N16)</f>
        <v>830255.69415</v>
      </c>
      <c r="P17" s="81">
        <f>SUM(P13:P16)</f>
        <v>1660511.3883</v>
      </c>
      <c r="R17" s="81">
        <f>SUM(R13:R16)</f>
        <v>167194883</v>
      </c>
    </row>
    <row r="18" spans="1:18">
      <c r="B18" s="67"/>
    </row>
    <row r="19" spans="1:18">
      <c r="B19" s="79" t="s">
        <v>13</v>
      </c>
      <c r="C19" s="79"/>
    </row>
    <row r="20" spans="1:18">
      <c r="A20" s="74">
        <v>6</v>
      </c>
      <c r="B20" s="67"/>
      <c r="C20" s="67" t="s">
        <v>25</v>
      </c>
      <c r="D20" s="74">
        <v>376</v>
      </c>
      <c r="F20" s="69">
        <f>'pg 7 2014 Bk Depr'!R20</f>
        <v>-2716276.5429059239</v>
      </c>
      <c r="H20" s="1">
        <v>1.89E-2</v>
      </c>
      <c r="J20" s="69">
        <f>F20*H20</f>
        <v>-51337.62666092196</v>
      </c>
      <c r="L20" s="69">
        <f>'pg 3 Cap &amp; OpEx'!E31</f>
        <v>-1102203.33418891</v>
      </c>
      <c r="N20" s="69">
        <f>H20*L20*0.5</f>
        <v>-10415.821508085199</v>
      </c>
      <c r="P20" s="80">
        <f>H20*L20</f>
        <v>-20831.643016170397</v>
      </c>
      <c r="R20" s="80">
        <f>L20+F20</f>
        <v>-3818479.8770948341</v>
      </c>
    </row>
    <row r="21" spans="1:18">
      <c r="A21" s="74">
        <v>7</v>
      </c>
      <c r="B21" s="67"/>
      <c r="C21" s="77" t="s">
        <v>73</v>
      </c>
      <c r="D21" s="74">
        <v>380</v>
      </c>
      <c r="F21" s="69">
        <f>'pg 7 2014 Bk Depr'!R21</f>
        <v>-240076.32962520869</v>
      </c>
      <c r="H21" s="1">
        <v>3.7900000000000003E-2</v>
      </c>
      <c r="J21" s="69">
        <f>F21*H21</f>
        <v>-9098.8928927954094</v>
      </c>
      <c r="L21" s="69">
        <f>'pg 3 Cap &amp; OpEx'!E33</f>
        <v>-85347.6033110883</v>
      </c>
      <c r="N21" s="69">
        <f>H21*L21*0.5</f>
        <v>-1617.3370827451233</v>
      </c>
      <c r="P21" s="80">
        <f>H21*L21</f>
        <v>-3234.6741654902467</v>
      </c>
      <c r="R21" s="80">
        <f>L21+F21</f>
        <v>-325423.93293629697</v>
      </c>
    </row>
    <row r="22" spans="1:18">
      <c r="A22" s="74">
        <v>8</v>
      </c>
      <c r="B22" s="67"/>
      <c r="C22" s="77" t="s">
        <v>74</v>
      </c>
      <c r="D22" s="74">
        <v>380</v>
      </c>
      <c r="F22" s="69">
        <f>'pg 7 2014 Bk Depr'!R22</f>
        <v>-6751120.9800000004</v>
      </c>
      <c r="H22" s="1">
        <v>3.7900000000000003E-2</v>
      </c>
      <c r="J22" s="69">
        <f>F22*H22</f>
        <v>-255867.48514200005</v>
      </c>
      <c r="L22" s="69">
        <f>'pg 3 Cap &amp; OpEx'!E35</f>
        <v>-3375560.49</v>
      </c>
      <c r="N22" s="69">
        <f>H22*L22*0.5</f>
        <v>-63966.871285500012</v>
      </c>
      <c r="P22" s="80">
        <f>H22*L22</f>
        <v>-127933.74257100002</v>
      </c>
      <c r="R22" s="80">
        <f>L22+F22</f>
        <v>-10126681.470000001</v>
      </c>
    </row>
    <row r="23" spans="1:18">
      <c r="A23" s="74">
        <v>9</v>
      </c>
      <c r="B23" s="67"/>
      <c r="C23" s="67" t="s">
        <v>27</v>
      </c>
      <c r="F23" s="81">
        <f>SUM(F20:F22)</f>
        <v>-9707473.8525311332</v>
      </c>
      <c r="J23" s="81">
        <f>SUM(J20:J22)</f>
        <v>-316304.00469571742</v>
      </c>
      <c r="L23" s="81">
        <f>SUM(L20:L22)</f>
        <v>-4563111.4274999984</v>
      </c>
      <c r="N23" s="81">
        <f>SUM(N20:N22)</f>
        <v>-76000.029876330329</v>
      </c>
      <c r="P23" s="81">
        <f>SUM(P20:P22)</f>
        <v>-152000.05975266066</v>
      </c>
      <c r="R23" s="81">
        <f>SUM(R20:R22)</f>
        <v>-14270585.280031132</v>
      </c>
    </row>
    <row r="24" spans="1:18">
      <c r="B24" s="67"/>
    </row>
    <row r="25" spans="1:18" ht="16.5" thickBot="1">
      <c r="A25" s="74">
        <v>10</v>
      </c>
      <c r="B25" s="82" t="s">
        <v>22</v>
      </c>
      <c r="C25" s="82"/>
      <c r="F25" s="83">
        <f>F17+F23</f>
        <v>102118032.14746886</v>
      </c>
      <c r="J25" s="83">
        <f>J17+J23</f>
        <v>2896648.4297042829</v>
      </c>
      <c r="L25" s="83">
        <f>L17+L23</f>
        <v>50806265.572500005</v>
      </c>
      <c r="N25" s="83">
        <f>N17+N23</f>
        <v>754255.66427366971</v>
      </c>
      <c r="P25" s="83">
        <f>P17+P23</f>
        <v>1508511.3285473394</v>
      </c>
      <c r="R25" s="83">
        <f>R17+R23</f>
        <v>152924297.71996886</v>
      </c>
    </row>
    <row r="26" spans="1:18" ht="16.5" thickTop="1">
      <c r="B26" s="67"/>
    </row>
    <row r="27" spans="1:18">
      <c r="B27" s="82" t="s">
        <v>23</v>
      </c>
      <c r="C27" s="82"/>
    </row>
    <row r="28" spans="1:18">
      <c r="A28" s="74">
        <v>11</v>
      </c>
      <c r="B28" s="67"/>
      <c r="C28" s="67" t="s">
        <v>25</v>
      </c>
      <c r="D28" s="74">
        <v>376</v>
      </c>
      <c r="F28" s="69">
        <f>'pg 7 2014 Bk Depr'!R28</f>
        <v>3028773</v>
      </c>
      <c r="L28" s="69">
        <f>'pg 3 Cap &amp; OpEx'!E95</f>
        <v>666000</v>
      </c>
      <c r="R28" s="80">
        <f>L28+F28</f>
        <v>3694773</v>
      </c>
    </row>
    <row r="29" spans="1:18">
      <c r="A29" s="74">
        <v>12</v>
      </c>
      <c r="B29" s="67"/>
      <c r="C29" s="77" t="s">
        <v>73</v>
      </c>
      <c r="D29" s="74">
        <v>380</v>
      </c>
      <c r="F29" s="69">
        <f>'pg 7 2014 Bk Depr'!R29</f>
        <v>1126158</v>
      </c>
      <c r="L29" s="69">
        <f>'pg 3 Cap &amp; OpEx'!E96</f>
        <v>419000</v>
      </c>
      <c r="R29" s="80">
        <f>L29+F29</f>
        <v>1545158</v>
      </c>
    </row>
    <row r="30" spans="1:18">
      <c r="A30" s="74">
        <v>12</v>
      </c>
      <c r="B30" s="67"/>
      <c r="C30" s="77" t="s">
        <v>74</v>
      </c>
      <c r="D30" s="74">
        <v>380</v>
      </c>
      <c r="F30" s="69">
        <f>'pg 7 2014 Bk Depr'!R30</f>
        <v>2111678</v>
      </c>
      <c r="L30" s="69">
        <f>'pg 3 Cap &amp; OpEx'!E97</f>
        <v>1249642</v>
      </c>
      <c r="R30" s="80">
        <f>L30+F30</f>
        <v>3361320</v>
      </c>
    </row>
    <row r="31" spans="1:18">
      <c r="A31" s="74">
        <v>14</v>
      </c>
      <c r="B31" s="67"/>
      <c r="C31" s="67" t="s">
        <v>28</v>
      </c>
      <c r="F31" s="81">
        <f>SUM(F28:F30)</f>
        <v>6266609</v>
      </c>
      <c r="J31" s="81">
        <f>SUM(J28:J30)</f>
        <v>0</v>
      </c>
      <c r="L31" s="81">
        <f>SUM(L28:L30)</f>
        <v>2334642</v>
      </c>
      <c r="N31" s="81">
        <f>SUM(N28:N30)</f>
        <v>0</v>
      </c>
      <c r="P31" s="81">
        <f>SUM(P28:P30)</f>
        <v>0</v>
      </c>
      <c r="R31" s="81">
        <f>SUM(R28:R30)</f>
        <v>8601251</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142</v>
      </c>
      <c r="B2" s="561"/>
      <c r="C2" s="561"/>
      <c r="D2" s="561"/>
      <c r="E2" s="561"/>
      <c r="F2" s="561"/>
      <c r="G2" s="561"/>
      <c r="H2" s="561"/>
      <c r="I2" s="561"/>
      <c r="J2" s="561"/>
      <c r="K2" s="561"/>
      <c r="L2" s="561"/>
      <c r="M2" s="561"/>
      <c r="N2" s="561"/>
      <c r="O2" s="561"/>
      <c r="P2" s="561"/>
      <c r="Q2" s="561"/>
      <c r="R2" s="561"/>
    </row>
    <row r="3" spans="1:18" ht="18.75">
      <c r="A3" s="560" t="s">
        <v>136</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180"/>
      <c r="B5" s="84"/>
      <c r="C5" s="84"/>
      <c r="D5" s="84"/>
      <c r="E5" s="84"/>
      <c r="F5" s="84"/>
      <c r="G5" s="84"/>
      <c r="H5" s="84"/>
      <c r="I5" s="84"/>
      <c r="J5" s="84"/>
      <c r="K5" s="84"/>
      <c r="L5" s="84"/>
      <c r="M5" s="84"/>
      <c r="N5" s="84"/>
      <c r="O5" s="84"/>
      <c r="P5" s="84"/>
      <c r="Q5" s="84"/>
    </row>
    <row r="6" spans="1:18">
      <c r="C6" s="84"/>
      <c r="D6" s="84"/>
      <c r="E6" s="84"/>
      <c r="F6" s="84">
        <v>2016</v>
      </c>
      <c r="G6" s="84"/>
      <c r="H6" s="84"/>
      <c r="I6" s="84"/>
      <c r="J6" s="84"/>
      <c r="K6" s="84"/>
      <c r="L6" s="84">
        <v>2016</v>
      </c>
      <c r="M6" s="84"/>
      <c r="N6" s="84"/>
      <c r="O6" s="84"/>
      <c r="P6" s="84"/>
      <c r="Q6" s="84"/>
      <c r="R6" s="84">
        <v>2016</v>
      </c>
    </row>
    <row r="7" spans="1:18">
      <c r="C7" s="84"/>
      <c r="D7" s="84"/>
      <c r="E7" s="84"/>
      <c r="F7" s="84" t="s">
        <v>9</v>
      </c>
      <c r="G7" s="84"/>
      <c r="H7" s="84"/>
      <c r="I7" s="84"/>
      <c r="J7" s="84" t="s">
        <v>12</v>
      </c>
      <c r="K7" s="84"/>
      <c r="L7" s="84" t="s">
        <v>24</v>
      </c>
      <c r="M7" s="84"/>
      <c r="N7" s="84" t="s">
        <v>14</v>
      </c>
      <c r="O7" s="84"/>
      <c r="P7" s="84" t="s">
        <v>14</v>
      </c>
      <c r="Q7" s="84"/>
      <c r="R7" s="84" t="s">
        <v>17</v>
      </c>
    </row>
    <row r="8" spans="1:18">
      <c r="A8" s="84" t="s">
        <v>5</v>
      </c>
      <c r="B8" s="84"/>
      <c r="C8" s="84"/>
      <c r="D8" s="84" t="s">
        <v>8</v>
      </c>
      <c r="E8" s="84"/>
      <c r="F8" s="84" t="s">
        <v>2</v>
      </c>
      <c r="G8" s="84"/>
      <c r="H8" s="84" t="s">
        <v>11</v>
      </c>
      <c r="I8" s="84"/>
      <c r="J8" s="84" t="s">
        <v>9</v>
      </c>
      <c r="K8" s="84"/>
      <c r="L8" s="84" t="s">
        <v>72</v>
      </c>
      <c r="M8" s="84"/>
      <c r="N8" s="84" t="s">
        <v>12</v>
      </c>
      <c r="O8" s="84"/>
      <c r="P8" s="84" t="s">
        <v>16</v>
      </c>
      <c r="Q8" s="84"/>
      <c r="R8" s="84"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84"/>
      <c r="B10" s="84"/>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8 2015 Bk Depr'!R13</f>
        <v>77011697</v>
      </c>
      <c r="H13" s="1">
        <v>1.89E-2</v>
      </c>
      <c r="J13" s="69">
        <f>F13*H13</f>
        <v>1455521.0733</v>
      </c>
      <c r="L13" s="69">
        <f>'pg 3 Cap &amp; OpEx'!F30</f>
        <v>24273471</v>
      </c>
      <c r="N13" s="69">
        <f>H13*L13*0.5</f>
        <v>229384.30095</v>
      </c>
      <c r="P13" s="80">
        <f>H13*L13</f>
        <v>458768.60190000001</v>
      </c>
      <c r="R13" s="80">
        <f>L13+F13</f>
        <v>101285168</v>
      </c>
    </row>
    <row r="14" spans="1:18">
      <c r="A14" s="74">
        <v>2</v>
      </c>
      <c r="B14" s="67"/>
      <c r="C14" s="77" t="s">
        <v>73</v>
      </c>
      <c r="D14" s="74">
        <v>380</v>
      </c>
      <c r="F14" s="69">
        <f>'pg 8 2015 Bk Depr'!R14</f>
        <v>6538053</v>
      </c>
      <c r="H14" s="1">
        <v>3.7900000000000003E-2</v>
      </c>
      <c r="J14" s="69">
        <f>F14*H14</f>
        <v>247792.20870000002</v>
      </c>
      <c r="L14" s="69">
        <f>'pg 3 Cap &amp; OpEx'!F32</f>
        <v>1834000</v>
      </c>
      <c r="N14" s="69">
        <f>H14*L14*0.5</f>
        <v>34754.300000000003</v>
      </c>
      <c r="P14" s="80">
        <f>H14*L14</f>
        <v>69508.600000000006</v>
      </c>
      <c r="R14" s="80">
        <f>L14+F14</f>
        <v>8372053</v>
      </c>
    </row>
    <row r="15" spans="1:18">
      <c r="A15" s="74">
        <v>3</v>
      </c>
      <c r="B15" s="67"/>
      <c r="C15" s="77" t="s">
        <v>74</v>
      </c>
      <c r="D15" s="74">
        <v>380</v>
      </c>
      <c r="F15" s="69">
        <f>'pg 8 2015 Bk Depr'!R15</f>
        <v>63865089</v>
      </c>
      <c r="H15" s="1">
        <v>3.7900000000000003E-2</v>
      </c>
      <c r="J15" s="69">
        <f>F15*H15</f>
        <v>2420486.8731</v>
      </c>
      <c r="L15" s="69">
        <f>'pg 3 Cap &amp; OpEx'!F34</f>
        <v>24247299</v>
      </c>
      <c r="N15" s="69">
        <f>H15*L15*0.5</f>
        <v>459486.31605000002</v>
      </c>
      <c r="P15" s="80">
        <f>H15*L15</f>
        <v>918972.63210000005</v>
      </c>
      <c r="R15" s="80">
        <f>L15+F15</f>
        <v>88112388</v>
      </c>
    </row>
    <row r="16" spans="1:18">
      <c r="A16" s="74">
        <v>4</v>
      </c>
      <c r="B16" s="67"/>
      <c r="C16" s="67" t="s">
        <v>52</v>
      </c>
      <c r="F16" s="69">
        <f>'pg 8 2015 Bk Depr'!R16</f>
        <v>19780044</v>
      </c>
      <c r="H16" s="1">
        <v>3.7900000000000003E-2</v>
      </c>
      <c r="J16" s="69">
        <f>F16*H16</f>
        <v>749663.66760000004</v>
      </c>
      <c r="L16" s="69">
        <f>'pg 3 Cap &amp; OpEx'!F36</f>
        <v>6992846</v>
      </c>
      <c r="N16" s="69">
        <f>H16*L16*0.5</f>
        <v>132514.43170000002</v>
      </c>
      <c r="P16" s="80">
        <f>H16*L16</f>
        <v>265028.86340000003</v>
      </c>
      <c r="R16" s="80">
        <f>L16+F16</f>
        <v>26772890</v>
      </c>
    </row>
    <row r="17" spans="1:18">
      <c r="A17" s="74">
        <v>5</v>
      </c>
      <c r="B17" s="67"/>
      <c r="C17" s="67" t="s">
        <v>26</v>
      </c>
      <c r="F17" s="81">
        <f>SUM(F13:F16)</f>
        <v>167194883</v>
      </c>
      <c r="J17" s="81">
        <f>SUM(J13:J16)</f>
        <v>4873463.8227000004</v>
      </c>
      <c r="L17" s="81">
        <f>SUM(L13:L16)</f>
        <v>57347616</v>
      </c>
      <c r="N17" s="81">
        <f>SUM(N13:N16)</f>
        <v>856139.34869999997</v>
      </c>
      <c r="P17" s="81">
        <f>SUM(P13:P16)</f>
        <v>1712278.6973999999</v>
      </c>
      <c r="R17" s="81">
        <f>SUM(R13:R16)</f>
        <v>224542499</v>
      </c>
    </row>
    <row r="18" spans="1:18">
      <c r="B18" s="67"/>
    </row>
    <row r="19" spans="1:18">
      <c r="B19" s="79" t="s">
        <v>13</v>
      </c>
      <c r="C19" s="79"/>
    </row>
    <row r="20" spans="1:18">
      <c r="A20" s="74">
        <v>6</v>
      </c>
      <c r="B20" s="67"/>
      <c r="C20" s="67" t="s">
        <v>25</v>
      </c>
      <c r="D20" s="74">
        <v>376</v>
      </c>
      <c r="F20" s="69">
        <f>'pg 8 2015 Bk Depr'!R20</f>
        <v>-3818479.8770948341</v>
      </c>
      <c r="H20" s="1">
        <v>1.89E-2</v>
      </c>
      <c r="J20" s="69">
        <f>F20*H20</f>
        <v>-72169.269677092365</v>
      </c>
      <c r="L20" s="69">
        <f>'pg 3 Cap &amp; OpEx'!F31</f>
        <v>-1160606.48397266</v>
      </c>
      <c r="N20" s="69">
        <f>H20*L20*0.5</f>
        <v>-10967.731273541638</v>
      </c>
      <c r="P20" s="80">
        <f>H20*L20</f>
        <v>-21935.462547083276</v>
      </c>
      <c r="R20" s="80">
        <f>L20+F20</f>
        <v>-4979086.3610674944</v>
      </c>
    </row>
    <row r="21" spans="1:18">
      <c r="A21" s="74">
        <v>7</v>
      </c>
      <c r="B21" s="67"/>
      <c r="C21" s="77" t="s">
        <v>73</v>
      </c>
      <c r="D21" s="74">
        <v>380</v>
      </c>
      <c r="F21" s="69">
        <f>'pg 8 2015 Bk Depr'!R21</f>
        <v>-325423.93293629697</v>
      </c>
      <c r="H21" s="1">
        <v>3.7900000000000003E-2</v>
      </c>
      <c r="J21" s="69">
        <f>F21*H21</f>
        <v>-12333.567058285656</v>
      </c>
      <c r="L21" s="69">
        <f>'pg 3 Cap &amp; OpEx'!F33</f>
        <v>-87690.478696098595</v>
      </c>
      <c r="N21" s="69">
        <f>H21*L21*0.5</f>
        <v>-1661.7345712910685</v>
      </c>
      <c r="P21" s="80">
        <f>H21*L21</f>
        <v>-3323.469142582137</v>
      </c>
      <c r="R21" s="80">
        <f>L21+F21</f>
        <v>-413114.41163239558</v>
      </c>
    </row>
    <row r="22" spans="1:18">
      <c r="A22" s="74">
        <v>8</v>
      </c>
      <c r="B22" s="67"/>
      <c r="C22" s="77" t="s">
        <v>74</v>
      </c>
      <c r="D22" s="74">
        <v>380</v>
      </c>
      <c r="F22" s="69">
        <f>'pg 8 2015 Bk Depr'!R22</f>
        <v>-10126681.470000001</v>
      </c>
      <c r="H22" s="1">
        <v>3.7900000000000003E-2</v>
      </c>
      <c r="J22" s="69">
        <f>F22*H22</f>
        <v>-383801.22771300003</v>
      </c>
      <c r="L22" s="69">
        <f>'pg 3 Cap &amp; OpEx'!F35</f>
        <v>-3375560.49</v>
      </c>
      <c r="N22" s="69">
        <f>H22*L22*0.5</f>
        <v>-63966.871285500012</v>
      </c>
      <c r="P22" s="80">
        <f>H22*L22</f>
        <v>-127933.74257100002</v>
      </c>
      <c r="R22" s="80">
        <f>L22+F22</f>
        <v>-13502241.960000001</v>
      </c>
    </row>
    <row r="23" spans="1:18">
      <c r="A23" s="74">
        <v>9</v>
      </c>
      <c r="B23" s="67"/>
      <c r="C23" s="67" t="s">
        <v>27</v>
      </c>
      <c r="F23" s="81">
        <f>SUM(F20:F22)</f>
        <v>-14270585.280031132</v>
      </c>
      <c r="J23" s="81">
        <f>SUM(J20:J22)</f>
        <v>-468304.06444837805</v>
      </c>
      <c r="L23" s="81">
        <f>SUM(L20:L22)</f>
        <v>-4623857.452668759</v>
      </c>
      <c r="N23" s="81">
        <f>SUM(N20:N22)</f>
        <v>-76596.337130332715</v>
      </c>
      <c r="P23" s="81">
        <f>SUM(P20:P22)</f>
        <v>-153192.67426066543</v>
      </c>
      <c r="R23" s="81">
        <f>SUM(R20:R22)</f>
        <v>-18894442.73269989</v>
      </c>
    </row>
    <row r="24" spans="1:18">
      <c r="B24" s="67"/>
    </row>
    <row r="25" spans="1:18" ht="16.5" thickBot="1">
      <c r="A25" s="74">
        <v>10</v>
      </c>
      <c r="B25" s="82" t="s">
        <v>22</v>
      </c>
      <c r="C25" s="82"/>
      <c r="F25" s="83">
        <f>F17+F23</f>
        <v>152924297.71996886</v>
      </c>
      <c r="J25" s="83">
        <f>J17+J23</f>
        <v>4405159.7582516223</v>
      </c>
      <c r="L25" s="83">
        <f>L17+L23</f>
        <v>52723758.547331244</v>
      </c>
      <c r="N25" s="83">
        <f>N17+N23</f>
        <v>779543.01156966726</v>
      </c>
      <c r="P25" s="83">
        <f>P17+P23</f>
        <v>1559086.0231393345</v>
      </c>
      <c r="R25" s="83">
        <f>R17+R23</f>
        <v>205648056.2673001</v>
      </c>
    </row>
    <row r="26" spans="1:18" ht="16.5" thickTop="1">
      <c r="B26" s="67"/>
    </row>
    <row r="27" spans="1:18">
      <c r="B27" s="82" t="s">
        <v>23</v>
      </c>
      <c r="C27" s="82"/>
    </row>
    <row r="28" spans="1:18">
      <c r="A28" s="74">
        <v>11</v>
      </c>
      <c r="B28" s="67"/>
      <c r="C28" s="67" t="s">
        <v>25</v>
      </c>
      <c r="D28" s="74">
        <v>376</v>
      </c>
      <c r="F28" s="69">
        <f>'pg 8 2015 Bk Depr'!R28</f>
        <v>3694773</v>
      </c>
      <c r="L28" s="69">
        <f>'pg 3 Cap &amp; OpEx'!F95</f>
        <v>853529</v>
      </c>
      <c r="R28" s="80">
        <f>L28+F28</f>
        <v>4548302</v>
      </c>
    </row>
    <row r="29" spans="1:18">
      <c r="A29" s="74">
        <v>12</v>
      </c>
      <c r="B29" s="67"/>
      <c r="C29" s="77" t="s">
        <v>73</v>
      </c>
      <c r="D29" s="74">
        <v>380</v>
      </c>
      <c r="F29" s="69">
        <f>'pg 8 2015 Bk Depr'!R29</f>
        <v>1545158</v>
      </c>
      <c r="L29" s="69">
        <f>'pg 3 Cap &amp; OpEx'!F96</f>
        <v>430000</v>
      </c>
      <c r="R29" s="80">
        <f>L29+F29</f>
        <v>1975158</v>
      </c>
    </row>
    <row r="30" spans="1:18">
      <c r="A30" s="74">
        <v>12</v>
      </c>
      <c r="B30" s="67"/>
      <c r="C30" s="77" t="s">
        <v>74</v>
      </c>
      <c r="D30" s="74">
        <v>380</v>
      </c>
      <c r="F30" s="69">
        <f>'pg 8 2015 Bk Depr'!R30</f>
        <v>3361320</v>
      </c>
      <c r="L30" s="69">
        <f>'pg 3 Cap &amp; OpEx'!F97</f>
        <v>1276174</v>
      </c>
      <c r="R30" s="80">
        <f>L30+F30</f>
        <v>4637494</v>
      </c>
    </row>
    <row r="31" spans="1:18">
      <c r="A31" s="74">
        <v>14</v>
      </c>
      <c r="B31" s="67"/>
      <c r="C31" s="67" t="s">
        <v>28</v>
      </c>
      <c r="F31" s="81">
        <f>SUM(F28:F30)</f>
        <v>8601251</v>
      </c>
      <c r="J31" s="81">
        <f>SUM(J28:J30)</f>
        <v>0</v>
      </c>
      <c r="L31" s="81">
        <f>SUM(L28:L30)</f>
        <v>2559703</v>
      </c>
      <c r="N31" s="81">
        <f>SUM(N28:N30)</f>
        <v>0</v>
      </c>
      <c r="P31" s="81">
        <f>SUM(P28:P30)</f>
        <v>0</v>
      </c>
      <c r="R31" s="81">
        <f>SUM(R28:R30)</f>
        <v>11160954</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R1"/>
    </sheetView>
  </sheetViews>
  <sheetFormatPr defaultRowHeight="15.75"/>
  <cols>
    <col min="1" max="1" width="5.140625" style="74" customWidth="1"/>
    <col min="2" max="2" width="2.85546875" style="74" customWidth="1"/>
    <col min="3" max="3" width="23" style="67" customWidth="1"/>
    <col min="4" max="4" width="9.140625" style="74"/>
    <col min="5" max="5" width="1.28515625" style="74" customWidth="1"/>
    <col min="6" max="6" width="15.7109375" style="67" customWidth="1"/>
    <col min="7" max="7" width="1.28515625" style="74" customWidth="1"/>
    <col min="8" max="8" width="9.85546875" style="67" customWidth="1"/>
    <col min="9" max="9" width="1.28515625" style="74" customWidth="1"/>
    <col min="10" max="10" width="12.5703125" style="67" bestFit="1" customWidth="1"/>
    <col min="11" max="11" width="1.28515625" style="74" customWidth="1"/>
    <col min="12" max="12" width="14.85546875" style="67" bestFit="1" customWidth="1"/>
    <col min="13" max="13" width="1.28515625" style="74" customWidth="1"/>
    <col min="14" max="14" width="23" style="67" bestFit="1" customWidth="1"/>
    <col min="15" max="15" width="1.28515625" style="74" customWidth="1"/>
    <col min="16" max="16" width="16" style="67" bestFit="1" customWidth="1"/>
    <col min="17" max="17" width="1.28515625" style="74" customWidth="1"/>
    <col min="18" max="18" width="15.85546875" style="67" customWidth="1"/>
    <col min="19" max="16384" width="9.140625" style="67"/>
  </cols>
  <sheetData>
    <row r="1" spans="1:18" ht="18.75">
      <c r="A1" s="560" t="s">
        <v>84</v>
      </c>
      <c r="B1" s="560"/>
      <c r="C1" s="560"/>
      <c r="D1" s="560"/>
      <c r="E1" s="560"/>
      <c r="F1" s="560"/>
      <c r="G1" s="560"/>
      <c r="H1" s="560"/>
      <c r="I1" s="560"/>
      <c r="J1" s="560"/>
      <c r="K1" s="560"/>
      <c r="L1" s="560"/>
      <c r="M1" s="560"/>
      <c r="N1" s="560"/>
      <c r="O1" s="560"/>
      <c r="P1" s="560"/>
      <c r="Q1" s="560"/>
      <c r="R1" s="560"/>
    </row>
    <row r="2" spans="1:18" ht="18.75">
      <c r="A2" s="561" t="s">
        <v>142</v>
      </c>
      <c r="B2" s="561"/>
      <c r="C2" s="561"/>
      <c r="D2" s="561"/>
      <c r="E2" s="561"/>
      <c r="F2" s="561"/>
      <c r="G2" s="561"/>
      <c r="H2" s="561"/>
      <c r="I2" s="561"/>
      <c r="J2" s="561"/>
      <c r="K2" s="561"/>
      <c r="L2" s="561"/>
      <c r="M2" s="561"/>
      <c r="N2" s="561"/>
      <c r="O2" s="561"/>
      <c r="P2" s="561"/>
      <c r="Q2" s="561"/>
      <c r="R2" s="561"/>
    </row>
    <row r="3" spans="1:18" ht="18.75">
      <c r="A3" s="560" t="s">
        <v>137</v>
      </c>
      <c r="B3" s="561"/>
      <c r="C3" s="561"/>
      <c r="D3" s="561"/>
      <c r="E3" s="561"/>
      <c r="F3" s="561"/>
      <c r="G3" s="561"/>
      <c r="H3" s="561"/>
      <c r="I3" s="561"/>
      <c r="J3" s="561"/>
      <c r="K3" s="561"/>
      <c r="L3" s="561"/>
      <c r="M3" s="561"/>
      <c r="N3" s="561"/>
      <c r="O3" s="561"/>
      <c r="P3" s="561"/>
      <c r="Q3" s="561"/>
      <c r="R3" s="561"/>
    </row>
    <row r="4" spans="1:18">
      <c r="A4" s="562"/>
      <c r="B4" s="562"/>
      <c r="C4" s="562"/>
      <c r="D4" s="562"/>
      <c r="E4" s="562"/>
      <c r="F4" s="562"/>
      <c r="G4" s="562"/>
      <c r="H4" s="562"/>
      <c r="I4" s="562"/>
      <c r="J4" s="562"/>
      <c r="K4" s="562"/>
      <c r="L4" s="562"/>
      <c r="M4" s="562"/>
      <c r="N4" s="562"/>
      <c r="O4" s="562"/>
      <c r="P4" s="562"/>
      <c r="Q4" s="562"/>
      <c r="R4" s="562"/>
    </row>
    <row r="5" spans="1:18">
      <c r="A5" s="78"/>
      <c r="B5" s="70"/>
      <c r="C5" s="70"/>
      <c r="D5" s="70"/>
      <c r="E5" s="70"/>
      <c r="F5" s="70"/>
      <c r="G5" s="70"/>
      <c r="H5" s="70"/>
      <c r="I5" s="70"/>
      <c r="J5" s="70"/>
      <c r="K5" s="70"/>
      <c r="L5" s="70"/>
      <c r="M5" s="70"/>
      <c r="N5" s="70"/>
      <c r="O5" s="70"/>
      <c r="P5" s="70"/>
      <c r="Q5" s="70"/>
    </row>
    <row r="6" spans="1:18">
      <c r="C6" s="70"/>
      <c r="D6" s="70"/>
      <c r="E6" s="70"/>
      <c r="F6" s="70">
        <v>2017</v>
      </c>
      <c r="G6" s="70"/>
      <c r="H6" s="70"/>
      <c r="I6" s="70"/>
      <c r="J6" s="70"/>
      <c r="K6" s="70"/>
      <c r="L6" s="70">
        <v>2017</v>
      </c>
      <c r="M6" s="70"/>
      <c r="N6" s="70"/>
      <c r="O6" s="70"/>
      <c r="P6" s="70"/>
      <c r="Q6" s="70"/>
      <c r="R6" s="70">
        <v>2017</v>
      </c>
    </row>
    <row r="7" spans="1:18">
      <c r="C7" s="70"/>
      <c r="D7" s="70"/>
      <c r="E7" s="70"/>
      <c r="F7" s="70" t="s">
        <v>9</v>
      </c>
      <c r="G7" s="70"/>
      <c r="H7" s="70"/>
      <c r="I7" s="70"/>
      <c r="J7" s="70" t="s">
        <v>12</v>
      </c>
      <c r="K7" s="70"/>
      <c r="L7" s="70" t="s">
        <v>24</v>
      </c>
      <c r="M7" s="70"/>
      <c r="N7" s="70" t="s">
        <v>14</v>
      </c>
      <c r="O7" s="70"/>
      <c r="P7" s="70" t="s">
        <v>14</v>
      </c>
      <c r="Q7" s="70"/>
      <c r="R7" s="70" t="s">
        <v>17</v>
      </c>
    </row>
    <row r="8" spans="1:18">
      <c r="A8" s="70" t="s">
        <v>5</v>
      </c>
      <c r="B8" s="70"/>
      <c r="C8" s="70"/>
      <c r="D8" s="70" t="s">
        <v>8</v>
      </c>
      <c r="E8" s="70"/>
      <c r="F8" s="70" t="s">
        <v>2</v>
      </c>
      <c r="G8" s="70"/>
      <c r="H8" s="70" t="s">
        <v>11</v>
      </c>
      <c r="I8" s="70"/>
      <c r="J8" s="70" t="s">
        <v>9</v>
      </c>
      <c r="K8" s="70"/>
      <c r="L8" s="70" t="s">
        <v>72</v>
      </c>
      <c r="M8" s="70"/>
      <c r="N8" s="70" t="s">
        <v>12</v>
      </c>
      <c r="O8" s="70"/>
      <c r="P8" s="70" t="s">
        <v>16</v>
      </c>
      <c r="Q8" s="70"/>
      <c r="R8" s="70" t="s">
        <v>2</v>
      </c>
    </row>
    <row r="9" spans="1:18">
      <c r="A9" s="75" t="s">
        <v>6</v>
      </c>
      <c r="B9" s="75"/>
      <c r="C9" s="75" t="s">
        <v>7</v>
      </c>
      <c r="D9" s="75" t="s">
        <v>6</v>
      </c>
      <c r="E9" s="75"/>
      <c r="F9" s="75" t="s">
        <v>10</v>
      </c>
      <c r="G9" s="75"/>
      <c r="H9" s="75" t="s">
        <v>3</v>
      </c>
      <c r="I9" s="75"/>
      <c r="J9" s="75" t="s">
        <v>10</v>
      </c>
      <c r="K9" s="75"/>
      <c r="L9" s="75" t="s">
        <v>13</v>
      </c>
      <c r="M9" s="75"/>
      <c r="N9" s="75" t="s">
        <v>15</v>
      </c>
      <c r="O9" s="75"/>
      <c r="P9" s="75" t="s">
        <v>1</v>
      </c>
      <c r="Q9" s="75"/>
      <c r="R9" s="75" t="s">
        <v>10</v>
      </c>
    </row>
    <row r="10" spans="1:18" s="73" customFormat="1">
      <c r="A10" s="70"/>
      <c r="B10" s="70"/>
      <c r="C10" s="76">
        <v>-1</v>
      </c>
      <c r="D10" s="76">
        <v>-2</v>
      </c>
      <c r="E10" s="76"/>
      <c r="F10" s="76">
        <v>-3</v>
      </c>
      <c r="G10" s="76"/>
      <c r="H10" s="76">
        <v>-4</v>
      </c>
      <c r="I10" s="76"/>
      <c r="J10" s="76" t="s">
        <v>18</v>
      </c>
      <c r="K10" s="76"/>
      <c r="L10" s="76">
        <v>-6</v>
      </c>
      <c r="M10" s="76"/>
      <c r="N10" s="76" t="s">
        <v>19</v>
      </c>
      <c r="O10" s="76"/>
      <c r="P10" s="76" t="s">
        <v>20</v>
      </c>
      <c r="Q10" s="76"/>
      <c r="R10" s="76" t="s">
        <v>21</v>
      </c>
    </row>
    <row r="12" spans="1:18">
      <c r="B12" s="79" t="s">
        <v>24</v>
      </c>
      <c r="C12" s="79"/>
    </row>
    <row r="13" spans="1:18">
      <c r="A13" s="74">
        <v>1</v>
      </c>
      <c r="B13" s="67"/>
      <c r="C13" s="67" t="s">
        <v>25</v>
      </c>
      <c r="D13" s="74">
        <v>376</v>
      </c>
      <c r="F13" s="69">
        <f>'pg 9 2016 Bk Depr'!R13</f>
        <v>101285168</v>
      </c>
      <c r="H13" s="1">
        <v>1.89E-2</v>
      </c>
      <c r="J13" s="69">
        <f>F13*H13</f>
        <v>1914289.6751999999</v>
      </c>
      <c r="L13" s="69">
        <f>'pg 3 Cap &amp; OpEx'!G30</f>
        <v>0</v>
      </c>
      <c r="N13" s="69">
        <f>H13*L13*0.5</f>
        <v>0</v>
      </c>
      <c r="P13" s="80">
        <f>H13*L13</f>
        <v>0</v>
      </c>
      <c r="R13" s="80">
        <f>L13+F13</f>
        <v>101285168</v>
      </c>
    </row>
    <row r="14" spans="1:18">
      <c r="A14" s="74">
        <v>2</v>
      </c>
      <c r="B14" s="67"/>
      <c r="C14" s="77" t="s">
        <v>73</v>
      </c>
      <c r="D14" s="74">
        <v>380</v>
      </c>
      <c r="F14" s="69">
        <f>'pg 9 2016 Bk Depr'!R14</f>
        <v>8372053</v>
      </c>
      <c r="H14" s="1">
        <v>3.7900000000000003E-2</v>
      </c>
      <c r="J14" s="69">
        <f>F14*H14</f>
        <v>317300.80870000005</v>
      </c>
      <c r="L14" s="69">
        <f>'pg 3 Cap &amp; OpEx'!G32</f>
        <v>0</v>
      </c>
      <c r="N14" s="69">
        <f>H14*L14*0.5</f>
        <v>0</v>
      </c>
      <c r="P14" s="80">
        <f>H14*L14</f>
        <v>0</v>
      </c>
      <c r="R14" s="80">
        <f>L14+F14</f>
        <v>8372053</v>
      </c>
    </row>
    <row r="15" spans="1:18">
      <c r="A15" s="74">
        <v>3</v>
      </c>
      <c r="B15" s="67"/>
      <c r="C15" s="77" t="s">
        <v>74</v>
      </c>
      <c r="D15" s="74">
        <v>380</v>
      </c>
      <c r="F15" s="69">
        <f>'pg 9 2016 Bk Depr'!R15</f>
        <v>88112388</v>
      </c>
      <c r="H15" s="1">
        <v>3.7900000000000003E-2</v>
      </c>
      <c r="J15" s="69">
        <f>F15*H15</f>
        <v>3339459.5052000005</v>
      </c>
      <c r="L15" s="69">
        <f>'pg 3 Cap &amp; OpEx'!G34</f>
        <v>24724972</v>
      </c>
      <c r="N15" s="69">
        <f>H15*L15*0.5</f>
        <v>468538.21940000006</v>
      </c>
      <c r="P15" s="80">
        <f>H15*L15</f>
        <v>937076.43880000012</v>
      </c>
      <c r="R15" s="80">
        <f>L15+F15</f>
        <v>112837360</v>
      </c>
    </row>
    <row r="16" spans="1:18">
      <c r="A16" s="74">
        <v>4</v>
      </c>
      <c r="B16" s="67"/>
      <c r="C16" s="67" t="s">
        <v>52</v>
      </c>
      <c r="F16" s="69">
        <f>'pg 9 2016 Bk Depr'!R16</f>
        <v>26772890</v>
      </c>
      <c r="H16" s="1">
        <v>3.7900000000000003E-2</v>
      </c>
      <c r="J16" s="69">
        <f>F16*H16</f>
        <v>1014692.5310000001</v>
      </c>
      <c r="L16" s="69">
        <f>'pg 3 Cap &amp; OpEx'!G36</f>
        <v>7202632</v>
      </c>
      <c r="N16" s="69">
        <f>H16*L16*0.5</f>
        <v>136489.87640000001</v>
      </c>
      <c r="P16" s="80">
        <f>H16*L16</f>
        <v>272979.75280000002</v>
      </c>
      <c r="R16" s="80">
        <f>L16+F16</f>
        <v>33975522</v>
      </c>
    </row>
    <row r="17" spans="1:18">
      <c r="A17" s="74">
        <v>5</v>
      </c>
      <c r="B17" s="67"/>
      <c r="C17" s="67" t="s">
        <v>26</v>
      </c>
      <c r="F17" s="81">
        <f>SUM(F13:F16)</f>
        <v>224542499</v>
      </c>
      <c r="J17" s="81">
        <f>SUM(J13:J16)</f>
        <v>6585742.5201000003</v>
      </c>
      <c r="L17" s="81">
        <f>SUM(L13:L16)</f>
        <v>31927604</v>
      </c>
      <c r="N17" s="81">
        <f>SUM(N13:N16)</f>
        <v>605028.09580000001</v>
      </c>
      <c r="P17" s="81">
        <f>SUM(P13:P16)</f>
        <v>1210056.1916</v>
      </c>
      <c r="R17" s="81">
        <f>SUM(R13:R16)</f>
        <v>256470103</v>
      </c>
    </row>
    <row r="18" spans="1:18">
      <c r="B18" s="67"/>
    </row>
    <row r="19" spans="1:18">
      <c r="B19" s="79" t="s">
        <v>13</v>
      </c>
      <c r="C19" s="79"/>
    </row>
    <row r="20" spans="1:18">
      <c r="A20" s="74">
        <v>6</v>
      </c>
      <c r="B20" s="67"/>
      <c r="C20" s="67" t="s">
        <v>25</v>
      </c>
      <c r="D20" s="74">
        <v>376</v>
      </c>
      <c r="F20" s="69">
        <f>'pg 9 2016 Bk Depr'!R20</f>
        <v>-4979086.3610674944</v>
      </c>
      <c r="H20" s="1">
        <v>1.89E-2</v>
      </c>
      <c r="J20" s="69">
        <f>F20*H20</f>
        <v>-94104.732224175648</v>
      </c>
      <c r="L20" s="69">
        <f>'pg 3 Cap &amp; OpEx'!G31</f>
        <v>0</v>
      </c>
      <c r="N20" s="69">
        <f>H20*L20*0.5</f>
        <v>0</v>
      </c>
      <c r="P20" s="80">
        <f>H20*L20</f>
        <v>0</v>
      </c>
      <c r="R20" s="80">
        <f>L20+F20</f>
        <v>-4979086.3610674944</v>
      </c>
    </row>
    <row r="21" spans="1:18">
      <c r="A21" s="74">
        <v>7</v>
      </c>
      <c r="B21" s="67"/>
      <c r="C21" s="77" t="s">
        <v>73</v>
      </c>
      <c r="D21" s="74">
        <v>380</v>
      </c>
      <c r="F21" s="69">
        <f>'pg 9 2016 Bk Depr'!R21</f>
        <v>-413114.41163239558</v>
      </c>
      <c r="H21" s="1">
        <v>3.7900000000000003E-2</v>
      </c>
      <c r="J21" s="69">
        <f>F21*H21</f>
        <v>-15657.036200867793</v>
      </c>
      <c r="L21" s="69">
        <f>'pg 3 Cap &amp; OpEx'!G33</f>
        <v>0</v>
      </c>
      <c r="N21" s="69">
        <f>H21*L21*0.5</f>
        <v>0</v>
      </c>
      <c r="P21" s="80">
        <f>H21*L21</f>
        <v>0</v>
      </c>
      <c r="R21" s="80">
        <f>L21+F21</f>
        <v>-413114.41163239558</v>
      </c>
    </row>
    <row r="22" spans="1:18">
      <c r="A22" s="74">
        <v>8</v>
      </c>
      <c r="B22" s="67"/>
      <c r="C22" s="77" t="s">
        <v>74</v>
      </c>
      <c r="D22" s="74">
        <v>380</v>
      </c>
      <c r="F22" s="69">
        <f>'pg 9 2016 Bk Depr'!R22</f>
        <v>-13502241.960000001</v>
      </c>
      <c r="H22" s="1">
        <v>3.7900000000000003E-2</v>
      </c>
      <c r="J22" s="69">
        <f>F22*H22</f>
        <v>-511734.9702840001</v>
      </c>
      <c r="L22" s="69">
        <f>'pg 3 Cap &amp; OpEx'!G35</f>
        <v>-3375560.49</v>
      </c>
      <c r="N22" s="69">
        <f>H22*L22*0.5</f>
        <v>-63966.871285500012</v>
      </c>
      <c r="P22" s="80">
        <f>H22*L22</f>
        <v>-127933.74257100002</v>
      </c>
      <c r="R22" s="80">
        <f>L22+F22</f>
        <v>-16877802.450000003</v>
      </c>
    </row>
    <row r="23" spans="1:18">
      <c r="A23" s="74">
        <v>9</v>
      </c>
      <c r="B23" s="67"/>
      <c r="C23" s="67" t="s">
        <v>27</v>
      </c>
      <c r="F23" s="81">
        <f>SUM(F20:F22)</f>
        <v>-18894442.73269989</v>
      </c>
      <c r="J23" s="81">
        <f>SUM(J20:J22)</f>
        <v>-621496.73870904348</v>
      </c>
      <c r="L23" s="81">
        <f>SUM(L20:L22)</f>
        <v>-3375560.49</v>
      </c>
      <c r="N23" s="81">
        <f>SUM(N20:N22)</f>
        <v>-63966.871285500012</v>
      </c>
      <c r="P23" s="81">
        <f>SUM(P20:P22)</f>
        <v>-127933.74257100002</v>
      </c>
      <c r="R23" s="81">
        <f>SUM(R20:R22)</f>
        <v>-22270003.222699892</v>
      </c>
    </row>
    <row r="24" spans="1:18">
      <c r="B24" s="67"/>
    </row>
    <row r="25" spans="1:18" ht="16.5" thickBot="1">
      <c r="A25" s="74">
        <v>10</v>
      </c>
      <c r="B25" s="82" t="s">
        <v>22</v>
      </c>
      <c r="C25" s="82"/>
      <c r="F25" s="83">
        <f>F17+F23</f>
        <v>205648056.2673001</v>
      </c>
      <c r="J25" s="83">
        <f>J17+J23</f>
        <v>5964245.7813909566</v>
      </c>
      <c r="L25" s="83">
        <f>L17+L23</f>
        <v>28552043.509999998</v>
      </c>
      <c r="N25" s="83">
        <f>N17+N23</f>
        <v>541061.22451450001</v>
      </c>
      <c r="P25" s="83">
        <f>P17+P23</f>
        <v>1082122.449029</v>
      </c>
      <c r="R25" s="83">
        <f>R17+R23</f>
        <v>234200099.77730012</v>
      </c>
    </row>
    <row r="26" spans="1:18" ht="16.5" thickTop="1">
      <c r="B26" s="67"/>
    </row>
    <row r="27" spans="1:18">
      <c r="B27" s="82" t="s">
        <v>23</v>
      </c>
      <c r="C27" s="82"/>
    </row>
    <row r="28" spans="1:18">
      <c r="A28" s="74">
        <v>11</v>
      </c>
      <c r="B28" s="67"/>
      <c r="C28" s="67" t="s">
        <v>25</v>
      </c>
      <c r="D28" s="74">
        <v>376</v>
      </c>
      <c r="F28" s="69">
        <f>'pg 9 2016 Bk Depr'!R28</f>
        <v>4548302</v>
      </c>
      <c r="L28" s="69">
        <f>'pg 3 Cap &amp; OpEx'!G95</f>
        <v>0</v>
      </c>
      <c r="R28" s="80">
        <f>L28+F28</f>
        <v>4548302</v>
      </c>
    </row>
    <row r="29" spans="1:18">
      <c r="A29" s="74">
        <v>12</v>
      </c>
      <c r="B29" s="67"/>
      <c r="C29" s="77" t="s">
        <v>73</v>
      </c>
      <c r="D29" s="74">
        <v>380</v>
      </c>
      <c r="F29" s="69">
        <f>'pg 9 2016 Bk Depr'!R29</f>
        <v>1975158</v>
      </c>
      <c r="L29" s="69">
        <f>'pg 3 Cap &amp; OpEx'!G96</f>
        <v>0</v>
      </c>
      <c r="R29" s="80">
        <f>L29+F29</f>
        <v>1975158</v>
      </c>
    </row>
    <row r="30" spans="1:18">
      <c r="A30" s="74">
        <v>12</v>
      </c>
      <c r="B30" s="67"/>
      <c r="C30" s="77" t="s">
        <v>74</v>
      </c>
      <c r="D30" s="74">
        <v>380</v>
      </c>
      <c r="F30" s="69">
        <f>'pg 9 2016 Bk Depr'!R30</f>
        <v>4637494</v>
      </c>
      <c r="L30" s="69">
        <f>'pg 3 Cap &amp; OpEx'!G97</f>
        <v>1301314</v>
      </c>
      <c r="R30" s="80">
        <f>L30+F30</f>
        <v>5938808</v>
      </c>
    </row>
    <row r="31" spans="1:18">
      <c r="A31" s="74">
        <v>14</v>
      </c>
      <c r="B31" s="67"/>
      <c r="C31" s="67" t="s">
        <v>28</v>
      </c>
      <c r="F31" s="81">
        <f>SUM(F28:F30)</f>
        <v>11160954</v>
      </c>
      <c r="J31" s="81">
        <f>SUM(J28:J30)</f>
        <v>0</v>
      </c>
      <c r="L31" s="81">
        <f>SUM(L28:L30)</f>
        <v>1301314</v>
      </c>
      <c r="N31" s="81">
        <f>SUM(N28:N30)</f>
        <v>0</v>
      </c>
      <c r="P31" s="81">
        <f>SUM(P28:P30)</f>
        <v>0</v>
      </c>
      <c r="R31" s="81">
        <f>SUM(R28:R30)</f>
        <v>12462268</v>
      </c>
    </row>
  </sheetData>
  <mergeCells count="4">
    <mergeCell ref="A1:R1"/>
    <mergeCell ref="A2:R2"/>
    <mergeCell ref="A4:R4"/>
    <mergeCell ref="A3:R3"/>
  </mergeCells>
  <printOptions horizontalCentered="1"/>
  <pageMargins left="0.5" right="0.62187499999999996" top="1" bottom="0.75" header="0.3" footer="0.3"/>
  <pageSetup scale="82" orientation="landscape" r:id="rId1"/>
  <headerFooter>
    <oddFooter>&amp;R&amp;"Times New Roman,Bold"&amp;14Bellar Exhibit 2
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4"/>
  <sheetViews>
    <sheetView workbookViewId="0">
      <selection sqref="A1:AD1"/>
    </sheetView>
  </sheetViews>
  <sheetFormatPr defaultRowHeight="12.75"/>
  <cols>
    <col min="1" max="1" width="5.140625" style="165" customWidth="1"/>
    <col min="2" max="2" width="2.85546875" style="165" customWidth="1"/>
    <col min="3" max="3" width="11.7109375" style="165" bestFit="1" customWidth="1"/>
    <col min="4" max="4" width="11.7109375" style="165" hidden="1" customWidth="1"/>
    <col min="5" max="5" width="1.28515625" style="165" customWidth="1"/>
    <col min="6" max="6" width="6.140625" style="165" bestFit="1" customWidth="1"/>
    <col min="7" max="7" width="1.28515625" style="165" customWidth="1"/>
    <col min="8" max="8" width="13.7109375" style="165" bestFit="1" customWidth="1"/>
    <col min="9" max="9" width="1.28515625" style="165" customWidth="1"/>
    <col min="10" max="10" width="13.7109375" style="165" bestFit="1" customWidth="1"/>
    <col min="11" max="11" width="1.28515625" style="165" customWidth="1"/>
    <col min="12" max="12" width="13.7109375" style="165" bestFit="1" customWidth="1"/>
    <col min="13" max="13" width="1.28515625" style="165" customWidth="1"/>
    <col min="14" max="14" width="13.7109375" style="165" bestFit="1" customWidth="1"/>
    <col min="15" max="15" width="1.28515625" style="165" customWidth="1"/>
    <col min="16" max="16" width="13.7109375" style="165" bestFit="1" customWidth="1"/>
    <col min="17" max="17" width="1.28515625" style="165" customWidth="1"/>
    <col min="18" max="18" width="13.7109375" style="165" bestFit="1" customWidth="1"/>
    <col min="19" max="19" width="1.28515625" style="165" customWidth="1"/>
    <col min="20" max="20" width="15" style="165" bestFit="1" customWidth="1"/>
    <col min="21" max="21" width="1.28515625" style="165" customWidth="1"/>
    <col min="22" max="22" width="13.7109375" style="165" bestFit="1" customWidth="1"/>
    <col min="23" max="23" width="1.28515625" style="165" customWidth="1"/>
    <col min="24" max="24" width="14.42578125" style="165" bestFit="1" customWidth="1"/>
    <col min="25" max="25" width="1.28515625" style="165" customWidth="1"/>
    <col min="26" max="26" width="13.7109375" style="165" bestFit="1" customWidth="1"/>
    <col min="27" max="27" width="1.28515625" style="165" customWidth="1"/>
    <col min="28" max="28" width="12.42578125" style="165" bestFit="1" customWidth="1"/>
    <col min="29" max="29" width="1.28515625" style="165" customWidth="1"/>
    <col min="30" max="30" width="14.85546875" style="165" customWidth="1"/>
    <col min="31" max="32" width="9.140625" style="165"/>
    <col min="33" max="33" width="11.85546875" style="165" customWidth="1"/>
    <col min="34" max="34" width="13.28515625" style="165" customWidth="1"/>
    <col min="35" max="36" width="13.5703125" style="165" customWidth="1"/>
    <col min="37" max="16384" width="9.140625" style="165"/>
  </cols>
  <sheetData>
    <row r="1" spans="1:36" ht="18.75">
      <c r="A1" s="560" t="s">
        <v>84</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row>
    <row r="2" spans="1:36" ht="18.75">
      <c r="A2" s="560" t="s">
        <v>142</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row>
    <row r="3" spans="1:36" ht="18.75">
      <c r="A3" s="560" t="s">
        <v>138</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row>
    <row r="4" spans="1:36">
      <c r="A4" s="166"/>
    </row>
    <row r="6" spans="1:36" ht="13.5" thickBot="1">
      <c r="A6" s="167"/>
      <c r="B6" s="167"/>
      <c r="C6" s="167" t="s">
        <v>29</v>
      </c>
      <c r="D6" s="167" t="s">
        <v>29</v>
      </c>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row>
    <row r="7" spans="1:36" ht="30.75" thickBot="1">
      <c r="A7" s="167"/>
      <c r="B7" s="167"/>
      <c r="C7" s="167" t="s">
        <v>30</v>
      </c>
      <c r="D7" s="167" t="s">
        <v>30</v>
      </c>
      <c r="E7" s="167"/>
      <c r="F7" s="167"/>
      <c r="G7" s="167"/>
      <c r="H7" s="167">
        <v>2012</v>
      </c>
      <c r="I7" s="167"/>
      <c r="J7" s="167">
        <v>2013</v>
      </c>
      <c r="K7" s="167"/>
      <c r="L7" s="167">
        <v>2014</v>
      </c>
      <c r="M7" s="167"/>
      <c r="N7" s="167">
        <v>2015</v>
      </c>
      <c r="O7" s="167"/>
      <c r="P7" s="167">
        <v>2016</v>
      </c>
      <c r="Q7" s="167"/>
      <c r="R7" s="167">
        <v>2017</v>
      </c>
      <c r="S7" s="167"/>
      <c r="T7" s="167" t="s">
        <v>40</v>
      </c>
      <c r="U7" s="167"/>
      <c r="V7" s="167" t="s">
        <v>42</v>
      </c>
      <c r="W7" s="167"/>
      <c r="X7" s="167"/>
      <c r="Y7" s="167"/>
      <c r="Z7" s="167"/>
      <c r="AA7" s="167"/>
      <c r="AB7" s="167" t="s">
        <v>47</v>
      </c>
      <c r="AC7" s="167"/>
      <c r="AD7" s="167" t="s">
        <v>49</v>
      </c>
      <c r="AG7" s="186" t="s">
        <v>32</v>
      </c>
      <c r="AH7" s="187" t="s">
        <v>160</v>
      </c>
      <c r="AI7" s="41" t="s">
        <v>161</v>
      </c>
      <c r="AJ7" s="41" t="s">
        <v>162</v>
      </c>
    </row>
    <row r="8" spans="1:36">
      <c r="A8" s="167" t="s">
        <v>5</v>
      </c>
      <c r="B8" s="167"/>
      <c r="C8" s="167" t="s">
        <v>31</v>
      </c>
      <c r="D8" s="167" t="s">
        <v>31</v>
      </c>
      <c r="E8" s="167"/>
      <c r="F8" s="167"/>
      <c r="G8" s="167"/>
      <c r="H8" s="167" t="s">
        <v>33</v>
      </c>
      <c r="I8" s="167"/>
      <c r="J8" s="167" t="s">
        <v>34</v>
      </c>
      <c r="K8" s="167"/>
      <c r="L8" s="167" t="s">
        <v>35</v>
      </c>
      <c r="M8" s="167"/>
      <c r="N8" s="167" t="s">
        <v>36</v>
      </c>
      <c r="O8" s="167"/>
      <c r="P8" s="167" t="s">
        <v>37</v>
      </c>
      <c r="Q8" s="167"/>
      <c r="R8" s="167" t="s">
        <v>38</v>
      </c>
      <c r="S8" s="167"/>
      <c r="T8" s="167" t="s">
        <v>41</v>
      </c>
      <c r="U8" s="167"/>
      <c r="V8" s="167" t="s">
        <v>43</v>
      </c>
      <c r="W8" s="167"/>
      <c r="X8" s="167" t="s">
        <v>45</v>
      </c>
      <c r="Y8" s="167"/>
      <c r="Z8" s="167"/>
      <c r="AA8" s="167"/>
      <c r="AB8" s="167" t="s">
        <v>41</v>
      </c>
      <c r="AC8" s="167"/>
      <c r="AD8" s="167" t="s">
        <v>47</v>
      </c>
      <c r="AG8" s="183">
        <v>2012</v>
      </c>
      <c r="AH8" s="47">
        <f>2850080</f>
        <v>2850080</v>
      </c>
      <c r="AI8" s="47">
        <v>1333688</v>
      </c>
      <c r="AJ8" s="47">
        <f t="shared" ref="AJ8:AJ13" si="0">SUM(AH8:AI8)</f>
        <v>4183768</v>
      </c>
    </row>
    <row r="9" spans="1:36">
      <c r="A9" s="168" t="s">
        <v>6</v>
      </c>
      <c r="B9" s="168"/>
      <c r="C9" s="168" t="s">
        <v>3</v>
      </c>
      <c r="D9" s="168" t="s">
        <v>3</v>
      </c>
      <c r="E9" s="168"/>
      <c r="F9" s="168" t="s">
        <v>32</v>
      </c>
      <c r="G9" s="168"/>
      <c r="H9" s="168" t="s">
        <v>24</v>
      </c>
      <c r="I9" s="168"/>
      <c r="J9" s="168" t="s">
        <v>24</v>
      </c>
      <c r="K9" s="168"/>
      <c r="L9" s="168" t="s">
        <v>24</v>
      </c>
      <c r="M9" s="168"/>
      <c r="N9" s="168" t="s">
        <v>24</v>
      </c>
      <c r="O9" s="168"/>
      <c r="P9" s="168" t="s">
        <v>24</v>
      </c>
      <c r="Q9" s="168"/>
      <c r="R9" s="168" t="s">
        <v>24</v>
      </c>
      <c r="S9" s="168"/>
      <c r="T9" s="168" t="s">
        <v>1</v>
      </c>
      <c r="U9" s="168"/>
      <c r="V9" s="168" t="s">
        <v>44</v>
      </c>
      <c r="W9" s="168"/>
      <c r="X9" s="168" t="s">
        <v>1</v>
      </c>
      <c r="Y9" s="168"/>
      <c r="Z9" s="168" t="s">
        <v>46</v>
      </c>
      <c r="AA9" s="168"/>
      <c r="AB9" s="168" t="s">
        <v>48</v>
      </c>
      <c r="AC9" s="168"/>
      <c r="AD9" s="168" t="s">
        <v>50</v>
      </c>
      <c r="AG9" s="184">
        <v>2013</v>
      </c>
      <c r="AH9" s="18">
        <f>4201224</f>
        <v>4201224</v>
      </c>
      <c r="AI9" s="18">
        <v>1680450</v>
      </c>
      <c r="AJ9" s="47">
        <f t="shared" si="0"/>
        <v>5881674</v>
      </c>
    </row>
    <row r="10" spans="1:36">
      <c r="C10" s="169"/>
      <c r="D10" s="169" t="s">
        <v>110</v>
      </c>
      <c r="E10" s="170"/>
      <c r="F10" s="170"/>
      <c r="G10" s="170"/>
      <c r="H10" s="170"/>
      <c r="I10" s="170"/>
      <c r="J10" s="170"/>
      <c r="K10" s="170"/>
      <c r="L10" s="170"/>
      <c r="M10" s="170"/>
      <c r="N10" s="170"/>
      <c r="O10" s="170"/>
      <c r="P10" s="170"/>
      <c r="Q10" s="170"/>
      <c r="R10" s="170"/>
      <c r="S10" s="170"/>
      <c r="U10" s="170"/>
      <c r="W10" s="170"/>
      <c r="Y10" s="170"/>
      <c r="AA10" s="170"/>
      <c r="AC10" s="170"/>
      <c r="AG10" s="184">
        <v>2014</v>
      </c>
      <c r="AH10" s="18" t="e">
        <f>SUM(#REF!)</f>
        <v>#REF!</v>
      </c>
      <c r="AI10" s="18" t="e">
        <f>SUM(#REF!,#REF!)</f>
        <v>#REF!</v>
      </c>
      <c r="AJ10" s="47" t="e">
        <f t="shared" si="0"/>
        <v>#REF!</v>
      </c>
    </row>
    <row r="11" spans="1:36">
      <c r="A11" s="165">
        <v>1</v>
      </c>
      <c r="C11" s="169" t="s">
        <v>109</v>
      </c>
      <c r="D11" s="171"/>
      <c r="H11" s="172">
        <f>'pg 5 2012 Bk Depr'!L17-H12</f>
        <v>9994129</v>
      </c>
      <c r="J11" s="172">
        <f>'pg 6 2013 Bk Depr'!L17-J12</f>
        <v>39083452</v>
      </c>
      <c r="K11" s="172"/>
      <c r="L11" s="172" t="e">
        <f>#REF!-L12</f>
        <v>#REF!</v>
      </c>
      <c r="M11" s="172"/>
      <c r="N11" s="172">
        <f>'pg 8 2015 Bk Depr'!L17-N12</f>
        <v>48604377</v>
      </c>
      <c r="O11" s="172"/>
      <c r="P11" s="172">
        <f>'pg 9 2016 Bk Depr'!L17-P12</f>
        <v>55513616</v>
      </c>
      <c r="Q11" s="172"/>
      <c r="R11" s="172">
        <f>'pg 10 2017 Bk Depr'!L17-R12</f>
        <v>31927604</v>
      </c>
      <c r="AG11" s="184">
        <v>2015</v>
      </c>
      <c r="AH11" s="18">
        <f>4980000</f>
        <v>4980000</v>
      </c>
      <c r="AI11" s="18">
        <v>1785000</v>
      </c>
      <c r="AJ11" s="47">
        <f t="shared" si="0"/>
        <v>6765000</v>
      </c>
    </row>
    <row r="12" spans="1:36">
      <c r="A12" s="165">
        <v>2</v>
      </c>
      <c r="C12" s="169" t="s">
        <v>130</v>
      </c>
      <c r="D12" s="171"/>
      <c r="H12" s="172">
        <f>$AJ8</f>
        <v>4183768</v>
      </c>
      <c r="J12" s="172">
        <f>$AJ9</f>
        <v>5881674</v>
      </c>
      <c r="K12" s="172"/>
      <c r="L12" s="172" t="e">
        <f>SUM(#REF!,#REF!)</f>
        <v>#REF!</v>
      </c>
      <c r="M12" s="172"/>
      <c r="N12" s="172">
        <f>$AJ11</f>
        <v>6765000</v>
      </c>
      <c r="O12" s="172"/>
      <c r="P12" s="172">
        <f>$AJ12</f>
        <v>1834000</v>
      </c>
      <c r="Q12" s="172"/>
      <c r="R12" s="172">
        <f>$AJ13</f>
        <v>0</v>
      </c>
      <c r="AG12" s="184">
        <v>2016</v>
      </c>
      <c r="AH12" s="185"/>
      <c r="AI12" s="18">
        <v>1834000</v>
      </c>
      <c r="AJ12" s="47">
        <f t="shared" si="0"/>
        <v>1834000</v>
      </c>
    </row>
    <row r="13" spans="1:36">
      <c r="H13" s="172"/>
      <c r="AG13" s="184">
        <v>2017</v>
      </c>
      <c r="AH13" s="185"/>
      <c r="AI13" s="18">
        <v>0</v>
      </c>
      <c r="AJ13" s="47">
        <f t="shared" si="0"/>
        <v>0</v>
      </c>
    </row>
    <row r="14" spans="1:36">
      <c r="H14" s="568" t="s">
        <v>51</v>
      </c>
      <c r="I14" s="568"/>
      <c r="J14" s="568"/>
      <c r="K14" s="568"/>
      <c r="L14" s="568"/>
      <c r="M14" s="568"/>
      <c r="N14" s="568"/>
      <c r="O14" s="568"/>
      <c r="P14" s="568"/>
      <c r="Q14" s="568"/>
      <c r="R14" s="568"/>
      <c r="S14" s="568"/>
      <c r="T14" s="568"/>
      <c r="U14" s="568"/>
      <c r="V14" s="568"/>
    </row>
    <row r="16" spans="1:36">
      <c r="A16" s="165">
        <v>3</v>
      </c>
      <c r="C16" s="173">
        <v>3.7499999999999999E-2</v>
      </c>
      <c r="D16" s="173">
        <v>0.05</v>
      </c>
      <c r="F16" s="165">
        <v>1</v>
      </c>
      <c r="H16" s="172">
        <f>H$11*$C16+H12</f>
        <v>4558547.8375000004</v>
      </c>
      <c r="T16" s="172">
        <f t="shared" ref="T16:T42" si="1">SUM(H16:S16)</f>
        <v>4558547.8375000004</v>
      </c>
      <c r="V16" s="172">
        <f>'pg 5 2012 Bk Depr'!L$31</f>
        <v>681891</v>
      </c>
      <c r="X16" s="172">
        <f>'pg 5 2012 Bk Depr'!N25</f>
        <v>138832.18080137961</v>
      </c>
      <c r="Z16" s="172">
        <f>IF(X16=0,0,T16+V16-X16)</f>
        <v>5101606.6566986209</v>
      </c>
      <c r="AB16" s="172">
        <f>IF(Z16=0,0,Z16*0.389)</f>
        <v>1984524.9894557635</v>
      </c>
      <c r="AD16" s="172">
        <f>IF(AB16=0,0,AD15+AB16)</f>
        <v>1984524.9894557635</v>
      </c>
    </row>
    <row r="17" spans="1:30">
      <c r="A17" s="165">
        <v>4</v>
      </c>
      <c r="C17" s="173">
        <v>7.2190000000000004E-2</v>
      </c>
      <c r="D17" s="173">
        <v>9.5000000000000001E-2</v>
      </c>
      <c r="F17" s="165">
        <v>2</v>
      </c>
      <c r="H17" s="172">
        <f t="shared" ref="H17:H36" si="2">H$11*$C17</f>
        <v>721476.17251000006</v>
      </c>
      <c r="J17" s="172">
        <f>J$11*$C16+J12</f>
        <v>7347303.4500000002</v>
      </c>
      <c r="T17" s="172">
        <f t="shared" si="1"/>
        <v>8068779.6225100001</v>
      </c>
      <c r="V17" s="172" t="e">
        <f>#REF!</f>
        <v>#REF!</v>
      </c>
      <c r="X17" s="172" t="e">
        <f>#REF!</f>
        <v>#REF!</v>
      </c>
      <c r="Z17" s="172" t="e">
        <f t="shared" ref="Z17:Z72" si="3">IF(X17=0,"",T17+V17-X17)</f>
        <v>#REF!</v>
      </c>
      <c r="AB17" s="172" t="e">
        <f t="shared" ref="AB17:AB72" si="4">IF(Z17="","",Z17*0.389)</f>
        <v>#REF!</v>
      </c>
      <c r="AD17" s="172" t="e">
        <f t="shared" ref="AD17:AD72" si="5">IF(AB17="","",AD16+AB17)</f>
        <v>#REF!</v>
      </c>
    </row>
    <row r="18" spans="1:30">
      <c r="A18" s="165">
        <v>5</v>
      </c>
      <c r="C18" s="173">
        <v>6.6769999999999996E-2</v>
      </c>
      <c r="D18" s="173">
        <v>8.5500000000000007E-2</v>
      </c>
      <c r="F18" s="165">
        <v>3</v>
      </c>
      <c r="H18" s="172">
        <f t="shared" si="2"/>
        <v>667307.99332999997</v>
      </c>
      <c r="J18" s="172">
        <f t="shared" ref="J18:J37" si="6">J$11*$C17</f>
        <v>2821434.3998800004</v>
      </c>
      <c r="L18" s="172" t="e">
        <f>L$11*$C16+L12</f>
        <v>#REF!</v>
      </c>
      <c r="T18" s="172" t="e">
        <f t="shared" si="1"/>
        <v>#REF!</v>
      </c>
      <c r="V18" s="172" t="e">
        <f>#REF!</f>
        <v>#REF!</v>
      </c>
      <c r="X18" s="172" t="e">
        <f>#REF!</f>
        <v>#REF!</v>
      </c>
      <c r="Z18" s="172" t="e">
        <f t="shared" si="3"/>
        <v>#REF!</v>
      </c>
      <c r="AB18" s="172" t="e">
        <f t="shared" si="4"/>
        <v>#REF!</v>
      </c>
      <c r="AD18" s="172" t="e">
        <f t="shared" si="5"/>
        <v>#REF!</v>
      </c>
    </row>
    <row r="19" spans="1:30">
      <c r="A19" s="165">
        <v>6</v>
      </c>
      <c r="C19" s="173">
        <v>6.1769999999999999E-2</v>
      </c>
      <c r="D19" s="173">
        <v>7.6999999999999999E-2</v>
      </c>
      <c r="F19" s="165">
        <v>4</v>
      </c>
      <c r="H19" s="172">
        <f t="shared" si="2"/>
        <v>617337.34832999995</v>
      </c>
      <c r="J19" s="172">
        <f t="shared" si="6"/>
        <v>2609602.0900399997</v>
      </c>
      <c r="L19" s="172" t="e">
        <f t="shared" ref="L19:L38" si="7">L$11*$C17</f>
        <v>#REF!</v>
      </c>
      <c r="N19" s="172">
        <f>N$11*$C16+N12</f>
        <v>8587664.1374999993</v>
      </c>
      <c r="T19" s="172" t="e">
        <f t="shared" si="1"/>
        <v>#REF!</v>
      </c>
      <c r="V19" s="172">
        <f>'pg 8 2015 Bk Depr'!L$31</f>
        <v>2334642</v>
      </c>
      <c r="X19" s="172">
        <f>'pg 8 2015 Bk Depr'!J25+'pg 8 2015 Bk Depr'!N25</f>
        <v>3650904.0939779524</v>
      </c>
      <c r="Z19" s="172" t="e">
        <f t="shared" si="3"/>
        <v>#REF!</v>
      </c>
      <c r="AB19" s="172" t="e">
        <f t="shared" si="4"/>
        <v>#REF!</v>
      </c>
      <c r="AD19" s="172" t="e">
        <f t="shared" si="5"/>
        <v>#REF!</v>
      </c>
    </row>
    <row r="20" spans="1:30">
      <c r="A20" s="165">
        <v>7</v>
      </c>
      <c r="C20" s="173">
        <v>5.713E-2</v>
      </c>
      <c r="D20" s="173">
        <v>6.93E-2</v>
      </c>
      <c r="F20" s="165">
        <v>5</v>
      </c>
      <c r="H20" s="172">
        <f t="shared" si="2"/>
        <v>570964.58976999996</v>
      </c>
      <c r="J20" s="172">
        <f t="shared" si="6"/>
        <v>2414184.8300399999</v>
      </c>
      <c r="L20" s="172" t="e">
        <f t="shared" si="7"/>
        <v>#REF!</v>
      </c>
      <c r="N20" s="172">
        <f t="shared" ref="N20:N39" si="8">N$11*$C17</f>
        <v>3508749.9756300002</v>
      </c>
      <c r="P20" s="172">
        <f>P$11*$C16+P12</f>
        <v>3915760.5999999996</v>
      </c>
      <c r="T20" s="172" t="e">
        <f t="shared" si="1"/>
        <v>#REF!</v>
      </c>
      <c r="V20" s="172">
        <f>'pg 9 2016 Bk Depr'!L$31</f>
        <v>2559703</v>
      </c>
      <c r="X20" s="172">
        <f>'pg 9 2016 Bk Depr'!J25+'pg 9 2016 Bk Depr'!N25</f>
        <v>5184702.7698212899</v>
      </c>
      <c r="Z20" s="172" t="e">
        <f t="shared" si="3"/>
        <v>#REF!</v>
      </c>
      <c r="AB20" s="172" t="e">
        <f t="shared" si="4"/>
        <v>#REF!</v>
      </c>
      <c r="AD20" s="172" t="e">
        <f t="shared" si="5"/>
        <v>#REF!</v>
      </c>
    </row>
    <row r="21" spans="1:30">
      <c r="A21" s="165">
        <v>8</v>
      </c>
      <c r="C21" s="173">
        <v>5.2850000000000001E-2</v>
      </c>
      <c r="D21" s="173">
        <v>6.2300000000000001E-2</v>
      </c>
      <c r="F21" s="165">
        <v>6</v>
      </c>
      <c r="H21" s="172">
        <f t="shared" si="2"/>
        <v>528189.71765000001</v>
      </c>
      <c r="J21" s="172">
        <f t="shared" si="6"/>
        <v>2232837.6127599999</v>
      </c>
      <c r="L21" s="172" t="e">
        <f t="shared" si="7"/>
        <v>#REF!</v>
      </c>
      <c r="N21" s="172">
        <f t="shared" si="8"/>
        <v>3245314.2522899997</v>
      </c>
      <c r="P21" s="172">
        <f t="shared" ref="P21:P40" si="9">P$11*$C17</f>
        <v>4007527.9390400001</v>
      </c>
      <c r="R21" s="172">
        <f>R$11*$C16+R12</f>
        <v>1197285.1499999999</v>
      </c>
      <c r="T21" s="172" t="e">
        <f t="shared" si="1"/>
        <v>#REF!</v>
      </c>
      <c r="V21" s="172">
        <f>'pg 10 2017 Bk Depr'!L$31</f>
        <v>1301314</v>
      </c>
      <c r="X21" s="172">
        <f>'pg 10 2017 Bk Depr'!J25+'pg 10 2017 Bk Depr'!N25</f>
        <v>6505307.0059054568</v>
      </c>
      <c r="Z21" s="172" t="e">
        <f t="shared" si="3"/>
        <v>#REF!</v>
      </c>
      <c r="AB21" s="172" t="e">
        <f t="shared" si="4"/>
        <v>#REF!</v>
      </c>
      <c r="AD21" s="172" t="e">
        <f t="shared" si="5"/>
        <v>#REF!</v>
      </c>
    </row>
    <row r="22" spans="1:30">
      <c r="A22" s="165">
        <v>9</v>
      </c>
      <c r="C22" s="173">
        <v>4.888E-2</v>
      </c>
      <c r="D22" s="173">
        <v>5.8999999999999997E-2</v>
      </c>
      <c r="F22" s="165">
        <v>7</v>
      </c>
      <c r="H22" s="172">
        <f t="shared" si="2"/>
        <v>488513.02552000002</v>
      </c>
      <c r="J22" s="172">
        <f t="shared" si="6"/>
        <v>2065560.4382</v>
      </c>
      <c r="L22" s="172" t="e">
        <f t="shared" si="7"/>
        <v>#REF!</v>
      </c>
      <c r="N22" s="172">
        <f t="shared" si="8"/>
        <v>3002292.36729</v>
      </c>
      <c r="P22" s="172">
        <f t="shared" si="9"/>
        <v>3706644.1403199998</v>
      </c>
      <c r="R22" s="172">
        <f t="shared" ref="R22:R41" si="10">R$11*$C17</f>
        <v>2304853.73276</v>
      </c>
      <c r="T22" s="172" t="e">
        <f t="shared" si="1"/>
        <v>#REF!</v>
      </c>
      <c r="V22" s="172"/>
      <c r="X22" s="172"/>
      <c r="Z22" s="172" t="str">
        <f>IF(X22=0,"",T22+V22-X22)</f>
        <v/>
      </c>
      <c r="AB22" s="172" t="str">
        <f>IF(Z22="","",Z22*0.389)</f>
        <v/>
      </c>
      <c r="AD22" s="172" t="str">
        <f>IF(AB22="","",AD21+AB22)</f>
        <v/>
      </c>
    </row>
    <row r="23" spans="1:30">
      <c r="A23" s="165">
        <v>10</v>
      </c>
      <c r="C23" s="173">
        <v>4.5220000000000003E-2</v>
      </c>
      <c r="D23" s="173">
        <v>5.8999999999999997E-2</v>
      </c>
      <c r="F23" s="165">
        <v>8</v>
      </c>
      <c r="H23" s="172">
        <f t="shared" si="2"/>
        <v>451934.51338000002</v>
      </c>
      <c r="J23" s="172">
        <f t="shared" si="6"/>
        <v>1910399.1337599999</v>
      </c>
      <c r="L23" s="172" t="e">
        <f t="shared" si="7"/>
        <v>#REF!</v>
      </c>
      <c r="N23" s="172">
        <f t="shared" si="8"/>
        <v>2776768.0580099998</v>
      </c>
      <c r="P23" s="172">
        <f t="shared" si="9"/>
        <v>3429076.0603199997</v>
      </c>
      <c r="R23" s="172">
        <f t="shared" si="10"/>
        <v>2131806.1190800001</v>
      </c>
      <c r="T23" s="172" t="e">
        <f t="shared" si="1"/>
        <v>#REF!</v>
      </c>
      <c r="V23" s="172"/>
      <c r="X23" s="172"/>
      <c r="Z23" s="172" t="str">
        <f t="shared" si="3"/>
        <v/>
      </c>
      <c r="AB23" s="172" t="str">
        <f t="shared" si="4"/>
        <v/>
      </c>
      <c r="AD23" s="172" t="str">
        <f t="shared" si="5"/>
        <v/>
      </c>
    </row>
    <row r="24" spans="1:30">
      <c r="A24" s="165">
        <v>11</v>
      </c>
      <c r="C24" s="173">
        <v>4.462E-2</v>
      </c>
      <c r="D24" s="173">
        <v>5.91E-2</v>
      </c>
      <c r="F24" s="165">
        <v>9</v>
      </c>
      <c r="H24" s="172">
        <f t="shared" si="2"/>
        <v>445938.03597999999</v>
      </c>
      <c r="J24" s="172">
        <f t="shared" si="6"/>
        <v>1767353.6994400001</v>
      </c>
      <c r="L24" s="172" t="e">
        <f t="shared" si="7"/>
        <v>#REF!</v>
      </c>
      <c r="N24" s="172">
        <f t="shared" si="8"/>
        <v>2568741.3244500002</v>
      </c>
      <c r="P24" s="172">
        <f t="shared" si="9"/>
        <v>3171492.8820799999</v>
      </c>
      <c r="R24" s="172">
        <f t="shared" si="10"/>
        <v>1972168.0990799998</v>
      </c>
      <c r="T24" s="172" t="e">
        <f t="shared" si="1"/>
        <v>#REF!</v>
      </c>
      <c r="V24" s="172"/>
      <c r="X24" s="172"/>
      <c r="Z24" s="172" t="str">
        <f t="shared" si="3"/>
        <v/>
      </c>
      <c r="AB24" s="172" t="str">
        <f t="shared" si="4"/>
        <v/>
      </c>
      <c r="AD24" s="172" t="str">
        <f t="shared" si="5"/>
        <v/>
      </c>
    </row>
    <row r="25" spans="1:30">
      <c r="A25" s="165">
        <v>12</v>
      </c>
      <c r="C25" s="173">
        <v>4.4609999999999997E-2</v>
      </c>
      <c r="D25" s="173">
        <v>5.8999999999999997E-2</v>
      </c>
      <c r="F25" s="165">
        <v>10</v>
      </c>
      <c r="H25" s="172">
        <f t="shared" si="2"/>
        <v>445838.09468999994</v>
      </c>
      <c r="J25" s="172">
        <f t="shared" si="6"/>
        <v>1743903.62824</v>
      </c>
      <c r="L25" s="172" t="e">
        <f t="shared" si="7"/>
        <v>#REF!</v>
      </c>
      <c r="N25" s="172">
        <f t="shared" si="8"/>
        <v>2375781.9477599999</v>
      </c>
      <c r="P25" s="172">
        <f t="shared" si="9"/>
        <v>2933894.6055999999</v>
      </c>
      <c r="R25" s="172">
        <f t="shared" si="10"/>
        <v>1824024.0165200001</v>
      </c>
      <c r="T25" s="172" t="e">
        <f t="shared" si="1"/>
        <v>#REF!</v>
      </c>
      <c r="V25" s="172"/>
      <c r="X25" s="172"/>
      <c r="Z25" s="172" t="str">
        <f t="shared" si="3"/>
        <v/>
      </c>
      <c r="AB25" s="172" t="str">
        <f t="shared" si="4"/>
        <v/>
      </c>
      <c r="AD25" s="172" t="str">
        <f t="shared" si="5"/>
        <v/>
      </c>
    </row>
    <row r="26" spans="1:30">
      <c r="A26" s="165">
        <v>13</v>
      </c>
      <c r="C26" s="173">
        <v>4.462E-2</v>
      </c>
      <c r="D26" s="173">
        <v>5.91E-2</v>
      </c>
      <c r="F26" s="165">
        <v>11</v>
      </c>
      <c r="H26" s="172">
        <f t="shared" si="2"/>
        <v>445938.03597999999</v>
      </c>
      <c r="J26" s="172">
        <f t="shared" si="6"/>
        <v>1743512.79372</v>
      </c>
      <c r="L26" s="172" t="e">
        <f t="shared" si="7"/>
        <v>#REF!</v>
      </c>
      <c r="N26" s="172">
        <f t="shared" si="8"/>
        <v>2197889.9279400003</v>
      </c>
      <c r="P26" s="172">
        <f t="shared" si="9"/>
        <v>2713505.55008</v>
      </c>
      <c r="R26" s="172">
        <f t="shared" si="10"/>
        <v>1687373.8714000001</v>
      </c>
      <c r="T26" s="172" t="e">
        <f t="shared" si="1"/>
        <v>#REF!</v>
      </c>
      <c r="V26" s="172"/>
      <c r="X26" s="172"/>
      <c r="Z26" s="172" t="str">
        <f t="shared" si="3"/>
        <v/>
      </c>
      <c r="AB26" s="172" t="str">
        <f t="shared" si="4"/>
        <v/>
      </c>
      <c r="AD26" s="172" t="str">
        <f t="shared" si="5"/>
        <v/>
      </c>
    </row>
    <row r="27" spans="1:30">
      <c r="A27" s="165">
        <v>14</v>
      </c>
      <c r="C27" s="173">
        <v>4.4609999999999997E-2</v>
      </c>
      <c r="D27" s="173">
        <v>5.8999999999999997E-2</v>
      </c>
      <c r="F27" s="165">
        <v>12</v>
      </c>
      <c r="H27" s="172">
        <f t="shared" si="2"/>
        <v>445838.09468999994</v>
      </c>
      <c r="J27" s="172">
        <f t="shared" si="6"/>
        <v>1743903.62824</v>
      </c>
      <c r="L27" s="172" t="e">
        <f t="shared" si="7"/>
        <v>#REF!</v>
      </c>
      <c r="N27" s="172">
        <f t="shared" si="8"/>
        <v>2168727.30174</v>
      </c>
      <c r="P27" s="172">
        <f t="shared" si="9"/>
        <v>2510325.7155200001</v>
      </c>
      <c r="R27" s="172">
        <f t="shared" si="10"/>
        <v>1560621.2835200001</v>
      </c>
      <c r="T27" s="172" t="e">
        <f t="shared" si="1"/>
        <v>#REF!</v>
      </c>
      <c r="V27" s="172"/>
      <c r="X27" s="172"/>
      <c r="Z27" s="172" t="str">
        <f t="shared" si="3"/>
        <v/>
      </c>
      <c r="AB27" s="172" t="str">
        <f t="shared" si="4"/>
        <v/>
      </c>
      <c r="AD27" s="172" t="str">
        <f t="shared" si="5"/>
        <v/>
      </c>
    </row>
    <row r="28" spans="1:30">
      <c r="A28" s="165">
        <v>15</v>
      </c>
      <c r="C28" s="173">
        <v>4.462E-2</v>
      </c>
      <c r="D28" s="173">
        <v>5.91E-2</v>
      </c>
      <c r="F28" s="165">
        <v>13</v>
      </c>
      <c r="H28" s="172">
        <f t="shared" si="2"/>
        <v>445938.03597999999</v>
      </c>
      <c r="J28" s="172">
        <f t="shared" si="6"/>
        <v>1743512.79372</v>
      </c>
      <c r="L28" s="172" t="e">
        <f t="shared" si="7"/>
        <v>#REF!</v>
      </c>
      <c r="N28" s="172">
        <f t="shared" si="8"/>
        <v>2168241.2579699997</v>
      </c>
      <c r="P28" s="172">
        <f t="shared" si="9"/>
        <v>2477017.5459199999</v>
      </c>
      <c r="R28" s="172">
        <f t="shared" si="10"/>
        <v>1443766.25288</v>
      </c>
      <c r="T28" s="172" t="e">
        <f t="shared" si="1"/>
        <v>#REF!</v>
      </c>
      <c r="V28" s="172"/>
      <c r="X28" s="172"/>
      <c r="Z28" s="172" t="str">
        <f t="shared" si="3"/>
        <v/>
      </c>
      <c r="AB28" s="172" t="str">
        <f t="shared" si="4"/>
        <v/>
      </c>
      <c r="AD28" s="172" t="str">
        <f t="shared" si="5"/>
        <v/>
      </c>
    </row>
    <row r="29" spans="1:30">
      <c r="A29" s="165">
        <v>16</v>
      </c>
      <c r="C29" s="173">
        <v>4.4609999999999997E-2</v>
      </c>
      <c r="D29" s="173">
        <v>5.8999999999999997E-2</v>
      </c>
      <c r="F29" s="165">
        <v>14</v>
      </c>
      <c r="H29" s="172">
        <f t="shared" si="2"/>
        <v>445838.09468999994</v>
      </c>
      <c r="J29" s="172">
        <f t="shared" si="6"/>
        <v>1743903.62824</v>
      </c>
      <c r="L29" s="172" t="e">
        <f t="shared" si="7"/>
        <v>#REF!</v>
      </c>
      <c r="N29" s="172">
        <f t="shared" si="8"/>
        <v>2168727.30174</v>
      </c>
      <c r="P29" s="172">
        <f t="shared" si="9"/>
        <v>2476462.4097599997</v>
      </c>
      <c r="R29" s="172">
        <f t="shared" si="10"/>
        <v>1424609.6904800001</v>
      </c>
      <c r="T29" s="172" t="e">
        <f t="shared" si="1"/>
        <v>#REF!</v>
      </c>
      <c r="V29" s="172"/>
      <c r="X29" s="172"/>
      <c r="Z29" s="172" t="str">
        <f t="shared" si="3"/>
        <v/>
      </c>
      <c r="AB29" s="172" t="str">
        <f t="shared" si="4"/>
        <v/>
      </c>
      <c r="AD29" s="172" t="str">
        <f t="shared" si="5"/>
        <v/>
      </c>
    </row>
    <row r="30" spans="1:30">
      <c r="A30" s="165">
        <v>17</v>
      </c>
      <c r="C30" s="173">
        <v>4.462E-2</v>
      </c>
      <c r="D30" s="173">
        <v>5.91E-2</v>
      </c>
      <c r="F30" s="165">
        <v>15</v>
      </c>
      <c r="H30" s="172">
        <f t="shared" si="2"/>
        <v>445938.03597999999</v>
      </c>
      <c r="J30" s="172">
        <f t="shared" si="6"/>
        <v>1743512.79372</v>
      </c>
      <c r="L30" s="172" t="e">
        <f t="shared" si="7"/>
        <v>#REF!</v>
      </c>
      <c r="N30" s="172">
        <f t="shared" si="8"/>
        <v>2168241.2579699997</v>
      </c>
      <c r="P30" s="172">
        <f t="shared" si="9"/>
        <v>2477017.5459199999</v>
      </c>
      <c r="R30" s="172">
        <f t="shared" si="10"/>
        <v>1424290.41444</v>
      </c>
      <c r="T30" s="172" t="e">
        <f t="shared" si="1"/>
        <v>#REF!</v>
      </c>
      <c r="V30" s="172"/>
      <c r="X30" s="172"/>
      <c r="Z30" s="172" t="str">
        <f t="shared" si="3"/>
        <v/>
      </c>
      <c r="AB30" s="172" t="str">
        <f t="shared" si="4"/>
        <v/>
      </c>
      <c r="AD30" s="172" t="str">
        <f t="shared" si="5"/>
        <v/>
      </c>
    </row>
    <row r="31" spans="1:30">
      <c r="A31" s="165">
        <v>18</v>
      </c>
      <c r="C31" s="173">
        <v>4.4609999999999997E-2</v>
      </c>
      <c r="D31" s="173">
        <v>2.9499999999999998E-2</v>
      </c>
      <c r="F31" s="165">
        <v>16</v>
      </c>
      <c r="H31" s="172">
        <f t="shared" si="2"/>
        <v>445838.09468999994</v>
      </c>
      <c r="J31" s="172">
        <f t="shared" si="6"/>
        <v>1743903.62824</v>
      </c>
      <c r="L31" s="172" t="e">
        <f t="shared" si="7"/>
        <v>#REF!</v>
      </c>
      <c r="N31" s="172">
        <f t="shared" si="8"/>
        <v>2168727.30174</v>
      </c>
      <c r="P31" s="172">
        <f t="shared" si="9"/>
        <v>2476462.4097599997</v>
      </c>
      <c r="R31" s="172">
        <f t="shared" si="10"/>
        <v>1424609.6904800001</v>
      </c>
      <c r="T31" s="172" t="e">
        <f t="shared" si="1"/>
        <v>#REF!</v>
      </c>
      <c r="V31" s="172"/>
      <c r="X31" s="172"/>
      <c r="Z31" s="172" t="str">
        <f t="shared" si="3"/>
        <v/>
      </c>
      <c r="AB31" s="172" t="str">
        <f t="shared" si="4"/>
        <v/>
      </c>
      <c r="AD31" s="172" t="str">
        <f t="shared" si="5"/>
        <v/>
      </c>
    </row>
    <row r="32" spans="1:30">
      <c r="A32" s="165">
        <v>19</v>
      </c>
      <c r="C32" s="173">
        <v>4.462E-2</v>
      </c>
      <c r="D32" s="173">
        <v>0</v>
      </c>
      <c r="F32" s="165">
        <v>17</v>
      </c>
      <c r="H32" s="172">
        <f t="shared" si="2"/>
        <v>445938.03597999999</v>
      </c>
      <c r="J32" s="172">
        <f t="shared" si="6"/>
        <v>1743512.79372</v>
      </c>
      <c r="L32" s="172" t="e">
        <f t="shared" si="7"/>
        <v>#REF!</v>
      </c>
      <c r="N32" s="172">
        <f t="shared" si="8"/>
        <v>2168241.2579699997</v>
      </c>
      <c r="P32" s="172">
        <f t="shared" si="9"/>
        <v>2477017.5459199999</v>
      </c>
      <c r="R32" s="172">
        <f t="shared" si="10"/>
        <v>1424290.41444</v>
      </c>
      <c r="T32" s="172" t="e">
        <f t="shared" si="1"/>
        <v>#REF!</v>
      </c>
      <c r="V32" s="172"/>
      <c r="X32" s="172"/>
      <c r="Z32" s="172" t="str">
        <f t="shared" si="3"/>
        <v/>
      </c>
      <c r="AB32" s="172" t="str">
        <f t="shared" si="4"/>
        <v/>
      </c>
      <c r="AD32" s="172" t="str">
        <f t="shared" si="5"/>
        <v/>
      </c>
    </row>
    <row r="33" spans="1:30">
      <c r="A33" s="165">
        <v>20</v>
      </c>
      <c r="C33" s="173">
        <v>4.4609999999999997E-2</v>
      </c>
      <c r="D33" s="173">
        <v>0</v>
      </c>
      <c r="F33" s="165">
        <v>18</v>
      </c>
      <c r="H33" s="172">
        <f t="shared" si="2"/>
        <v>445838.09468999994</v>
      </c>
      <c r="J33" s="172">
        <f t="shared" si="6"/>
        <v>1743903.62824</v>
      </c>
      <c r="L33" s="172" t="e">
        <f t="shared" si="7"/>
        <v>#REF!</v>
      </c>
      <c r="N33" s="172">
        <f t="shared" si="8"/>
        <v>2168727.30174</v>
      </c>
      <c r="P33" s="172">
        <f t="shared" si="9"/>
        <v>2476462.4097599997</v>
      </c>
      <c r="R33" s="172">
        <f t="shared" si="10"/>
        <v>1424609.6904800001</v>
      </c>
      <c r="T33" s="172" t="e">
        <f t="shared" si="1"/>
        <v>#REF!</v>
      </c>
      <c r="V33" s="172"/>
      <c r="X33" s="172"/>
      <c r="Z33" s="172" t="str">
        <f t="shared" si="3"/>
        <v/>
      </c>
      <c r="AB33" s="172" t="str">
        <f t="shared" si="4"/>
        <v/>
      </c>
      <c r="AD33" s="172" t="str">
        <f t="shared" si="5"/>
        <v/>
      </c>
    </row>
    <row r="34" spans="1:30">
      <c r="A34" s="165">
        <v>21</v>
      </c>
      <c r="C34" s="173">
        <v>4.462E-2</v>
      </c>
      <c r="D34" s="173">
        <v>0</v>
      </c>
      <c r="F34" s="165">
        <v>19</v>
      </c>
      <c r="H34" s="172">
        <f t="shared" si="2"/>
        <v>445938.03597999999</v>
      </c>
      <c r="J34" s="172">
        <f t="shared" si="6"/>
        <v>1743512.79372</v>
      </c>
      <c r="L34" s="172" t="e">
        <f t="shared" si="7"/>
        <v>#REF!</v>
      </c>
      <c r="N34" s="172">
        <f t="shared" si="8"/>
        <v>2168241.2579699997</v>
      </c>
      <c r="P34" s="172">
        <f t="shared" si="9"/>
        <v>2477017.5459199999</v>
      </c>
      <c r="R34" s="172">
        <f t="shared" si="10"/>
        <v>1424290.41444</v>
      </c>
      <c r="T34" s="172" t="e">
        <f t="shared" si="1"/>
        <v>#REF!</v>
      </c>
      <c r="V34" s="172"/>
      <c r="X34" s="172"/>
      <c r="Z34" s="172" t="str">
        <f t="shared" si="3"/>
        <v/>
      </c>
      <c r="AB34" s="172" t="str">
        <f t="shared" si="4"/>
        <v/>
      </c>
      <c r="AD34" s="172" t="str">
        <f t="shared" si="5"/>
        <v/>
      </c>
    </row>
    <row r="35" spans="1:30">
      <c r="A35" s="165">
        <v>22</v>
      </c>
      <c r="C35" s="173">
        <v>4.4609999999999997E-2</v>
      </c>
      <c r="D35" s="173">
        <v>0</v>
      </c>
      <c r="F35" s="165">
        <v>20</v>
      </c>
      <c r="H35" s="172">
        <f t="shared" si="2"/>
        <v>445838.09468999994</v>
      </c>
      <c r="J35" s="172">
        <f t="shared" si="6"/>
        <v>1743903.62824</v>
      </c>
      <c r="L35" s="172" t="e">
        <f t="shared" si="7"/>
        <v>#REF!</v>
      </c>
      <c r="N35" s="172">
        <f t="shared" si="8"/>
        <v>2168727.30174</v>
      </c>
      <c r="P35" s="172">
        <f t="shared" si="9"/>
        <v>2476462.4097599997</v>
      </c>
      <c r="R35" s="172">
        <f t="shared" si="10"/>
        <v>1424609.6904800001</v>
      </c>
      <c r="T35" s="172" t="e">
        <f t="shared" si="1"/>
        <v>#REF!</v>
      </c>
      <c r="V35" s="172"/>
      <c r="X35" s="172"/>
      <c r="Z35" s="172" t="str">
        <f t="shared" si="3"/>
        <v/>
      </c>
      <c r="AB35" s="172" t="str">
        <f t="shared" si="4"/>
        <v/>
      </c>
      <c r="AD35" s="172" t="str">
        <f t="shared" si="5"/>
        <v/>
      </c>
    </row>
    <row r="36" spans="1:30">
      <c r="A36" s="165">
        <v>23</v>
      </c>
      <c r="C36" s="173">
        <v>2.231E-2</v>
      </c>
      <c r="D36" s="173">
        <v>0</v>
      </c>
      <c r="F36" s="165">
        <v>21</v>
      </c>
      <c r="H36" s="172">
        <f t="shared" si="2"/>
        <v>222969.01798999999</v>
      </c>
      <c r="J36" s="172">
        <f t="shared" si="6"/>
        <v>1743512.79372</v>
      </c>
      <c r="L36" s="172" t="e">
        <f t="shared" si="7"/>
        <v>#REF!</v>
      </c>
      <c r="N36" s="172">
        <f t="shared" si="8"/>
        <v>2168241.2579699997</v>
      </c>
      <c r="P36" s="172">
        <f t="shared" si="9"/>
        <v>2477017.5459199999</v>
      </c>
      <c r="R36" s="172">
        <f t="shared" si="10"/>
        <v>1424290.41444</v>
      </c>
      <c r="T36" s="172" t="e">
        <f t="shared" si="1"/>
        <v>#REF!</v>
      </c>
      <c r="V36" s="172"/>
      <c r="X36" s="172"/>
      <c r="Z36" s="172" t="str">
        <f t="shared" si="3"/>
        <v/>
      </c>
      <c r="AB36" s="172" t="str">
        <f t="shared" si="4"/>
        <v/>
      </c>
      <c r="AD36" s="172" t="str">
        <f t="shared" si="5"/>
        <v/>
      </c>
    </row>
    <row r="37" spans="1:30">
      <c r="A37" s="165">
        <v>24</v>
      </c>
      <c r="C37" s="173">
        <v>0</v>
      </c>
      <c r="D37" s="173">
        <v>0</v>
      </c>
      <c r="F37" s="165">
        <v>22</v>
      </c>
      <c r="J37" s="172">
        <f t="shared" si="6"/>
        <v>871951.81412</v>
      </c>
      <c r="L37" s="172" t="e">
        <f t="shared" si="7"/>
        <v>#REF!</v>
      </c>
      <c r="N37" s="172">
        <f t="shared" si="8"/>
        <v>2168727.30174</v>
      </c>
      <c r="P37" s="172">
        <f t="shared" si="9"/>
        <v>2476462.4097599997</v>
      </c>
      <c r="R37" s="172">
        <f t="shared" si="10"/>
        <v>1424609.6904800001</v>
      </c>
      <c r="T37" s="172" t="e">
        <f t="shared" si="1"/>
        <v>#REF!</v>
      </c>
      <c r="V37" s="172"/>
      <c r="X37" s="172"/>
      <c r="Z37" s="172" t="str">
        <f t="shared" si="3"/>
        <v/>
      </c>
      <c r="AB37" s="172" t="str">
        <f t="shared" si="4"/>
        <v/>
      </c>
      <c r="AD37" s="172" t="str">
        <f t="shared" si="5"/>
        <v/>
      </c>
    </row>
    <row r="38" spans="1:30">
      <c r="A38" s="165">
        <v>25</v>
      </c>
      <c r="C38" s="173">
        <v>0</v>
      </c>
      <c r="F38" s="165">
        <v>23</v>
      </c>
      <c r="L38" s="172" t="e">
        <f t="shared" si="7"/>
        <v>#REF!</v>
      </c>
      <c r="N38" s="172">
        <f t="shared" si="8"/>
        <v>2168241.2579699997</v>
      </c>
      <c r="P38" s="172">
        <f t="shared" si="9"/>
        <v>2477017.5459199999</v>
      </c>
      <c r="R38" s="172">
        <f t="shared" si="10"/>
        <v>1424290.41444</v>
      </c>
      <c r="T38" s="172" t="e">
        <f t="shared" si="1"/>
        <v>#REF!</v>
      </c>
      <c r="Z38" s="172" t="str">
        <f t="shared" si="3"/>
        <v/>
      </c>
      <c r="AB38" s="172" t="str">
        <f t="shared" si="4"/>
        <v/>
      </c>
      <c r="AD38" s="172" t="str">
        <f t="shared" si="5"/>
        <v/>
      </c>
    </row>
    <row r="39" spans="1:30">
      <c r="A39" s="165">
        <v>26</v>
      </c>
      <c r="C39" s="173">
        <v>0</v>
      </c>
      <c r="F39" s="165">
        <v>24</v>
      </c>
      <c r="N39" s="172">
        <f t="shared" si="8"/>
        <v>1084363.65087</v>
      </c>
      <c r="P39" s="172">
        <f t="shared" si="9"/>
        <v>2476462.4097599997</v>
      </c>
      <c r="R39" s="172">
        <f t="shared" si="10"/>
        <v>1424609.6904800001</v>
      </c>
      <c r="T39" s="172">
        <f t="shared" si="1"/>
        <v>4985435.7511099996</v>
      </c>
      <c r="Z39" s="172" t="str">
        <f t="shared" si="3"/>
        <v/>
      </c>
      <c r="AB39" s="172" t="str">
        <f t="shared" si="4"/>
        <v/>
      </c>
      <c r="AD39" s="172" t="str">
        <f t="shared" si="5"/>
        <v/>
      </c>
    </row>
    <row r="40" spans="1:30">
      <c r="A40" s="165">
        <v>27</v>
      </c>
      <c r="C40" s="173">
        <v>0</v>
      </c>
      <c r="F40" s="165">
        <v>25</v>
      </c>
      <c r="P40" s="172">
        <f t="shared" si="9"/>
        <v>1238508.77296</v>
      </c>
      <c r="R40" s="172">
        <f t="shared" si="10"/>
        <v>1424290.41444</v>
      </c>
      <c r="T40" s="172">
        <f t="shared" si="1"/>
        <v>2662799.1874000002</v>
      </c>
      <c r="Z40" s="172" t="str">
        <f t="shared" si="3"/>
        <v/>
      </c>
      <c r="AB40" s="172" t="str">
        <f t="shared" si="4"/>
        <v/>
      </c>
      <c r="AD40" s="172" t="str">
        <f t="shared" si="5"/>
        <v/>
      </c>
    </row>
    <row r="41" spans="1:30">
      <c r="A41" s="165">
        <v>28</v>
      </c>
      <c r="C41" s="173">
        <v>0</v>
      </c>
      <c r="F41" s="165">
        <v>26</v>
      </c>
      <c r="R41" s="172">
        <f t="shared" si="10"/>
        <v>712304.84524000005</v>
      </c>
      <c r="T41" s="172">
        <f t="shared" si="1"/>
        <v>712304.84524000005</v>
      </c>
      <c r="Z41" s="172" t="str">
        <f t="shared" si="3"/>
        <v/>
      </c>
      <c r="AB41" s="172" t="str">
        <f t="shared" si="4"/>
        <v/>
      </c>
      <c r="AD41" s="172" t="str">
        <f t="shared" si="5"/>
        <v/>
      </c>
    </row>
    <row r="42" spans="1:30">
      <c r="A42" s="165">
        <v>29</v>
      </c>
      <c r="C42" s="173">
        <v>0</v>
      </c>
      <c r="F42" s="165">
        <v>27</v>
      </c>
      <c r="T42" s="172">
        <f t="shared" si="1"/>
        <v>0</v>
      </c>
      <c r="Z42" s="172" t="str">
        <f t="shared" si="3"/>
        <v/>
      </c>
      <c r="AB42" s="172" t="str">
        <f t="shared" si="4"/>
        <v/>
      </c>
      <c r="AD42" s="172" t="str">
        <f t="shared" si="5"/>
        <v/>
      </c>
    </row>
    <row r="43" spans="1:30">
      <c r="A43" s="165">
        <v>30</v>
      </c>
      <c r="Z43" s="172" t="str">
        <f t="shared" si="3"/>
        <v/>
      </c>
      <c r="AB43" s="172" t="str">
        <f t="shared" si="4"/>
        <v/>
      </c>
      <c r="AD43" s="172" t="str">
        <f t="shared" si="5"/>
        <v/>
      </c>
    </row>
    <row r="44" spans="1:30">
      <c r="A44" s="165">
        <v>31</v>
      </c>
      <c r="Z44" s="172" t="str">
        <f t="shared" si="3"/>
        <v/>
      </c>
      <c r="AB44" s="172" t="str">
        <f t="shared" si="4"/>
        <v/>
      </c>
      <c r="AD44" s="172" t="str">
        <f t="shared" si="5"/>
        <v/>
      </c>
    </row>
    <row r="45" spans="1:30">
      <c r="A45" s="165">
        <v>32</v>
      </c>
      <c r="Z45" s="172" t="str">
        <f t="shared" si="3"/>
        <v/>
      </c>
      <c r="AB45" s="172" t="str">
        <f t="shared" si="4"/>
        <v/>
      </c>
      <c r="AD45" s="172" t="str">
        <f t="shared" si="5"/>
        <v/>
      </c>
    </row>
    <row r="46" spans="1:30">
      <c r="A46" s="165">
        <v>33</v>
      </c>
      <c r="Z46" s="172" t="str">
        <f t="shared" si="3"/>
        <v/>
      </c>
      <c r="AB46" s="172" t="str">
        <f t="shared" si="4"/>
        <v/>
      </c>
      <c r="AD46" s="172" t="str">
        <f t="shared" si="5"/>
        <v/>
      </c>
    </row>
    <row r="47" spans="1:30">
      <c r="A47" s="165">
        <v>34</v>
      </c>
      <c r="Z47" s="172" t="str">
        <f t="shared" si="3"/>
        <v/>
      </c>
      <c r="AB47" s="172" t="str">
        <f t="shared" si="4"/>
        <v/>
      </c>
      <c r="AD47" s="172" t="str">
        <f t="shared" si="5"/>
        <v/>
      </c>
    </row>
    <row r="48" spans="1:30">
      <c r="A48" s="165">
        <v>35</v>
      </c>
      <c r="Z48" s="172" t="str">
        <f t="shared" si="3"/>
        <v/>
      </c>
      <c r="AB48" s="172" t="str">
        <f t="shared" si="4"/>
        <v/>
      </c>
      <c r="AD48" s="172" t="str">
        <f t="shared" si="5"/>
        <v/>
      </c>
    </row>
    <row r="49" spans="1:30">
      <c r="A49" s="165">
        <v>36</v>
      </c>
      <c r="Z49" s="172" t="str">
        <f t="shared" si="3"/>
        <v/>
      </c>
      <c r="AB49" s="172" t="str">
        <f t="shared" si="4"/>
        <v/>
      </c>
      <c r="AD49" s="172" t="str">
        <f t="shared" si="5"/>
        <v/>
      </c>
    </row>
    <row r="50" spans="1:30">
      <c r="A50" s="165">
        <v>37</v>
      </c>
      <c r="Z50" s="172" t="str">
        <f t="shared" si="3"/>
        <v/>
      </c>
      <c r="AB50" s="172" t="str">
        <f t="shared" si="4"/>
        <v/>
      </c>
      <c r="AD50" s="172" t="str">
        <f t="shared" si="5"/>
        <v/>
      </c>
    </row>
    <row r="51" spans="1:30">
      <c r="A51" s="165">
        <v>38</v>
      </c>
      <c r="Z51" s="172" t="str">
        <f t="shared" si="3"/>
        <v/>
      </c>
      <c r="AB51" s="172" t="str">
        <f t="shared" si="4"/>
        <v/>
      </c>
      <c r="AD51" s="172" t="str">
        <f t="shared" si="5"/>
        <v/>
      </c>
    </row>
    <row r="52" spans="1:30">
      <c r="A52" s="165">
        <v>39</v>
      </c>
      <c r="Z52" s="172" t="str">
        <f t="shared" si="3"/>
        <v/>
      </c>
      <c r="AB52" s="172" t="str">
        <f t="shared" si="4"/>
        <v/>
      </c>
      <c r="AD52" s="172" t="str">
        <f t="shared" si="5"/>
        <v/>
      </c>
    </row>
    <row r="53" spans="1:30">
      <c r="A53" s="165">
        <v>40</v>
      </c>
      <c r="Z53" s="172" t="str">
        <f t="shared" si="3"/>
        <v/>
      </c>
      <c r="AB53" s="172" t="str">
        <f t="shared" si="4"/>
        <v/>
      </c>
      <c r="AD53" s="172" t="str">
        <f t="shared" si="5"/>
        <v/>
      </c>
    </row>
    <row r="54" spans="1:30">
      <c r="A54" s="165">
        <v>41</v>
      </c>
      <c r="Z54" s="172" t="str">
        <f t="shared" si="3"/>
        <v/>
      </c>
      <c r="AB54" s="172" t="str">
        <f t="shared" si="4"/>
        <v/>
      </c>
      <c r="AD54" s="172" t="str">
        <f t="shared" si="5"/>
        <v/>
      </c>
    </row>
    <row r="55" spans="1:30">
      <c r="A55" s="165">
        <v>42</v>
      </c>
      <c r="Z55" s="172" t="str">
        <f t="shared" si="3"/>
        <v/>
      </c>
      <c r="AB55" s="172" t="str">
        <f t="shared" si="4"/>
        <v/>
      </c>
      <c r="AD55" s="172" t="str">
        <f t="shared" si="5"/>
        <v/>
      </c>
    </row>
    <row r="56" spans="1:30">
      <c r="A56" s="165">
        <v>43</v>
      </c>
      <c r="Z56" s="172" t="str">
        <f t="shared" si="3"/>
        <v/>
      </c>
      <c r="AB56" s="172" t="str">
        <f t="shared" si="4"/>
        <v/>
      </c>
      <c r="AD56" s="172" t="str">
        <f t="shared" si="5"/>
        <v/>
      </c>
    </row>
    <row r="57" spans="1:30">
      <c r="A57" s="165">
        <v>44</v>
      </c>
      <c r="Z57" s="172" t="str">
        <f t="shared" si="3"/>
        <v/>
      </c>
      <c r="AB57" s="172" t="str">
        <f t="shared" si="4"/>
        <v/>
      </c>
      <c r="AD57" s="172" t="str">
        <f t="shared" si="5"/>
        <v/>
      </c>
    </row>
    <row r="58" spans="1:30">
      <c r="A58" s="165">
        <v>45</v>
      </c>
      <c r="Z58" s="172" t="str">
        <f t="shared" si="3"/>
        <v/>
      </c>
      <c r="AB58" s="172" t="str">
        <f t="shared" si="4"/>
        <v/>
      </c>
      <c r="AD58" s="172" t="str">
        <f t="shared" si="5"/>
        <v/>
      </c>
    </row>
    <row r="59" spans="1:30">
      <c r="A59" s="165">
        <v>46</v>
      </c>
      <c r="Z59" s="172" t="str">
        <f t="shared" si="3"/>
        <v/>
      </c>
      <c r="AB59" s="172" t="str">
        <f t="shared" si="4"/>
        <v/>
      </c>
      <c r="AD59" s="172" t="str">
        <f t="shared" si="5"/>
        <v/>
      </c>
    </row>
    <row r="60" spans="1:30">
      <c r="A60" s="165">
        <v>47</v>
      </c>
      <c r="Z60" s="172" t="str">
        <f t="shared" si="3"/>
        <v/>
      </c>
      <c r="AB60" s="172" t="str">
        <f t="shared" si="4"/>
        <v/>
      </c>
      <c r="AD60" s="172" t="str">
        <f t="shared" si="5"/>
        <v/>
      </c>
    </row>
    <row r="61" spans="1:30">
      <c r="A61" s="165">
        <v>48</v>
      </c>
      <c r="Z61" s="172" t="str">
        <f t="shared" si="3"/>
        <v/>
      </c>
      <c r="AB61" s="172" t="str">
        <f t="shared" si="4"/>
        <v/>
      </c>
      <c r="AD61" s="172" t="str">
        <f t="shared" si="5"/>
        <v/>
      </c>
    </row>
    <row r="62" spans="1:30">
      <c r="A62" s="165">
        <v>49</v>
      </c>
      <c r="Z62" s="172" t="str">
        <f t="shared" si="3"/>
        <v/>
      </c>
      <c r="AB62" s="172" t="str">
        <f t="shared" si="4"/>
        <v/>
      </c>
      <c r="AD62" s="172" t="str">
        <f t="shared" si="5"/>
        <v/>
      </c>
    </row>
    <row r="63" spans="1:30">
      <c r="A63" s="165">
        <v>50</v>
      </c>
      <c r="Z63" s="172" t="str">
        <f t="shared" si="3"/>
        <v/>
      </c>
      <c r="AB63" s="172" t="str">
        <f t="shared" si="4"/>
        <v/>
      </c>
      <c r="AD63" s="172" t="str">
        <f t="shared" si="5"/>
        <v/>
      </c>
    </row>
    <row r="64" spans="1:30">
      <c r="A64" s="165">
        <v>51</v>
      </c>
      <c r="Z64" s="172" t="str">
        <f t="shared" si="3"/>
        <v/>
      </c>
      <c r="AB64" s="172" t="str">
        <f t="shared" si="4"/>
        <v/>
      </c>
      <c r="AD64" s="172" t="str">
        <f t="shared" si="5"/>
        <v/>
      </c>
    </row>
    <row r="65" spans="1:30">
      <c r="A65" s="165">
        <v>52</v>
      </c>
      <c r="Z65" s="172" t="str">
        <f t="shared" si="3"/>
        <v/>
      </c>
      <c r="AB65" s="172" t="str">
        <f t="shared" si="4"/>
        <v/>
      </c>
      <c r="AD65" s="172" t="str">
        <f t="shared" si="5"/>
        <v/>
      </c>
    </row>
    <row r="66" spans="1:30">
      <c r="A66" s="165">
        <v>53</v>
      </c>
      <c r="Z66" s="172" t="str">
        <f t="shared" si="3"/>
        <v/>
      </c>
      <c r="AB66" s="172" t="str">
        <f t="shared" si="4"/>
        <v/>
      </c>
      <c r="AD66" s="172" t="str">
        <f t="shared" si="5"/>
        <v/>
      </c>
    </row>
    <row r="67" spans="1:30">
      <c r="A67" s="165">
        <v>54</v>
      </c>
      <c r="Z67" s="172" t="str">
        <f t="shared" si="3"/>
        <v/>
      </c>
      <c r="AB67" s="172" t="str">
        <f t="shared" si="4"/>
        <v/>
      </c>
      <c r="AD67" s="172" t="str">
        <f t="shared" si="5"/>
        <v/>
      </c>
    </row>
    <row r="68" spans="1:30">
      <c r="A68" s="165">
        <v>55</v>
      </c>
      <c r="Z68" s="172" t="str">
        <f t="shared" si="3"/>
        <v/>
      </c>
      <c r="AB68" s="172" t="str">
        <f t="shared" si="4"/>
        <v/>
      </c>
      <c r="AD68" s="172" t="str">
        <f t="shared" si="5"/>
        <v/>
      </c>
    </row>
    <row r="69" spans="1:30">
      <c r="A69" s="165">
        <v>56</v>
      </c>
      <c r="Z69" s="172" t="str">
        <f t="shared" si="3"/>
        <v/>
      </c>
      <c r="AB69" s="172" t="str">
        <f t="shared" si="4"/>
        <v/>
      </c>
      <c r="AD69" s="172" t="str">
        <f t="shared" si="5"/>
        <v/>
      </c>
    </row>
    <row r="70" spans="1:30">
      <c r="A70" s="165">
        <v>57</v>
      </c>
      <c r="Z70" s="172" t="str">
        <f t="shared" si="3"/>
        <v/>
      </c>
      <c r="AB70" s="172" t="str">
        <f t="shared" si="4"/>
        <v/>
      </c>
      <c r="AD70" s="172" t="str">
        <f t="shared" si="5"/>
        <v/>
      </c>
    </row>
    <row r="71" spans="1:30">
      <c r="A71" s="165">
        <v>58</v>
      </c>
      <c r="Z71" s="172" t="str">
        <f t="shared" si="3"/>
        <v/>
      </c>
      <c r="AB71" s="172" t="str">
        <f t="shared" si="4"/>
        <v/>
      </c>
      <c r="AD71" s="172" t="str">
        <f t="shared" si="5"/>
        <v/>
      </c>
    </row>
    <row r="72" spans="1:30">
      <c r="A72" s="165">
        <v>59</v>
      </c>
      <c r="Z72" s="172" t="str">
        <f t="shared" si="3"/>
        <v/>
      </c>
      <c r="AB72" s="172" t="str">
        <f t="shared" si="4"/>
        <v/>
      </c>
      <c r="AD72" s="172" t="str">
        <f t="shared" si="5"/>
        <v/>
      </c>
    </row>
    <row r="73" spans="1:30">
      <c r="A73" s="165">
        <v>60</v>
      </c>
      <c r="AD73" s="172"/>
    </row>
    <row r="74" spans="1:30">
      <c r="A74" s="165">
        <v>61</v>
      </c>
      <c r="H74" s="172">
        <f>SUM(H16:H72)</f>
        <v>14177897</v>
      </c>
      <c r="J74" s="172">
        <f>SUM(J16:J72)</f>
        <v>44965125.999999993</v>
      </c>
      <c r="L74" s="172" t="e">
        <f>SUM(L16:L72)</f>
        <v>#REF!</v>
      </c>
      <c r="N74" s="172">
        <f>SUM(N19:N72)</f>
        <v>55369376.999999985</v>
      </c>
      <c r="P74" s="172">
        <f>SUM(P20:P72)</f>
        <v>57347615.999999985</v>
      </c>
      <c r="R74" s="172">
        <f>SUM(R21:R72)</f>
        <v>31927604</v>
      </c>
      <c r="T74" s="172" t="e">
        <f>SUM(T16:T72)</f>
        <v>#REF!</v>
      </c>
      <c r="V74" s="172" t="e">
        <f>SUM(V16:V72)</f>
        <v>#REF!</v>
      </c>
      <c r="X74" s="172" t="e">
        <f>SUM(X16:X72)</f>
        <v>#REF!</v>
      </c>
    </row>
  </sheetData>
  <mergeCells count="4">
    <mergeCell ref="H14:V14"/>
    <mergeCell ref="A1:AD1"/>
    <mergeCell ref="A2:AD2"/>
    <mergeCell ref="A3:AD3"/>
  </mergeCells>
  <printOptions horizontalCentered="1"/>
  <pageMargins left="0.5" right="0.62187499999999996" top="1" bottom="0.75" header="0.3" footer="0.3"/>
  <pageSetup scale="50" orientation="landscape" r:id="rId1"/>
  <headerFooter>
    <oddFooter>&amp;R&amp;"Times New Roman,Bold"&amp;14Bellar Exhibit 2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workbookViewId="0">
      <selection sqref="A1:M1"/>
    </sheetView>
  </sheetViews>
  <sheetFormatPr defaultRowHeight="20.25"/>
  <cols>
    <col min="1" max="1" width="9.5703125" style="87" bestFit="1" customWidth="1"/>
    <col min="2" max="2" width="67.140625" style="86" bestFit="1" customWidth="1"/>
    <col min="3" max="3" width="29.42578125" style="86" customWidth="1"/>
    <col min="4" max="4" width="2.42578125" style="86" customWidth="1"/>
    <col min="5" max="5" width="19.42578125" style="86" customWidth="1"/>
    <col min="6" max="6" width="2.42578125" style="86" customWidth="1"/>
    <col min="7" max="7" width="23.140625" style="86" bestFit="1" customWidth="1"/>
    <col min="8" max="8" width="2.42578125" style="86" customWidth="1"/>
    <col min="9" max="9" width="23.140625" style="86" bestFit="1" customWidth="1"/>
    <col min="10" max="10" width="2.28515625" style="86" customWidth="1"/>
    <col min="11" max="11" width="22.85546875" style="86" customWidth="1"/>
    <col min="12" max="12" width="2.5703125" style="86" customWidth="1"/>
    <col min="13" max="13" width="21.5703125" style="86" customWidth="1"/>
    <col min="14" max="14" width="3.85546875" style="86" customWidth="1"/>
    <col min="15" max="15" width="21.5703125" style="86" customWidth="1"/>
    <col min="16" max="16" width="3.85546875" style="86" customWidth="1"/>
    <col min="17" max="17" width="21.5703125" style="86" customWidth="1"/>
    <col min="18" max="18" width="15.42578125" style="86" customWidth="1"/>
    <col min="19" max="16384" width="9.140625" style="86"/>
  </cols>
  <sheetData>
    <row r="1" spans="1:19">
      <c r="A1" s="542" t="s">
        <v>84</v>
      </c>
      <c r="B1" s="542"/>
      <c r="C1" s="542"/>
      <c r="D1" s="542"/>
      <c r="E1" s="542"/>
      <c r="F1" s="542"/>
      <c r="G1" s="542"/>
      <c r="H1" s="542"/>
      <c r="I1" s="542"/>
      <c r="J1" s="542"/>
      <c r="K1" s="542"/>
      <c r="L1" s="542"/>
      <c r="M1" s="542"/>
    </row>
    <row r="2" spans="1:19">
      <c r="A2" s="543" t="s">
        <v>142</v>
      </c>
      <c r="B2" s="543"/>
      <c r="C2" s="543"/>
      <c r="D2" s="543"/>
      <c r="E2" s="543"/>
      <c r="F2" s="543"/>
      <c r="G2" s="543"/>
      <c r="H2" s="543"/>
      <c r="I2" s="543"/>
      <c r="J2" s="543"/>
      <c r="K2" s="543"/>
      <c r="L2" s="543"/>
      <c r="M2" s="543"/>
      <c r="N2" s="92"/>
      <c r="O2" s="188"/>
      <c r="P2" s="92"/>
      <c r="Q2" s="188"/>
      <c r="R2" s="92"/>
      <c r="S2" s="92"/>
    </row>
    <row r="3" spans="1:19">
      <c r="A3" s="542" t="s">
        <v>132</v>
      </c>
      <c r="B3" s="542"/>
      <c r="C3" s="542"/>
      <c r="D3" s="542"/>
      <c r="E3" s="542"/>
      <c r="F3" s="542"/>
      <c r="G3" s="542"/>
      <c r="H3" s="542"/>
      <c r="I3" s="542"/>
      <c r="J3" s="542"/>
      <c r="K3" s="542"/>
      <c r="L3" s="542"/>
      <c r="M3" s="542"/>
    </row>
    <row r="4" spans="1:19">
      <c r="A4" s="85"/>
    </row>
    <row r="6" spans="1:19" s="106" customFormat="1" ht="99">
      <c r="A6" s="88" t="s">
        <v>83</v>
      </c>
      <c r="B6" s="88" t="s">
        <v>82</v>
      </c>
      <c r="C6" s="88" t="s">
        <v>139</v>
      </c>
      <c r="D6" s="89"/>
      <c r="E6" s="88" t="s">
        <v>79</v>
      </c>
      <c r="F6" s="89"/>
      <c r="G6" s="88" t="s">
        <v>176</v>
      </c>
      <c r="H6" s="89"/>
      <c r="I6" s="88" t="s">
        <v>177</v>
      </c>
      <c r="J6" s="89"/>
      <c r="K6" s="88" t="s">
        <v>80</v>
      </c>
      <c r="L6" s="90"/>
      <c r="M6" s="91" t="s">
        <v>192</v>
      </c>
      <c r="O6" s="91" t="s">
        <v>193</v>
      </c>
      <c r="Q6" s="91" t="s">
        <v>163</v>
      </c>
    </row>
    <row r="7" spans="1:19" s="106" customFormat="1">
      <c r="A7" s="92"/>
      <c r="B7" s="90"/>
      <c r="C7" s="93"/>
      <c r="D7" s="89"/>
      <c r="E7" s="94"/>
      <c r="F7" s="89"/>
      <c r="G7" s="94"/>
      <c r="H7" s="89"/>
      <c r="I7" s="94"/>
      <c r="J7" s="89"/>
      <c r="K7" s="95"/>
      <c r="L7" s="90"/>
      <c r="M7" s="95"/>
      <c r="O7" s="95"/>
      <c r="Q7" s="95"/>
    </row>
    <row r="8" spans="1:19" s="106" customFormat="1">
      <c r="B8" s="96">
        <v>2013</v>
      </c>
      <c r="C8" s="93"/>
      <c r="D8" s="89"/>
      <c r="E8" s="94"/>
      <c r="F8" s="89"/>
      <c r="G8" s="94"/>
      <c r="H8" s="89"/>
      <c r="I8" s="94"/>
      <c r="J8" s="89"/>
      <c r="K8" s="95"/>
      <c r="L8" s="90"/>
      <c r="M8" s="95"/>
      <c r="O8" s="95"/>
      <c r="Q8" s="95"/>
    </row>
    <row r="9" spans="1:19" s="106" customFormat="1">
      <c r="A9" s="97">
        <v>1</v>
      </c>
      <c r="B9" s="98" t="s">
        <v>141</v>
      </c>
      <c r="C9" s="99">
        <v>157968419.60900003</v>
      </c>
      <c r="D9" s="100"/>
      <c r="E9" s="101">
        <f>C9/$C$13</f>
        <v>0.67762429862963103</v>
      </c>
      <c r="F9" s="100"/>
      <c r="G9" s="99">
        <v>7943208.0667126486</v>
      </c>
      <c r="H9" s="100"/>
      <c r="I9" s="99" t="e">
        <f>E9*I$13</f>
        <v>#REF!</v>
      </c>
      <c r="J9" s="100"/>
      <c r="K9" s="100">
        <v>3492362</v>
      </c>
      <c r="L9" s="102"/>
      <c r="M9" s="103" t="e">
        <f>I9/K9</f>
        <v>#REF!</v>
      </c>
      <c r="O9" s="103">
        <v>2.2744515221253261</v>
      </c>
      <c r="Q9" s="103" t="e">
        <f>M9-O9</f>
        <v>#REF!</v>
      </c>
    </row>
    <row r="10" spans="1:19" s="106" customFormat="1">
      <c r="A10" s="97">
        <v>2</v>
      </c>
      <c r="B10" s="98" t="s">
        <v>76</v>
      </c>
      <c r="C10" s="99">
        <v>68978405.94107002</v>
      </c>
      <c r="D10" s="100"/>
      <c r="E10" s="101">
        <f>C10/$C$13</f>
        <v>0.29589106520215208</v>
      </c>
      <c r="F10" s="100"/>
      <c r="G10" s="99">
        <v>3468477.0022784392</v>
      </c>
      <c r="H10" s="100"/>
      <c r="I10" s="99" t="e">
        <f>E10*I$13</f>
        <v>#REF!</v>
      </c>
      <c r="J10" s="100"/>
      <c r="K10" s="100">
        <f>295931+12650+7-12</f>
        <v>308576</v>
      </c>
      <c r="L10" s="102"/>
      <c r="M10" s="103" t="e">
        <f>I10/K10</f>
        <v>#REF!</v>
      </c>
      <c r="O10" s="103">
        <v>11.240268207114095</v>
      </c>
      <c r="Q10" s="103" t="e">
        <f>M10-O10</f>
        <v>#REF!</v>
      </c>
    </row>
    <row r="11" spans="1:19" s="106" customFormat="1">
      <c r="A11" s="97">
        <v>3</v>
      </c>
      <c r="B11" s="98" t="s">
        <v>77</v>
      </c>
      <c r="C11" s="99">
        <v>4668468.5553563787</v>
      </c>
      <c r="D11" s="100"/>
      <c r="E11" s="101">
        <f>C11/$C$13</f>
        <v>2.002595036607949E-2</v>
      </c>
      <c r="F11" s="100"/>
      <c r="G11" s="99">
        <v>234747.02842433448</v>
      </c>
      <c r="H11" s="100"/>
      <c r="I11" s="99" t="e">
        <f>E11*I$13</f>
        <v>#REF!</v>
      </c>
      <c r="J11" s="100"/>
      <c r="K11" s="100">
        <f>1358+1229+24-12</f>
        <v>2599</v>
      </c>
      <c r="L11" s="102"/>
      <c r="M11" s="103" t="e">
        <f>I11/K11</f>
        <v>#REF!</v>
      </c>
      <c r="O11" s="103">
        <v>90.322057877773943</v>
      </c>
      <c r="Q11" s="103" t="e">
        <f>M11-O11</f>
        <v>#REF!</v>
      </c>
    </row>
    <row r="12" spans="1:19" s="106" customFormat="1">
      <c r="A12" s="97">
        <v>4</v>
      </c>
      <c r="B12" s="98" t="s">
        <v>78</v>
      </c>
      <c r="C12" s="104">
        <v>1505654.9639350651</v>
      </c>
      <c r="D12" s="100"/>
      <c r="E12" s="189">
        <f>C12/$C$13</f>
        <v>6.458685802137331E-3</v>
      </c>
      <c r="F12" s="100"/>
      <c r="G12" s="104">
        <v>75709.630347745537</v>
      </c>
      <c r="H12" s="100"/>
      <c r="I12" s="104" t="e">
        <f>E12*I$13</f>
        <v>#REF!</v>
      </c>
      <c r="J12" s="100"/>
      <c r="K12" s="105">
        <f>164-12</f>
        <v>152</v>
      </c>
      <c r="L12" s="102"/>
      <c r="M12" s="103" t="e">
        <f>I12/K12</f>
        <v>#REF!</v>
      </c>
      <c r="O12" s="103">
        <v>498.08967334043115</v>
      </c>
      <c r="Q12" s="103" t="e">
        <f>M12-O12</f>
        <v>#REF!</v>
      </c>
    </row>
    <row r="13" spans="1:19" s="106" customFormat="1" ht="21" thickBot="1">
      <c r="A13" s="97">
        <v>5</v>
      </c>
      <c r="B13" s="182" t="s">
        <v>4</v>
      </c>
      <c r="C13" s="107">
        <f>SUM(C9:C12)</f>
        <v>233120949.06936151</v>
      </c>
      <c r="D13" s="108"/>
      <c r="E13" s="109">
        <f>SUM(E9:E12)</f>
        <v>0.99999999999999989</v>
      </c>
      <c r="F13" s="108"/>
      <c r="G13" s="107">
        <v>11722141.727763169</v>
      </c>
      <c r="H13" s="108"/>
      <c r="I13" s="107" t="e">
        <f>#REF!</f>
        <v>#REF!</v>
      </c>
      <c r="J13" s="108"/>
      <c r="K13" s="110">
        <f>SUM(K9:K12)</f>
        <v>3803689</v>
      </c>
      <c r="L13" s="108"/>
      <c r="M13" s="108"/>
      <c r="O13" s="108"/>
      <c r="Q13" s="108"/>
    </row>
    <row r="14" spans="1:19" s="106" customFormat="1" ht="21" thickTop="1">
      <c r="A14" s="97"/>
      <c r="E14" s="111"/>
      <c r="G14" s="111"/>
      <c r="I14" s="111"/>
    </row>
    <row r="15" spans="1:19" s="106" customFormat="1">
      <c r="B15" s="96">
        <v>2014</v>
      </c>
      <c r="C15" s="93"/>
      <c r="D15" s="89"/>
      <c r="E15" s="94"/>
      <c r="F15" s="89"/>
      <c r="G15" s="94"/>
      <c r="H15" s="89"/>
      <c r="I15" s="94"/>
      <c r="J15" s="89"/>
      <c r="K15" s="95"/>
      <c r="L15" s="90"/>
      <c r="M15" s="95"/>
      <c r="O15" s="95"/>
      <c r="Q15" s="95"/>
    </row>
    <row r="16" spans="1:19" s="106" customFormat="1">
      <c r="A16" s="97">
        <v>6</v>
      </c>
      <c r="B16" s="98" t="s">
        <v>75</v>
      </c>
      <c r="C16" s="99">
        <v>157968419.60900003</v>
      </c>
      <c r="D16" s="100"/>
      <c r="E16" s="101">
        <f>C16/$C$13</f>
        <v>0.67762429862963103</v>
      </c>
      <c r="F16" s="100"/>
      <c r="G16" s="99">
        <v>11211905.898304269</v>
      </c>
      <c r="H16" s="100"/>
      <c r="I16" s="99" t="e">
        <f>E16*I$20</f>
        <v>#REF!</v>
      </c>
      <c r="J16" s="100"/>
      <c r="K16" s="100">
        <v>3492362</v>
      </c>
      <c r="L16" s="102"/>
      <c r="M16" s="103" t="e">
        <f>I16/K16</f>
        <v>#REF!</v>
      </c>
      <c r="O16" s="103">
        <v>3.2104077121169765</v>
      </c>
      <c r="Q16" s="103" t="e">
        <f>M16-O16</f>
        <v>#REF!</v>
      </c>
      <c r="R16" s="103">
        <v>2.283299255343191</v>
      </c>
    </row>
    <row r="17" spans="1:18" s="106" customFormat="1">
      <c r="A17" s="97">
        <v>7</v>
      </c>
      <c r="B17" s="98" t="s">
        <v>76</v>
      </c>
      <c r="C17" s="99">
        <v>68978405.94107002</v>
      </c>
      <c r="D17" s="100"/>
      <c r="E17" s="101">
        <f>C17/$C$13</f>
        <v>0.29589106520215208</v>
      </c>
      <c r="F17" s="100"/>
      <c r="G17" s="99">
        <v>4895784.8558627153</v>
      </c>
      <c r="H17" s="100"/>
      <c r="I17" s="99" t="e">
        <f>E17*I$20</f>
        <v>#REF!</v>
      </c>
      <c r="J17" s="100"/>
      <c r="K17" s="100">
        <f>295931+12650+7-12</f>
        <v>308576</v>
      </c>
      <c r="L17" s="102"/>
      <c r="M17" s="103" t="e">
        <f>I17/K17</f>
        <v>#REF!</v>
      </c>
      <c r="O17" s="103">
        <v>15.865734392378913</v>
      </c>
      <c r="Q17" s="103" t="e">
        <f>M17-O17</f>
        <v>#REF!</v>
      </c>
      <c r="R17" s="103">
        <v>11.283993427645886</v>
      </c>
    </row>
    <row r="18" spans="1:18" s="106" customFormat="1">
      <c r="A18" s="97">
        <v>8</v>
      </c>
      <c r="B18" s="98" t="s">
        <v>77</v>
      </c>
      <c r="C18" s="99">
        <v>4668468.5553563787</v>
      </c>
      <c r="D18" s="100"/>
      <c r="E18" s="101">
        <f>C18/$C$13</f>
        <v>2.002595036607949E-2</v>
      </c>
      <c r="F18" s="100"/>
      <c r="G18" s="99">
        <v>331347.43172974081</v>
      </c>
      <c r="H18" s="100"/>
      <c r="I18" s="99" t="e">
        <f>E18*I$20</f>
        <v>#REF!</v>
      </c>
      <c r="J18" s="100"/>
      <c r="K18" s="100">
        <f>1358+1229+24-12</f>
        <v>2599</v>
      </c>
      <c r="L18" s="102"/>
      <c r="M18" s="103" t="e">
        <f>I18/K18</f>
        <v>#REF!</v>
      </c>
      <c r="O18" s="103">
        <v>127.49035464784178</v>
      </c>
      <c r="Q18" s="103" t="e">
        <f>M18-O18</f>
        <v>#REF!</v>
      </c>
      <c r="R18" s="103">
        <v>90.673415321103548</v>
      </c>
    </row>
    <row r="19" spans="1:18" s="106" customFormat="1">
      <c r="A19" s="97">
        <v>9</v>
      </c>
      <c r="B19" s="98" t="s">
        <v>78</v>
      </c>
      <c r="C19" s="104">
        <v>1505654.9639350651</v>
      </c>
      <c r="D19" s="100"/>
      <c r="E19" s="189">
        <f>C19/$C$13</f>
        <v>6.458685802137331E-3</v>
      </c>
      <c r="F19" s="100"/>
      <c r="G19" s="112">
        <v>106864.78862508586</v>
      </c>
      <c r="H19" s="100"/>
      <c r="I19" s="112" t="e">
        <f>E19*I$20</f>
        <v>#REF!</v>
      </c>
      <c r="J19" s="100"/>
      <c r="K19" s="105">
        <f>164-12</f>
        <v>152</v>
      </c>
      <c r="L19" s="102"/>
      <c r="M19" s="103" t="e">
        <f>I19/K19</f>
        <v>#REF!</v>
      </c>
      <c r="O19" s="103">
        <v>703.05781990188063</v>
      </c>
      <c r="Q19" s="103" t="e">
        <f>M19-O19</f>
        <v>#REF!</v>
      </c>
      <c r="R19" s="103">
        <v>500.02726774744298</v>
      </c>
    </row>
    <row r="20" spans="1:18" s="106" customFormat="1" ht="21" thickBot="1">
      <c r="A20" s="97">
        <v>10</v>
      </c>
      <c r="B20" s="182" t="s">
        <v>4</v>
      </c>
      <c r="C20" s="107">
        <f>SUM(C16:C19)</f>
        <v>233120949.06936151</v>
      </c>
      <c r="D20" s="108"/>
      <c r="E20" s="109">
        <f>SUM(E16:E19)</f>
        <v>0.99999999999999989</v>
      </c>
      <c r="F20" s="108"/>
      <c r="G20" s="107">
        <v>16545902.974521812</v>
      </c>
      <c r="H20" s="108"/>
      <c r="I20" s="107" t="e">
        <f>#REF!</f>
        <v>#REF!</v>
      </c>
      <c r="J20" s="108"/>
      <c r="K20" s="110">
        <f>SUM(K16:K19)</f>
        <v>3803689</v>
      </c>
      <c r="L20" s="108"/>
      <c r="M20" s="108"/>
      <c r="O20" s="108"/>
      <c r="Q20" s="108"/>
      <c r="R20" s="108"/>
    </row>
    <row r="21" spans="1:18" s="106" customFormat="1" ht="21" thickTop="1">
      <c r="A21" s="97"/>
      <c r="I21" s="217"/>
    </row>
    <row r="22" spans="1:18" s="106" customFormat="1">
      <c r="B22" s="96">
        <v>2015</v>
      </c>
      <c r="C22" s="93"/>
      <c r="D22" s="89"/>
      <c r="E22" s="94"/>
      <c r="F22" s="89"/>
      <c r="G22" s="94"/>
      <c r="H22" s="89"/>
      <c r="I22" s="94"/>
      <c r="J22" s="89"/>
      <c r="K22" s="95"/>
      <c r="L22" s="90"/>
      <c r="M22" s="95"/>
      <c r="O22" s="95"/>
      <c r="Q22" s="95"/>
      <c r="R22" s="95"/>
    </row>
    <row r="23" spans="1:18" s="106" customFormat="1">
      <c r="A23" s="97">
        <v>11</v>
      </c>
      <c r="B23" s="98" t="s">
        <v>75</v>
      </c>
      <c r="C23" s="99">
        <v>157968419.60900003</v>
      </c>
      <c r="D23" s="100"/>
      <c r="E23" s="101">
        <f>C23/$C$13</f>
        <v>0.67762429862963103</v>
      </c>
      <c r="F23" s="100"/>
      <c r="G23" s="99">
        <v>15678921.700702569</v>
      </c>
      <c r="H23" s="100"/>
      <c r="I23" s="99" t="e">
        <f>E23*I$27</f>
        <v>#REF!</v>
      </c>
      <c r="J23" s="100"/>
      <c r="K23" s="100">
        <v>3492362</v>
      </c>
      <c r="L23" s="102"/>
      <c r="M23" s="103" t="e">
        <f>I23/K23</f>
        <v>#REF!</v>
      </c>
      <c r="O23" s="103">
        <v>4.4894892627690277</v>
      </c>
      <c r="Q23" s="103" t="e">
        <f>M23-O23</f>
        <v>#REF!</v>
      </c>
      <c r="R23" s="103">
        <v>3.5845074867190778</v>
      </c>
    </row>
    <row r="24" spans="1:18" s="106" customFormat="1">
      <c r="A24" s="97">
        <v>12</v>
      </c>
      <c r="B24" s="98" t="s">
        <v>76</v>
      </c>
      <c r="C24" s="99">
        <v>68978405.94107002</v>
      </c>
      <c r="D24" s="100"/>
      <c r="E24" s="101">
        <f>C24/$C$13</f>
        <v>0.29589106520215208</v>
      </c>
      <c r="F24" s="100"/>
      <c r="G24" s="99">
        <v>6846349.5961169722</v>
      </c>
      <c r="H24" s="100"/>
      <c r="I24" s="99" t="e">
        <f>E24*I$27</f>
        <v>#REF!</v>
      </c>
      <c r="J24" s="100"/>
      <c r="K24" s="100">
        <f>295931+12650+7-12</f>
        <v>308576</v>
      </c>
      <c r="L24" s="102"/>
      <c r="M24" s="103" t="e">
        <f>I24/K24</f>
        <v>#REF!</v>
      </c>
      <c r="O24" s="103">
        <v>22.186915366447721</v>
      </c>
      <c r="Q24" s="103" t="e">
        <f>M24-O24</f>
        <v>#REF!</v>
      </c>
      <c r="R24" s="103">
        <v>17.714523765044579</v>
      </c>
    </row>
    <row r="25" spans="1:18" s="106" customFormat="1">
      <c r="A25" s="97">
        <v>13</v>
      </c>
      <c r="B25" s="98" t="s">
        <v>77</v>
      </c>
      <c r="C25" s="99">
        <v>4668468.5553563787</v>
      </c>
      <c r="D25" s="100"/>
      <c r="E25" s="101">
        <f>C25/$C$13</f>
        <v>2.002595036607949E-2</v>
      </c>
      <c r="F25" s="100"/>
      <c r="G25" s="99">
        <v>463361.93729606969</v>
      </c>
      <c r="H25" s="100"/>
      <c r="I25" s="99" t="e">
        <f>E25*I$27</f>
        <v>#REF!</v>
      </c>
      <c r="J25" s="100"/>
      <c r="K25" s="100">
        <f>1358+1229+24-12</f>
        <v>2599</v>
      </c>
      <c r="L25" s="102"/>
      <c r="M25" s="103" t="e">
        <f>I25/K25</f>
        <v>#REF!</v>
      </c>
      <c r="O25" s="103">
        <v>178.28470076801452</v>
      </c>
      <c r="Q25" s="103" t="e">
        <f>M25-O25</f>
        <v>#REF!</v>
      </c>
      <c r="R25" s="103">
        <v>142.34644683753115</v>
      </c>
    </row>
    <row r="26" spans="1:18" s="106" customFormat="1">
      <c r="A26" s="97">
        <v>14</v>
      </c>
      <c r="B26" s="98" t="s">
        <v>78</v>
      </c>
      <c r="C26" s="104">
        <v>1505654.9639350651</v>
      </c>
      <c r="D26" s="100"/>
      <c r="E26" s="189">
        <f>C26/$C$13</f>
        <v>6.458685802137331E-3</v>
      </c>
      <c r="F26" s="100"/>
      <c r="G26" s="112">
        <v>149441.55513009295</v>
      </c>
      <c r="H26" s="100"/>
      <c r="I26" s="112" t="e">
        <f>E26*I$27</f>
        <v>#REF!</v>
      </c>
      <c r="J26" s="100"/>
      <c r="K26" s="105">
        <f>164-12</f>
        <v>152</v>
      </c>
      <c r="L26" s="102"/>
      <c r="M26" s="103" t="e">
        <f>I26/K26</f>
        <v>#REF!</v>
      </c>
      <c r="O26" s="103">
        <v>983.16812585587468</v>
      </c>
      <c r="Q26" s="103" t="e">
        <f>M26-O26</f>
        <v>#REF!</v>
      </c>
      <c r="R26" s="103">
        <v>784.98316881156916</v>
      </c>
    </row>
    <row r="27" spans="1:18" s="106" customFormat="1" ht="21" thickBot="1">
      <c r="A27" s="97">
        <v>15</v>
      </c>
      <c r="B27" s="182" t="s">
        <v>4</v>
      </c>
      <c r="C27" s="107">
        <f>SUM(C23:C26)</f>
        <v>233120949.06936151</v>
      </c>
      <c r="D27" s="108"/>
      <c r="E27" s="109">
        <f>SUM(E23:E26)</f>
        <v>0.99999999999999989</v>
      </c>
      <c r="F27" s="108"/>
      <c r="G27" s="107">
        <v>23138074.789245706</v>
      </c>
      <c r="H27" s="108"/>
      <c r="I27" s="107" t="e">
        <f>#REF!</f>
        <v>#REF!</v>
      </c>
      <c r="J27" s="108"/>
      <c r="K27" s="110">
        <f>SUM(K23:K26)</f>
        <v>3803689</v>
      </c>
      <c r="L27" s="108"/>
      <c r="M27" s="108"/>
      <c r="O27" s="108"/>
      <c r="Q27" s="108"/>
    </row>
    <row r="28" spans="1:18" s="106" customFormat="1" ht="21" thickTop="1">
      <c r="A28" s="97"/>
    </row>
    <row r="29" spans="1:18" s="106" customFormat="1">
      <c r="B29" s="96">
        <v>2016</v>
      </c>
      <c r="C29" s="93"/>
      <c r="D29" s="89"/>
      <c r="E29" s="94"/>
      <c r="F29" s="89"/>
      <c r="G29" s="94"/>
      <c r="H29" s="89"/>
      <c r="I29" s="94"/>
      <c r="J29" s="89"/>
      <c r="K29" s="95"/>
      <c r="L29" s="90"/>
      <c r="M29" s="95"/>
      <c r="O29" s="95"/>
      <c r="Q29" s="95"/>
    </row>
    <row r="30" spans="1:18" s="106" customFormat="1">
      <c r="A30" s="97">
        <v>16</v>
      </c>
      <c r="B30" s="98" t="s">
        <v>75</v>
      </c>
      <c r="C30" s="99">
        <v>157968419.60900003</v>
      </c>
      <c r="D30" s="100"/>
      <c r="E30" s="101">
        <f>C30/$C$13</f>
        <v>0.67762429862963103</v>
      </c>
      <c r="F30" s="100"/>
      <c r="G30" s="99">
        <v>20308091.024667416</v>
      </c>
      <c r="H30" s="100"/>
      <c r="I30" s="99" t="e">
        <f>E30*I$34</f>
        <v>#REF!</v>
      </c>
      <c r="J30" s="100"/>
      <c r="K30" s="100">
        <v>3492362</v>
      </c>
      <c r="L30" s="102"/>
      <c r="M30" s="103" t="e">
        <f>I30/K30</f>
        <v>#REF!</v>
      </c>
      <c r="O30" s="103">
        <v>5.8150017165080294</v>
      </c>
      <c r="Q30" s="103" t="e">
        <f>M30-O30</f>
        <v>#REF!</v>
      </c>
    </row>
    <row r="31" spans="1:18" s="106" customFormat="1">
      <c r="A31" s="97">
        <v>17</v>
      </c>
      <c r="B31" s="98" t="s">
        <v>76</v>
      </c>
      <c r="C31" s="99">
        <v>68978405.94107002</v>
      </c>
      <c r="D31" s="100"/>
      <c r="E31" s="101">
        <f>C31/$C$13</f>
        <v>0.29589106520215208</v>
      </c>
      <c r="F31" s="100"/>
      <c r="G31" s="99">
        <v>8867720.2067032643</v>
      </c>
      <c r="H31" s="100"/>
      <c r="I31" s="99" t="e">
        <f>E31*I$34</f>
        <v>#REF!</v>
      </c>
      <c r="J31" s="100"/>
      <c r="K31" s="100">
        <f>295931+12650+7-12</f>
        <v>308576</v>
      </c>
      <c r="L31" s="102"/>
      <c r="M31" s="103" t="e">
        <f>I31/K31</f>
        <v>#REF!</v>
      </c>
      <c r="O31" s="103">
        <v>28.73755640977673</v>
      </c>
      <c r="Q31" s="103" t="e">
        <f>M31-O31</f>
        <v>#REF!</v>
      </c>
    </row>
    <row r="32" spans="1:18" s="106" customFormat="1">
      <c r="A32" s="97">
        <v>18</v>
      </c>
      <c r="B32" s="98" t="s">
        <v>77</v>
      </c>
      <c r="C32" s="99">
        <v>4668468.5553563787</v>
      </c>
      <c r="D32" s="100"/>
      <c r="E32" s="101">
        <f>C32/$C$13</f>
        <v>2.002595036607949E-2</v>
      </c>
      <c r="F32" s="100"/>
      <c r="G32" s="99">
        <v>600168.59447376151</v>
      </c>
      <c r="H32" s="100"/>
      <c r="I32" s="99" t="e">
        <f>E32*I$34</f>
        <v>#REF!</v>
      </c>
      <c r="J32" s="100"/>
      <c r="K32" s="100">
        <f>1358+1229+24-12</f>
        <v>2599</v>
      </c>
      <c r="L32" s="102"/>
      <c r="M32" s="103" t="e">
        <f>I32/K32</f>
        <v>#REF!</v>
      </c>
      <c r="O32" s="103">
        <v>230.92289129425222</v>
      </c>
      <c r="Q32" s="103" t="e">
        <f>M32-O32</f>
        <v>#REF!</v>
      </c>
    </row>
    <row r="33" spans="1:17" s="106" customFormat="1">
      <c r="A33" s="97">
        <v>19</v>
      </c>
      <c r="B33" s="98" t="s">
        <v>78</v>
      </c>
      <c r="C33" s="104">
        <v>1505654.9639350651</v>
      </c>
      <c r="D33" s="100"/>
      <c r="E33" s="189">
        <f>C33/$C$13</f>
        <v>6.458685802137331E-3</v>
      </c>
      <c r="F33" s="100"/>
      <c r="G33" s="112">
        <v>193563.86634125418</v>
      </c>
      <c r="H33" s="100"/>
      <c r="I33" s="112" t="e">
        <f>E33*I$34</f>
        <v>#REF!</v>
      </c>
      <c r="J33" s="100"/>
      <c r="K33" s="105">
        <f>164-12</f>
        <v>152</v>
      </c>
      <c r="L33" s="102"/>
      <c r="M33" s="103" t="e">
        <f>I33/K33</f>
        <v>#REF!</v>
      </c>
      <c r="O33" s="103">
        <v>1273.4464890871986</v>
      </c>
      <c r="Q33" s="103" t="e">
        <f>M33-O33</f>
        <v>#REF!</v>
      </c>
    </row>
    <row r="34" spans="1:17" s="106" customFormat="1" ht="21" thickBot="1">
      <c r="A34" s="97">
        <v>20</v>
      </c>
      <c r="B34" s="182" t="s">
        <v>4</v>
      </c>
      <c r="C34" s="107">
        <f>SUM(C30:C33)</f>
        <v>233120949.06936151</v>
      </c>
      <c r="D34" s="108"/>
      <c r="E34" s="109">
        <f>SUM(E30:E33)</f>
        <v>0.99999999999999989</v>
      </c>
      <c r="F34" s="108"/>
      <c r="G34" s="107">
        <v>29969543.6921857</v>
      </c>
      <c r="H34" s="108"/>
      <c r="I34" s="107" t="e">
        <f>'pg 2 Rev Req'!M30</f>
        <v>#REF!</v>
      </c>
      <c r="J34" s="108"/>
      <c r="K34" s="110">
        <f>SUM(K30:K33)</f>
        <v>3803689</v>
      </c>
      <c r="L34" s="108"/>
      <c r="M34" s="108"/>
      <c r="O34" s="108"/>
      <c r="Q34" s="108"/>
    </row>
    <row r="35" spans="1:17" s="106" customFormat="1" ht="21" thickTop="1">
      <c r="A35" s="97"/>
    </row>
    <row r="36" spans="1:17" s="106" customFormat="1">
      <c r="B36" s="96">
        <v>2017</v>
      </c>
      <c r="C36" s="93"/>
      <c r="D36" s="89"/>
      <c r="E36" s="94"/>
      <c r="F36" s="89"/>
      <c r="G36" s="94"/>
      <c r="H36" s="89"/>
      <c r="I36" s="94"/>
      <c r="J36" s="89"/>
      <c r="K36" s="95"/>
      <c r="L36" s="90"/>
      <c r="M36" s="95"/>
      <c r="O36" s="95"/>
      <c r="Q36" s="95"/>
    </row>
    <row r="37" spans="1:17" s="106" customFormat="1">
      <c r="A37" s="97">
        <v>21</v>
      </c>
      <c r="B37" s="98" t="s">
        <v>75</v>
      </c>
      <c r="C37" s="99">
        <v>157968419.60900003</v>
      </c>
      <c r="D37" s="100"/>
      <c r="E37" s="101">
        <f>C37/$C$13</f>
        <v>0.67762429862963103</v>
      </c>
      <c r="F37" s="100"/>
      <c r="G37" s="99">
        <v>22575200.570595808</v>
      </c>
      <c r="H37" s="100"/>
      <c r="I37" s="99" t="e">
        <f>E37*I$41</f>
        <v>#REF!</v>
      </c>
      <c r="J37" s="100"/>
      <c r="K37" s="100">
        <v>3492362</v>
      </c>
      <c r="L37" s="102"/>
      <c r="M37" s="103" t="e">
        <f>I37/K37</f>
        <v>#REF!</v>
      </c>
      <c r="O37" s="103">
        <v>6.4641639585460524</v>
      </c>
      <c r="Q37" s="103" t="e">
        <f>M37-O37</f>
        <v>#REF!</v>
      </c>
    </row>
    <row r="38" spans="1:17" s="106" customFormat="1">
      <c r="A38" s="97">
        <v>22</v>
      </c>
      <c r="B38" s="98" t="s">
        <v>76</v>
      </c>
      <c r="C38" s="99">
        <v>68978405.94107002</v>
      </c>
      <c r="D38" s="100"/>
      <c r="E38" s="101">
        <f>C38/$C$13</f>
        <v>0.29589106520215208</v>
      </c>
      <c r="F38" s="100"/>
      <c r="G38" s="99">
        <v>9857675.0531149451</v>
      </c>
      <c r="H38" s="100"/>
      <c r="I38" s="99" t="e">
        <f>E38*I$41</f>
        <v>#REF!</v>
      </c>
      <c r="J38" s="100"/>
      <c r="K38" s="100">
        <f>295931+12650+7-12</f>
        <v>308576</v>
      </c>
      <c r="L38" s="102"/>
      <c r="M38" s="103" t="e">
        <f>I38/K38</f>
        <v>#REF!</v>
      </c>
      <c r="O38" s="103">
        <v>31.945695884044596</v>
      </c>
      <c r="Q38" s="103" t="e">
        <f>M38-O38</f>
        <v>#REF!</v>
      </c>
    </row>
    <row r="39" spans="1:17" s="106" customFormat="1">
      <c r="A39" s="97">
        <v>23</v>
      </c>
      <c r="B39" s="98" t="s">
        <v>77</v>
      </c>
      <c r="C39" s="99">
        <v>4668468.5553563787</v>
      </c>
      <c r="D39" s="100"/>
      <c r="E39" s="101">
        <f>C39/$C$13</f>
        <v>2.002595036607949E-2</v>
      </c>
      <c r="F39" s="100"/>
      <c r="G39" s="99">
        <v>667168.88258775335</v>
      </c>
      <c r="H39" s="100"/>
      <c r="I39" s="99" t="e">
        <f>E39*I$41</f>
        <v>#REF!</v>
      </c>
      <c r="J39" s="100"/>
      <c r="K39" s="100">
        <f>1358+1229+24-12</f>
        <v>2599</v>
      </c>
      <c r="L39" s="102"/>
      <c r="M39" s="103" t="e">
        <f>I39/K39</f>
        <v>#REF!</v>
      </c>
      <c r="O39" s="103">
        <v>256.70214797528024</v>
      </c>
      <c r="Q39" s="103" t="e">
        <f>M39-O39</f>
        <v>#REF!</v>
      </c>
    </row>
    <row r="40" spans="1:17" s="106" customFormat="1">
      <c r="A40" s="97">
        <v>24</v>
      </c>
      <c r="B40" s="98" t="s">
        <v>78</v>
      </c>
      <c r="C40" s="104">
        <v>1505654.9639350651</v>
      </c>
      <c r="D40" s="100"/>
      <c r="E40" s="189">
        <f>C40/$C$13</f>
        <v>6.458685802137331E-3</v>
      </c>
      <c r="F40" s="100"/>
      <c r="G40" s="112">
        <v>215172.51919769621</v>
      </c>
      <c r="H40" s="100"/>
      <c r="I40" s="112" t="e">
        <f>E40*I$41</f>
        <v>#REF!</v>
      </c>
      <c r="J40" s="100"/>
      <c r="K40" s="105">
        <f>164-12</f>
        <v>152</v>
      </c>
      <c r="L40" s="102"/>
      <c r="M40" s="103" t="e">
        <f>I40/K40</f>
        <v>#REF!</v>
      </c>
      <c r="O40" s="103">
        <v>1415.6086789322119</v>
      </c>
      <c r="Q40" s="103" t="e">
        <f>M40-O40</f>
        <v>#REF!</v>
      </c>
    </row>
    <row r="41" spans="1:17" s="106" customFormat="1" ht="21" thickBot="1">
      <c r="A41" s="97">
        <v>25</v>
      </c>
      <c r="B41" s="182" t="s">
        <v>4</v>
      </c>
      <c r="C41" s="107">
        <f>SUM(C37:C40)</f>
        <v>233120949.06936151</v>
      </c>
      <c r="D41" s="108"/>
      <c r="E41" s="109">
        <f>SUM(E37:E40)</f>
        <v>0.99999999999999989</v>
      </c>
      <c r="F41" s="108"/>
      <c r="G41" s="107">
        <v>33315217.025496203</v>
      </c>
      <c r="H41" s="108"/>
      <c r="I41" s="107" t="e">
        <f>'pg 2 Rev Req'!O30</f>
        <v>#REF!</v>
      </c>
      <c r="J41" s="108"/>
      <c r="K41" s="110">
        <f>SUM(K37:K40)</f>
        <v>3803689</v>
      </c>
      <c r="L41" s="108"/>
      <c r="M41" s="108"/>
      <c r="O41" s="108"/>
      <c r="Q41" s="108"/>
    </row>
    <row r="42" spans="1:17" s="106" customFormat="1" ht="21" thickTop="1">
      <c r="A42" s="97"/>
    </row>
    <row r="43" spans="1:17" s="106" customFormat="1">
      <c r="A43" s="97"/>
    </row>
    <row r="44" spans="1:17" s="106" customFormat="1">
      <c r="A44" s="97"/>
      <c r="B44" s="106" t="s">
        <v>140</v>
      </c>
    </row>
  </sheetData>
  <mergeCells count="3">
    <mergeCell ref="A1:M1"/>
    <mergeCell ref="A2:M2"/>
    <mergeCell ref="A3:M3"/>
  </mergeCells>
  <printOptions horizontalCentered="1"/>
  <pageMargins left="0.5" right="0.62187499999999996" top="1" bottom="0.75" header="0.3" footer="0.3"/>
  <pageSetup scale="35" orientation="landscape" r:id="rId1"/>
  <headerFooter>
    <oddFooter>&amp;R&amp;"Times New Roman,Bold"&amp;14Bellar Exhibit 2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9"/>
  <sheetViews>
    <sheetView workbookViewId="0">
      <selection sqref="A1:O1"/>
    </sheetView>
  </sheetViews>
  <sheetFormatPr defaultRowHeight="20.25"/>
  <cols>
    <col min="1" max="1" width="9.5703125" style="113" bestFit="1" customWidth="1"/>
    <col min="2" max="2" width="9.140625" style="113"/>
    <col min="3" max="3" width="42.42578125" style="113" customWidth="1"/>
    <col min="4" max="4" width="8.42578125" style="113" customWidth="1"/>
    <col min="5" max="5" width="20.7109375" style="113" customWidth="1"/>
    <col min="6" max="6" width="2.7109375" style="113" customWidth="1"/>
    <col min="7" max="7" width="20.7109375" style="113" customWidth="1"/>
    <col min="8" max="8" width="2.7109375" style="113" customWidth="1"/>
    <col min="9" max="9" width="20.7109375" style="113" customWidth="1"/>
    <col min="10" max="10" width="2.7109375" style="113" customWidth="1"/>
    <col min="11" max="11" width="20.7109375" style="113" customWidth="1"/>
    <col min="12" max="12" width="2.7109375" style="113" customWidth="1"/>
    <col min="13" max="13" width="20.7109375" style="113" customWidth="1"/>
    <col min="14" max="14" width="2.7109375" style="113" customWidth="1"/>
    <col min="15" max="15" width="20.7109375" style="113" customWidth="1"/>
    <col min="16" max="16" width="2.7109375" style="113" customWidth="1"/>
    <col min="17" max="17" width="13.7109375" style="113" hidden="1" customWidth="1"/>
    <col min="18" max="18" width="7.28515625" style="113" customWidth="1"/>
    <col min="19" max="19" width="5.28515625" style="113" customWidth="1"/>
    <col min="20" max="20" width="6.85546875" style="113" bestFit="1" customWidth="1"/>
    <col min="21" max="21" width="14.7109375" style="113" bestFit="1" customWidth="1"/>
    <col min="22" max="22" width="14.5703125" style="113" bestFit="1" customWidth="1"/>
    <col min="23" max="23" width="13.140625" style="113" bestFit="1" customWidth="1"/>
    <col min="24" max="24" width="14" style="113" customWidth="1"/>
    <col min="25" max="25" width="15.5703125" style="113" customWidth="1"/>
    <col min="26" max="26" width="14.42578125" style="113" bestFit="1" customWidth="1"/>
    <col min="27" max="27" width="14.85546875" style="113" customWidth="1"/>
    <col min="28" max="28" width="15.7109375" style="113" customWidth="1"/>
    <col min="29" max="29" width="13.42578125" style="113" customWidth="1"/>
    <col min="30" max="30" width="12.140625" style="113" bestFit="1" customWidth="1"/>
    <col min="31" max="31" width="16.5703125" style="113" customWidth="1"/>
    <col min="32" max="32" width="14.42578125" style="113" customWidth="1"/>
    <col min="33" max="33" width="15.140625" style="113" customWidth="1"/>
    <col min="34" max="34" width="9.42578125" style="113" bestFit="1" customWidth="1"/>
    <col min="35" max="35" width="12.7109375" style="113" customWidth="1"/>
    <col min="36" max="16384" width="9.140625" style="113"/>
  </cols>
  <sheetData>
    <row r="1" spans="1:35">
      <c r="A1" s="542" t="s">
        <v>84</v>
      </c>
      <c r="B1" s="542"/>
      <c r="C1" s="542"/>
      <c r="D1" s="542"/>
      <c r="E1" s="542"/>
      <c r="F1" s="542"/>
      <c r="G1" s="542"/>
      <c r="H1" s="542"/>
      <c r="I1" s="542"/>
      <c r="J1" s="542"/>
      <c r="K1" s="542"/>
      <c r="L1" s="542"/>
      <c r="M1" s="542"/>
      <c r="N1" s="542"/>
      <c r="O1" s="542"/>
    </row>
    <row r="2" spans="1:35">
      <c r="A2" s="543" t="s">
        <v>142</v>
      </c>
      <c r="B2" s="542"/>
      <c r="C2" s="542"/>
      <c r="D2" s="542"/>
      <c r="E2" s="542"/>
      <c r="F2" s="542"/>
      <c r="G2" s="542"/>
      <c r="H2" s="542"/>
      <c r="I2" s="542"/>
      <c r="J2" s="542"/>
      <c r="K2" s="542"/>
      <c r="L2" s="542"/>
      <c r="M2" s="542"/>
      <c r="N2" s="542"/>
      <c r="O2" s="542"/>
    </row>
    <row r="3" spans="1:35">
      <c r="A3" s="542" t="s">
        <v>145</v>
      </c>
      <c r="B3" s="542"/>
      <c r="C3" s="542"/>
      <c r="D3" s="542"/>
      <c r="E3" s="542"/>
      <c r="F3" s="542"/>
      <c r="G3" s="542"/>
      <c r="H3" s="542"/>
      <c r="I3" s="542"/>
      <c r="J3" s="542"/>
      <c r="K3" s="542"/>
      <c r="L3" s="542"/>
      <c r="M3" s="542"/>
      <c r="N3" s="542"/>
      <c r="O3" s="542"/>
    </row>
    <row r="4" spans="1:35" s="115" customFormat="1">
      <c r="A4" s="116"/>
      <c r="T4" s="117"/>
      <c r="U4" s="117"/>
      <c r="V4" s="117"/>
      <c r="W4" s="117"/>
      <c r="X4" s="117"/>
      <c r="Y4" s="117"/>
      <c r="Z4" s="117"/>
      <c r="AA4" s="117"/>
      <c r="AB4" s="118"/>
      <c r="AC4" s="117"/>
      <c r="AD4" s="117"/>
      <c r="AE4" s="117"/>
      <c r="AF4" s="117"/>
      <c r="AG4" s="117"/>
      <c r="AH4" s="117"/>
      <c r="AI4" s="117"/>
    </row>
    <row r="5" spans="1:35" s="115" customFormat="1">
      <c r="T5" s="119"/>
      <c r="U5" s="118"/>
      <c r="V5" s="118"/>
      <c r="W5" s="118"/>
      <c r="X5" s="118"/>
      <c r="Y5" s="118"/>
      <c r="Z5" s="118"/>
      <c r="AA5" s="118"/>
      <c r="AB5" s="544"/>
      <c r="AC5" s="544"/>
      <c r="AD5" s="544"/>
      <c r="AE5" s="544"/>
      <c r="AF5" s="544"/>
      <c r="AG5" s="544"/>
      <c r="AH5" s="544"/>
      <c r="AI5" s="544"/>
    </row>
    <row r="6" spans="1:35" s="115" customFormat="1">
      <c r="A6" s="92" t="s">
        <v>5</v>
      </c>
      <c r="B6" s="97"/>
      <c r="D6" s="97"/>
      <c r="E6" s="120">
        <v>2012</v>
      </c>
      <c r="F6" s="120"/>
      <c r="G6" s="120">
        <v>2013</v>
      </c>
      <c r="H6" s="120"/>
      <c r="I6" s="120">
        <v>2014</v>
      </c>
      <c r="J6" s="120"/>
      <c r="K6" s="120">
        <v>2015</v>
      </c>
      <c r="L6" s="120"/>
      <c r="M6" s="120">
        <v>2016</v>
      </c>
      <c r="N6" s="97"/>
      <c r="O6" s="120">
        <v>2017</v>
      </c>
      <c r="P6" s="97"/>
      <c r="Q6" s="120">
        <v>2018</v>
      </c>
      <c r="T6" s="121"/>
      <c r="U6" s="122"/>
      <c r="V6" s="121"/>
      <c r="W6" s="121"/>
      <c r="X6" s="121"/>
      <c r="Y6" s="121"/>
      <c r="Z6" s="121"/>
      <c r="AA6" s="121"/>
      <c r="AB6" s="121"/>
      <c r="AC6" s="121"/>
      <c r="AD6" s="121"/>
      <c r="AE6" s="122"/>
      <c r="AF6" s="121"/>
      <c r="AG6" s="121"/>
      <c r="AH6" s="121"/>
      <c r="AI6" s="121"/>
    </row>
    <row r="7" spans="1:35" s="115" customFormat="1">
      <c r="A7" s="123" t="s">
        <v>6</v>
      </c>
      <c r="B7" s="97"/>
      <c r="C7" s="123" t="s">
        <v>7</v>
      </c>
      <c r="D7" s="97"/>
      <c r="E7" s="124" t="s">
        <v>33</v>
      </c>
      <c r="F7" s="120"/>
      <c r="G7" s="125" t="s">
        <v>34</v>
      </c>
      <c r="H7" s="120"/>
      <c r="I7" s="125" t="s">
        <v>35</v>
      </c>
      <c r="J7" s="120"/>
      <c r="K7" s="125" t="s">
        <v>36</v>
      </c>
      <c r="L7" s="120"/>
      <c r="M7" s="125" t="s">
        <v>37</v>
      </c>
      <c r="N7" s="97"/>
      <c r="O7" s="125" t="s">
        <v>38</v>
      </c>
      <c r="P7" s="97"/>
      <c r="Q7" s="125" t="s">
        <v>39</v>
      </c>
      <c r="T7" s="121"/>
      <c r="U7" s="121"/>
      <c r="V7" s="121"/>
      <c r="W7" s="121"/>
      <c r="X7" s="121"/>
      <c r="Y7" s="121"/>
      <c r="Z7" s="121"/>
      <c r="AA7" s="121"/>
      <c r="AB7" s="121"/>
      <c r="AC7" s="121"/>
      <c r="AD7" s="121"/>
      <c r="AE7" s="122"/>
      <c r="AF7" s="121"/>
      <c r="AG7" s="121"/>
      <c r="AH7" s="121"/>
      <c r="AI7" s="121"/>
    </row>
    <row r="8" spans="1:35" s="115" customFormat="1">
      <c r="A8" s="92"/>
      <c r="B8" s="97"/>
      <c r="C8" s="126">
        <v>-1</v>
      </c>
      <c r="D8" s="97"/>
      <c r="E8" s="126">
        <v>-2</v>
      </c>
      <c r="F8" s="97"/>
      <c r="G8" s="126">
        <v>-3</v>
      </c>
      <c r="H8" s="97"/>
      <c r="I8" s="126">
        <v>-4</v>
      </c>
      <c r="J8" s="97"/>
      <c r="K8" s="126">
        <v>-5</v>
      </c>
      <c r="L8" s="97"/>
      <c r="M8" s="126">
        <v>-6</v>
      </c>
      <c r="N8" s="97"/>
      <c r="O8" s="126">
        <v>-7</v>
      </c>
      <c r="P8" s="97"/>
      <c r="Q8" s="126">
        <v>-8</v>
      </c>
      <c r="T8" s="121"/>
      <c r="U8" s="117"/>
      <c r="V8" s="117"/>
      <c r="W8" s="117"/>
      <c r="X8" s="117"/>
      <c r="Y8" s="117"/>
      <c r="Z8" s="117"/>
      <c r="AA8" s="117"/>
      <c r="AB8" s="117"/>
      <c r="AC8" s="117"/>
      <c r="AD8" s="117"/>
      <c r="AE8" s="117"/>
      <c r="AF8" s="117"/>
      <c r="AG8" s="117"/>
      <c r="AH8" s="117"/>
      <c r="AI8" s="117"/>
    </row>
    <row r="9" spans="1:35" s="115" customFormat="1">
      <c r="A9" s="97"/>
      <c r="B9" s="97"/>
      <c r="D9" s="97"/>
      <c r="F9" s="97"/>
      <c r="H9" s="97"/>
      <c r="J9" s="97"/>
      <c r="L9" s="97"/>
      <c r="N9" s="97"/>
      <c r="P9" s="97"/>
      <c r="T9" s="121"/>
      <c r="U9" s="127"/>
      <c r="V9" s="127"/>
      <c r="W9" s="127"/>
      <c r="X9" s="127"/>
      <c r="Y9" s="127"/>
      <c r="Z9" s="127"/>
      <c r="AA9" s="128"/>
      <c r="AB9" s="127"/>
      <c r="AC9" s="128"/>
      <c r="AD9" s="128"/>
      <c r="AE9" s="128"/>
      <c r="AF9" s="127"/>
      <c r="AG9" s="127"/>
      <c r="AH9" s="127"/>
      <c r="AI9" s="127"/>
    </row>
    <row r="10" spans="1:35" s="115" customFormat="1">
      <c r="A10" s="97"/>
      <c r="B10" s="129" t="s">
        <v>60</v>
      </c>
      <c r="D10" s="97"/>
      <c r="F10" s="97"/>
      <c r="H10" s="97"/>
      <c r="J10" s="97"/>
      <c r="L10" s="97"/>
      <c r="N10" s="97"/>
      <c r="P10" s="97"/>
      <c r="T10" s="121"/>
      <c r="U10" s="127"/>
      <c r="V10" s="127"/>
      <c r="W10" s="127"/>
      <c r="X10" s="127"/>
      <c r="Y10" s="127"/>
      <c r="Z10" s="127"/>
      <c r="AA10" s="128"/>
      <c r="AB10" s="127"/>
      <c r="AC10" s="127"/>
      <c r="AD10" s="127"/>
      <c r="AE10" s="128"/>
      <c r="AF10" s="127"/>
      <c r="AG10" s="127"/>
      <c r="AH10" s="127"/>
      <c r="AI10" s="127"/>
    </row>
    <row r="11" spans="1:35" s="115" customFormat="1">
      <c r="A11" s="97">
        <v>1</v>
      </c>
      <c r="B11" s="97"/>
      <c r="C11" s="130" t="s">
        <v>61</v>
      </c>
      <c r="D11" s="97"/>
      <c r="E11" s="131">
        <f>'pg 5 2012 Bk Depr'!$R25</f>
        <v>13421975.82425602</v>
      </c>
      <c r="F11" s="97"/>
      <c r="G11" s="131">
        <f>'pg 6 2013 Bk Depr'!$R25</f>
        <v>53915199.133565381</v>
      </c>
      <c r="H11" s="97"/>
      <c r="I11" s="131">
        <f>'pg 7 2014 Bk Depr'!$R25</f>
        <v>102118032.14746886</v>
      </c>
      <c r="J11" s="97"/>
      <c r="K11" s="131">
        <f>'pg 8 2015 Bk Depr'!$R25</f>
        <v>152924297.71996886</v>
      </c>
      <c r="L11" s="97"/>
      <c r="M11" s="131">
        <f>'pg 9 2016 Bk Depr'!$R25</f>
        <v>205648056.2673001</v>
      </c>
      <c r="N11" s="97"/>
      <c r="O11" s="131">
        <f>'pg 10 2017 Bk Depr'!$R25</f>
        <v>234200099.77730012</v>
      </c>
      <c r="P11" s="97"/>
      <c r="Q11" s="131">
        <v>234200099.77730012</v>
      </c>
      <c r="T11" s="121"/>
      <c r="U11" s="127"/>
      <c r="V11" s="127"/>
      <c r="W11" s="127"/>
      <c r="X11" s="127"/>
      <c r="Y11" s="127"/>
      <c r="Z11" s="127"/>
      <c r="AA11" s="128"/>
      <c r="AB11" s="127"/>
      <c r="AC11" s="127"/>
      <c r="AD11" s="127"/>
      <c r="AE11" s="128"/>
      <c r="AF11" s="127"/>
      <c r="AG11" s="127"/>
      <c r="AH11" s="127"/>
      <c r="AI11" s="127"/>
    </row>
    <row r="12" spans="1:35" s="115" customFormat="1">
      <c r="A12" s="97">
        <v>2</v>
      </c>
      <c r="B12" s="97"/>
      <c r="C12" s="115" t="s">
        <v>23</v>
      </c>
      <c r="D12" s="97"/>
      <c r="E12" s="131">
        <f>'pg 5 2012 Bk Depr'!$R31</f>
        <v>681891</v>
      </c>
      <c r="F12" s="97"/>
      <c r="G12" s="131">
        <f>'pg 6 2013 Bk Depr'!$R31</f>
        <v>3282224</v>
      </c>
      <c r="H12" s="97"/>
      <c r="I12" s="131">
        <f>'pg 7 2014 Bk Depr'!$R31</f>
        <v>6266609</v>
      </c>
      <c r="J12" s="97"/>
      <c r="K12" s="131">
        <f>'pg 8 2015 Bk Depr'!$R31</f>
        <v>8601251</v>
      </c>
      <c r="L12" s="97"/>
      <c r="M12" s="131">
        <f>'pg 9 2016 Bk Depr'!$R31</f>
        <v>11160954</v>
      </c>
      <c r="N12" s="97"/>
      <c r="O12" s="131">
        <f>'pg 10 2017 Bk Depr'!$R31</f>
        <v>12462268</v>
      </c>
      <c r="P12" s="97"/>
      <c r="Q12" s="131">
        <v>12462268</v>
      </c>
      <c r="T12" s="121"/>
      <c r="U12" s="127"/>
      <c r="V12" s="127"/>
      <c r="W12" s="127"/>
      <c r="X12" s="127"/>
      <c r="Y12" s="127"/>
      <c r="Z12" s="127"/>
      <c r="AA12" s="128"/>
      <c r="AB12" s="127"/>
      <c r="AC12" s="127"/>
      <c r="AD12" s="127"/>
      <c r="AE12" s="128"/>
      <c r="AF12" s="127"/>
      <c r="AG12" s="127"/>
      <c r="AH12" s="127"/>
      <c r="AI12" s="127"/>
    </row>
    <row r="13" spans="1:35" s="115" customFormat="1">
      <c r="A13" s="97">
        <v>3</v>
      </c>
      <c r="B13" s="97"/>
      <c r="C13" s="115" t="s">
        <v>62</v>
      </c>
      <c r="D13" s="97"/>
      <c r="E13" s="132">
        <f>(-'pg 5 2012 Bk Depr'!$L23-'pg 5 2012 Bk Depr'!$N25-'pg 5 2012 Bk Depr'!$J25)</f>
        <v>617088.99494260072</v>
      </c>
      <c r="F13" s="97"/>
      <c r="G13" s="132">
        <f>(-'pg 6 2013 Bk Depr'!$L23-'pg 6 2013 Bk Depr'!$N25-'pg 6 2013 Bk Depr'!$J25)+E13</f>
        <v>4225046.1272951448</v>
      </c>
      <c r="H13" s="97"/>
      <c r="I13" s="132">
        <f>(-'pg 7 2014 Bk Depr'!$L23-'pg 7 2014 Bk Depr'!$N25-'pg 7 2014 Bk Depr'!$J25)+G13</f>
        <v>6531258.5210028049</v>
      </c>
      <c r="J13" s="97"/>
      <c r="K13" s="132">
        <f>(-'pg 8 2015 Bk Depr'!$L23-'pg 8 2015 Bk Depr'!$N25-'pg 8 2015 Bk Depr'!$J25)+I13</f>
        <v>7443465.8545248508</v>
      </c>
      <c r="L13" s="97"/>
      <c r="M13" s="132">
        <f>(-'pg 9 2016 Bk Depr'!$L23-'pg 9 2016 Bk Depr'!$N25-'pg 9 2016 Bk Depr'!$J25)+K13</f>
        <v>6882620.5373723209</v>
      </c>
      <c r="N13" s="97"/>
      <c r="O13" s="132">
        <f>(-'pg 10 2017 Bk Depr'!$L23-'pg 10 2017 Bk Depr'!$N25-'pg 10 2017 Bk Depr'!$J25)+M13</f>
        <v>3752874.0214668643</v>
      </c>
      <c r="P13" s="97"/>
      <c r="Q13" s="132">
        <v>-3293494.20895309</v>
      </c>
      <c r="T13" s="121"/>
      <c r="U13" s="127"/>
      <c r="V13" s="127"/>
      <c r="W13" s="127"/>
      <c r="X13" s="127"/>
      <c r="Y13" s="127"/>
      <c r="Z13" s="127"/>
      <c r="AA13" s="128"/>
      <c r="AB13" s="127"/>
      <c r="AC13" s="127"/>
      <c r="AD13" s="127"/>
      <c r="AE13" s="128"/>
      <c r="AF13" s="127"/>
      <c r="AG13" s="127"/>
      <c r="AH13" s="127"/>
      <c r="AI13" s="127"/>
    </row>
    <row r="14" spans="1:35" s="115" customFormat="1">
      <c r="A14" s="97">
        <v>4</v>
      </c>
      <c r="B14" s="97"/>
      <c r="C14" s="115" t="s">
        <v>63</v>
      </c>
      <c r="D14" s="97"/>
      <c r="E14" s="131">
        <f>SUM(E11:E13)</f>
        <v>14720955.81919862</v>
      </c>
      <c r="F14" s="97"/>
      <c r="G14" s="131">
        <f>SUM(G11:G13)</f>
        <v>61422469.260860525</v>
      </c>
      <c r="H14" s="97"/>
      <c r="I14" s="131">
        <f>SUM(I11:I13)</f>
        <v>114915899.66847166</v>
      </c>
      <c r="J14" s="97"/>
      <c r="K14" s="131">
        <f>SUM(K11:K13)</f>
        <v>168969014.57449371</v>
      </c>
      <c r="L14" s="97"/>
      <c r="M14" s="131">
        <f>SUM(M11:M13)</f>
        <v>223691630.80467242</v>
      </c>
      <c r="N14" s="97"/>
      <c r="O14" s="131">
        <f>SUM(O11:O13)</f>
        <v>250415241.79876697</v>
      </c>
      <c r="P14" s="97"/>
      <c r="Q14" s="131">
        <v>243368873.56834704</v>
      </c>
      <c r="T14" s="121"/>
      <c r="U14" s="117"/>
      <c r="V14" s="117"/>
      <c r="W14" s="117"/>
      <c r="X14" s="117"/>
      <c r="Y14" s="117"/>
      <c r="Z14" s="117"/>
      <c r="AA14" s="128"/>
      <c r="AB14" s="127"/>
      <c r="AC14" s="127"/>
      <c r="AD14" s="127"/>
      <c r="AE14" s="128"/>
      <c r="AF14" s="127"/>
      <c r="AG14" s="127"/>
      <c r="AH14" s="127"/>
      <c r="AI14" s="127"/>
    </row>
    <row r="15" spans="1:35" s="115" customFormat="1">
      <c r="A15" s="97"/>
      <c r="B15" s="97"/>
      <c r="D15" s="97"/>
      <c r="E15" s="131"/>
      <c r="F15" s="97"/>
      <c r="G15" s="131"/>
      <c r="H15" s="97"/>
      <c r="I15" s="131"/>
      <c r="J15" s="97"/>
      <c r="K15" s="131"/>
      <c r="L15" s="97"/>
      <c r="M15" s="131"/>
      <c r="N15" s="97"/>
      <c r="O15" s="131"/>
      <c r="P15" s="97"/>
      <c r="Q15" s="131"/>
      <c r="T15" s="121"/>
      <c r="U15" s="117"/>
      <c r="V15" s="117"/>
      <c r="W15" s="117"/>
      <c r="X15" s="117"/>
      <c r="Y15" s="117"/>
      <c r="Z15" s="117"/>
      <c r="AA15" s="128"/>
      <c r="AB15" s="127"/>
      <c r="AC15" s="127"/>
      <c r="AD15" s="127"/>
      <c r="AE15" s="128"/>
      <c r="AF15" s="127"/>
      <c r="AG15" s="127"/>
      <c r="AH15" s="127"/>
      <c r="AI15" s="127"/>
    </row>
    <row r="16" spans="1:35" s="115" customFormat="1">
      <c r="A16" s="97">
        <v>5</v>
      </c>
      <c r="B16" s="97"/>
      <c r="C16" s="115" t="s">
        <v>64</v>
      </c>
      <c r="D16" s="97"/>
      <c r="E16" s="132">
        <f>-'pg 11 Tax Depr'!$AD16</f>
        <v>-1984524.9894557635</v>
      </c>
      <c r="F16" s="97"/>
      <c r="G16" s="132" t="e">
        <f>-'pg 11 Tax Depr'!$AD17</f>
        <v>#REF!</v>
      </c>
      <c r="H16" s="97"/>
      <c r="I16" s="132" t="e">
        <f>-'pg 11 Tax Depr'!$AD18</f>
        <v>#REF!</v>
      </c>
      <c r="J16" s="97"/>
      <c r="K16" s="132" t="e">
        <f>-'pg 11 Tax Depr'!$AD19</f>
        <v>#REF!</v>
      </c>
      <c r="L16" s="97"/>
      <c r="M16" s="132" t="e">
        <f>-'pg 11 Tax Depr'!$AD20</f>
        <v>#REF!</v>
      </c>
      <c r="N16" s="97"/>
      <c r="O16" s="132" t="e">
        <f>-'pg 11 Tax Depr'!$AD21</f>
        <v>#REF!</v>
      </c>
      <c r="P16" s="97"/>
      <c r="Q16" s="132">
        <v>-26417679.007406868</v>
      </c>
      <c r="T16" s="121"/>
      <c r="U16" s="127"/>
      <c r="V16" s="127"/>
      <c r="W16" s="127"/>
      <c r="X16" s="127"/>
      <c r="Y16" s="127"/>
      <c r="Z16" s="127"/>
      <c r="AA16" s="127"/>
      <c r="AB16" s="127"/>
      <c r="AC16" s="127"/>
      <c r="AD16" s="127"/>
      <c r="AE16" s="127"/>
      <c r="AF16" s="127"/>
      <c r="AG16" s="127"/>
      <c r="AH16" s="127"/>
      <c r="AI16" s="127"/>
    </row>
    <row r="17" spans="1:17" s="115" customFormat="1">
      <c r="A17" s="97"/>
      <c r="B17" s="97"/>
      <c r="D17" s="97"/>
      <c r="E17" s="131"/>
      <c r="F17" s="97"/>
      <c r="G17" s="131"/>
      <c r="H17" s="97"/>
      <c r="I17" s="131"/>
      <c r="J17" s="97"/>
      <c r="K17" s="131"/>
      <c r="L17" s="97"/>
      <c r="M17" s="131"/>
      <c r="N17" s="97"/>
      <c r="O17" s="131"/>
      <c r="P17" s="97"/>
      <c r="Q17" s="131"/>
    </row>
    <row r="18" spans="1:17" s="115" customFormat="1">
      <c r="A18" s="97">
        <v>6</v>
      </c>
      <c r="B18" s="97"/>
      <c r="C18" s="130" t="s">
        <v>65</v>
      </c>
      <c r="D18" s="97"/>
      <c r="E18" s="131">
        <f>SUM(E14:E16)</f>
        <v>12736430.829742856</v>
      </c>
      <c r="F18" s="97"/>
      <c r="G18" s="131" t="e">
        <f>SUM(G14:G16)</f>
        <v>#REF!</v>
      </c>
      <c r="H18" s="97"/>
      <c r="I18" s="131" t="e">
        <f>SUM(I14:I16)</f>
        <v>#REF!</v>
      </c>
      <c r="J18" s="97"/>
      <c r="K18" s="131" t="e">
        <f>SUM(K14:K16)</f>
        <v>#REF!</v>
      </c>
      <c r="L18" s="97"/>
      <c r="M18" s="131" t="e">
        <f>SUM(M14:M16)</f>
        <v>#REF!</v>
      </c>
      <c r="N18" s="97"/>
      <c r="O18" s="131" t="e">
        <f>SUM(O14:O16)</f>
        <v>#REF!</v>
      </c>
      <c r="P18" s="97"/>
      <c r="Q18" s="131">
        <v>216951194.56094018</v>
      </c>
    </row>
    <row r="19" spans="1:17" s="115" customFormat="1">
      <c r="A19" s="97"/>
      <c r="B19" s="97"/>
      <c r="D19" s="97"/>
      <c r="F19" s="97"/>
      <c r="H19" s="97"/>
      <c r="J19" s="97"/>
      <c r="L19" s="97"/>
      <c r="N19" s="97"/>
      <c r="P19" s="97"/>
    </row>
    <row r="20" spans="1:17" s="115" customFormat="1">
      <c r="A20" s="97">
        <v>7</v>
      </c>
      <c r="B20" s="97"/>
      <c r="C20" s="115" t="s">
        <v>66</v>
      </c>
      <c r="D20" s="97"/>
      <c r="E20" s="133">
        <f>ROR!$M$14</f>
        <v>0.10295372718295133</v>
      </c>
      <c r="F20" s="97"/>
      <c r="G20" s="133">
        <f>ROR!$M$14</f>
        <v>0.10295372718295133</v>
      </c>
      <c r="H20" s="97"/>
      <c r="I20" s="133">
        <f>ROR!$M$14</f>
        <v>0.10295372718295133</v>
      </c>
      <c r="J20" s="97"/>
      <c r="K20" s="133">
        <f>ROR!$M$14</f>
        <v>0.10295372718295133</v>
      </c>
      <c r="L20" s="97"/>
      <c r="M20" s="133">
        <f>ROR!$M$14</f>
        <v>0.10295372718295133</v>
      </c>
      <c r="N20" s="97"/>
      <c r="O20" s="133">
        <f>ROR!$M$14</f>
        <v>0.10295372718295133</v>
      </c>
      <c r="P20" s="97"/>
      <c r="Q20" s="133">
        <v>0.11694251757309855</v>
      </c>
    </row>
    <row r="21" spans="1:17" s="115" customFormat="1">
      <c r="A21" s="97"/>
      <c r="B21" s="97"/>
      <c r="D21" s="97"/>
      <c r="F21" s="97"/>
      <c r="H21" s="97"/>
      <c r="J21" s="97"/>
      <c r="L21" s="97"/>
      <c r="N21" s="97"/>
      <c r="P21" s="97"/>
    </row>
    <row r="22" spans="1:17" s="115" customFormat="1">
      <c r="A22" s="97">
        <v>8</v>
      </c>
      <c r="B22" s="97"/>
      <c r="C22" s="115" t="s">
        <v>67</v>
      </c>
      <c r="D22" s="97"/>
      <c r="E22" s="134">
        <f>E18*E20</f>
        <v>1311263.0249298764</v>
      </c>
      <c r="F22" s="97"/>
      <c r="G22" s="134" t="e">
        <f>G18*G20</f>
        <v>#REF!</v>
      </c>
      <c r="H22" s="97"/>
      <c r="I22" s="134" t="e">
        <f>I18*I20</f>
        <v>#REF!</v>
      </c>
      <c r="J22" s="97"/>
      <c r="K22" s="134" t="e">
        <f>K18*K20</f>
        <v>#REF!</v>
      </c>
      <c r="L22" s="97"/>
      <c r="M22" s="134" t="e">
        <f>M18*M20</f>
        <v>#REF!</v>
      </c>
      <c r="N22" s="97"/>
      <c r="O22" s="134" t="e">
        <f>O18*O20</f>
        <v>#REF!</v>
      </c>
      <c r="P22" s="97"/>
      <c r="Q22" s="134">
        <v>25370818.88244747</v>
      </c>
    </row>
    <row r="23" spans="1:17" s="115" customFormat="1">
      <c r="A23" s="97"/>
      <c r="B23" s="97"/>
      <c r="D23" s="97"/>
      <c r="F23" s="97"/>
      <c r="H23" s="97"/>
      <c r="J23" s="97"/>
      <c r="L23" s="97"/>
      <c r="N23" s="97"/>
      <c r="P23" s="97"/>
    </row>
    <row r="24" spans="1:17" s="115" customFormat="1">
      <c r="A24" s="97"/>
      <c r="B24" s="129" t="s">
        <v>68</v>
      </c>
      <c r="D24" s="97"/>
      <c r="F24" s="97"/>
      <c r="H24" s="97"/>
      <c r="J24" s="97"/>
      <c r="L24" s="97"/>
      <c r="N24" s="97"/>
      <c r="P24" s="97"/>
    </row>
    <row r="25" spans="1:17" s="115" customFormat="1">
      <c r="A25" s="97">
        <v>9</v>
      </c>
      <c r="B25" s="97"/>
      <c r="C25" s="115" t="s">
        <v>0</v>
      </c>
      <c r="D25" s="97"/>
      <c r="E25" s="131">
        <f>'pg 5 2012 Bk Depr'!$P25+'pg 5 2012 Bk Depr'!$J25</f>
        <v>277664.36160275922</v>
      </c>
      <c r="F25" s="97"/>
      <c r="G25" s="131">
        <f>'pg 6 2013 Bk Depr'!$P25+'pg 6 2013 Bk Depr'!$J25</f>
        <v>1450226.7550734272</v>
      </c>
      <c r="H25" s="97"/>
      <c r="I25" s="131">
        <f>'pg 7 2014 Bk Depr'!$P25+'pg 7 2014 Bk Depr'!$J25</f>
        <v>2896648.4297042824</v>
      </c>
      <c r="J25" s="97"/>
      <c r="K25" s="131">
        <f>'pg 8 2015 Bk Depr'!$P25+'pg 8 2015 Bk Depr'!$J25</f>
        <v>4405159.7582516223</v>
      </c>
      <c r="L25" s="97"/>
      <c r="M25" s="131">
        <f>'pg 9 2016 Bk Depr'!$P25+'pg 9 2016 Bk Depr'!$J25</f>
        <v>5964245.7813909566</v>
      </c>
      <c r="N25" s="97"/>
      <c r="O25" s="131">
        <f>'pg 10 2017 Bk Depr'!$P25+'pg 10 2017 Bk Depr'!$J25</f>
        <v>7046368.2304199561</v>
      </c>
      <c r="P25" s="97"/>
      <c r="Q25" s="131">
        <v>7046368.2304199561</v>
      </c>
    </row>
    <row r="26" spans="1:17" s="115" customFormat="1">
      <c r="A26" s="97">
        <v>10</v>
      </c>
      <c r="B26" s="97"/>
      <c r="C26" s="115" t="s">
        <v>69</v>
      </c>
      <c r="D26" s="97"/>
      <c r="E26" s="132">
        <f>'pg 3 Cap &amp; OpEx'!B104</f>
        <v>0</v>
      </c>
      <c r="F26" s="97"/>
      <c r="G26" s="132">
        <f>'pg 3 Cap &amp; OpEx'!C104</f>
        <v>4147054</v>
      </c>
      <c r="H26" s="97"/>
      <c r="I26" s="132">
        <f>'pg 3 Cap &amp; OpEx'!D104</f>
        <v>2156437</v>
      </c>
      <c r="J26" s="97"/>
      <c r="K26" s="132">
        <f>'pg 3 Cap &amp; OpEx'!E104</f>
        <v>1881751</v>
      </c>
      <c r="L26" s="97"/>
      <c r="M26" s="132">
        <f>'pg 3 Cap &amp; OpEx'!F104</f>
        <v>1595027</v>
      </c>
      <c r="N26" s="97"/>
      <c r="O26" s="132">
        <f>'pg 3 Cap &amp; OpEx'!G104</f>
        <v>1296405</v>
      </c>
      <c r="P26" s="97"/>
      <c r="Q26" s="132">
        <v>0</v>
      </c>
    </row>
    <row r="27" spans="1:17" s="115" customFormat="1">
      <c r="A27" s="97"/>
      <c r="B27" s="97"/>
      <c r="D27" s="97"/>
      <c r="E27" s="131"/>
      <c r="F27" s="97"/>
      <c r="G27" s="131"/>
      <c r="H27" s="97"/>
      <c r="I27" s="131"/>
      <c r="J27" s="97"/>
      <c r="K27" s="131"/>
      <c r="L27" s="97"/>
      <c r="M27" s="131"/>
      <c r="N27" s="97"/>
      <c r="O27" s="131"/>
      <c r="P27" s="97"/>
      <c r="Q27" s="131"/>
    </row>
    <row r="28" spans="1:17" s="115" customFormat="1">
      <c r="A28" s="97">
        <v>11</v>
      </c>
      <c r="B28" s="97"/>
      <c r="C28" s="115" t="s">
        <v>70</v>
      </c>
      <c r="D28" s="97"/>
      <c r="E28" s="131">
        <f>SUM(E25:E27)</f>
        <v>277664.36160275922</v>
      </c>
      <c r="F28" s="97"/>
      <c r="G28" s="131">
        <f>SUM(G25:G27)</f>
        <v>5597280.7550734272</v>
      </c>
      <c r="H28" s="97"/>
      <c r="I28" s="131">
        <f>SUM(I25:I27)</f>
        <v>5053085.4297042824</v>
      </c>
      <c r="J28" s="97"/>
      <c r="K28" s="131">
        <f>SUM(K25:K27)</f>
        <v>6286910.7582516223</v>
      </c>
      <c r="L28" s="97"/>
      <c r="M28" s="131">
        <f>SUM(M25:M27)</f>
        <v>7559272.7813909566</v>
      </c>
      <c r="N28" s="97"/>
      <c r="O28" s="131">
        <f>SUM(O25:O27)</f>
        <v>8342773.2304199561</v>
      </c>
      <c r="P28" s="97"/>
      <c r="Q28" s="131">
        <v>7046368.2304199561</v>
      </c>
    </row>
    <row r="29" spans="1:17" s="115" customFormat="1">
      <c r="A29" s="97"/>
      <c r="B29" s="97"/>
      <c r="D29" s="97"/>
      <c r="F29" s="97"/>
      <c r="H29" s="97"/>
      <c r="J29" s="97"/>
      <c r="L29" s="97"/>
      <c r="N29" s="97"/>
      <c r="P29" s="97"/>
    </row>
    <row r="30" spans="1:17" s="115" customFormat="1" ht="21" thickBot="1">
      <c r="A30" s="97">
        <v>12</v>
      </c>
      <c r="B30" s="129" t="s">
        <v>71</v>
      </c>
      <c r="D30" s="97"/>
      <c r="E30" s="135">
        <f>E22+E28</f>
        <v>1588927.3865326357</v>
      </c>
      <c r="F30" s="97"/>
      <c r="G30" s="135" t="e">
        <f>G22+G28</f>
        <v>#REF!</v>
      </c>
      <c r="H30" s="97"/>
      <c r="I30" s="135" t="e">
        <f>I22+I28</f>
        <v>#REF!</v>
      </c>
      <c r="J30" s="97"/>
      <c r="K30" s="135" t="e">
        <f>K22+K28</f>
        <v>#REF!</v>
      </c>
      <c r="L30" s="97"/>
      <c r="M30" s="135" t="e">
        <f>M22+M28</f>
        <v>#REF!</v>
      </c>
      <c r="N30" s="97"/>
      <c r="O30" s="135" t="e">
        <f>O22+O28</f>
        <v>#REF!</v>
      </c>
      <c r="P30" s="97"/>
      <c r="Q30" s="135">
        <v>32417187.112867426</v>
      </c>
    </row>
    <row r="31" spans="1:17" s="115" customFormat="1" ht="21" thickTop="1">
      <c r="A31" s="97"/>
      <c r="B31" s="97"/>
      <c r="D31" s="97"/>
      <c r="F31" s="97"/>
      <c r="H31" s="97"/>
      <c r="J31" s="97"/>
      <c r="L31" s="97"/>
      <c r="N31" s="97"/>
      <c r="P31" s="97"/>
    </row>
    <row r="32" spans="1:17" s="115" customFormat="1" hidden="1">
      <c r="A32" s="97">
        <v>13</v>
      </c>
      <c r="B32" s="129" t="s">
        <v>104</v>
      </c>
      <c r="D32" s="97"/>
      <c r="E32" s="136">
        <v>1.4334866894633393E-2</v>
      </c>
      <c r="F32" s="97"/>
      <c r="G32" s="136">
        <v>9.8173249221958275E-2</v>
      </c>
      <c r="H32" s="97"/>
      <c r="I32" s="136">
        <v>0.14000521098329799</v>
      </c>
      <c r="J32" s="97"/>
      <c r="K32" s="136">
        <v>0.19617787887361537</v>
      </c>
      <c r="L32" s="97"/>
      <c r="M32" s="136">
        <v>0.25439277088453749</v>
      </c>
      <c r="N32" s="97"/>
      <c r="O32" s="136">
        <v>0.28282249062000248</v>
      </c>
      <c r="P32" s="97"/>
      <c r="Q32" s="136">
        <v>0.262971801175854</v>
      </c>
    </row>
    <row r="33" spans="1:17" s="115" customFormat="1">
      <c r="A33" s="97"/>
      <c r="B33" s="129"/>
      <c r="D33" s="97"/>
      <c r="E33" s="136"/>
      <c r="F33" s="97"/>
      <c r="G33" s="136"/>
      <c r="H33" s="97"/>
      <c r="I33" s="136"/>
      <c r="J33" s="97"/>
      <c r="K33" s="136"/>
      <c r="L33" s="97"/>
      <c r="M33" s="136"/>
      <c r="N33" s="97"/>
      <c r="O33" s="136"/>
      <c r="P33" s="97"/>
      <c r="Q33" s="136"/>
    </row>
    <row r="34" spans="1:17" s="115" customFormat="1">
      <c r="A34" s="97"/>
      <c r="B34" s="97"/>
      <c r="D34" s="97"/>
      <c r="F34" s="97"/>
      <c r="H34" s="97"/>
      <c r="J34" s="97"/>
      <c r="L34" s="97"/>
      <c r="N34" s="97"/>
      <c r="P34" s="97"/>
    </row>
    <row r="35" spans="1:17" hidden="1">
      <c r="A35" s="87"/>
      <c r="B35" s="137" t="s">
        <v>81</v>
      </c>
      <c r="D35" s="87"/>
      <c r="F35" s="87"/>
      <c r="H35" s="87"/>
      <c r="J35" s="87"/>
      <c r="L35" s="87"/>
      <c r="N35" s="87"/>
      <c r="P35" s="87"/>
    </row>
    <row r="36" spans="1:17" hidden="1">
      <c r="A36" s="87">
        <v>1</v>
      </c>
      <c r="B36" s="87"/>
      <c r="C36" s="138" t="s">
        <v>75</v>
      </c>
      <c r="D36" s="87"/>
      <c r="E36" s="139">
        <v>0.34287003216711542</v>
      </c>
      <c r="F36" s="87"/>
      <c r="G36" s="139">
        <v>2.3481672600172359</v>
      </c>
      <c r="H36" s="87">
        <v>0</v>
      </c>
      <c r="I36" s="139">
        <v>3.3487294682435094</v>
      </c>
      <c r="J36" s="87">
        <v>0</v>
      </c>
      <c r="K36" s="139">
        <v>4.692301374982053</v>
      </c>
      <c r="L36" s="87">
        <v>0</v>
      </c>
      <c r="M36" s="139">
        <v>6.0847204356614792</v>
      </c>
      <c r="N36" s="87">
        <v>0</v>
      </c>
      <c r="O36" s="139">
        <v>6.7647196984275837</v>
      </c>
      <c r="P36" s="87">
        <v>0</v>
      </c>
      <c r="Q36" s="139">
        <v>6.2899188803744579</v>
      </c>
    </row>
    <row r="37" spans="1:17" hidden="1">
      <c r="A37" s="87">
        <v>2</v>
      </c>
      <c r="B37" s="87"/>
      <c r="C37" s="138" t="s">
        <v>76</v>
      </c>
      <c r="D37" s="87"/>
      <c r="E37" s="139">
        <v>1.6944529633847505</v>
      </c>
      <c r="F37" s="87"/>
      <c r="G37" s="139">
        <v>11.60456907566641</v>
      </c>
      <c r="H37" s="87">
        <v>0</v>
      </c>
      <c r="I37" s="139">
        <v>16.549316180171171</v>
      </c>
      <c r="J37" s="87">
        <v>0</v>
      </c>
      <c r="K37" s="139">
        <v>23.189206474765356</v>
      </c>
      <c r="L37" s="87">
        <v>0</v>
      </c>
      <c r="M37" s="139">
        <v>30.070497874684765</v>
      </c>
      <c r="N37" s="87">
        <v>0</v>
      </c>
      <c r="O37" s="139">
        <v>33.431032939854518</v>
      </c>
      <c r="P37" s="87">
        <v>0</v>
      </c>
      <c r="Q37" s="139">
        <v>31.084582163498848</v>
      </c>
    </row>
    <row r="38" spans="1:17" hidden="1">
      <c r="A38" s="87">
        <v>3</v>
      </c>
      <c r="B38" s="87"/>
      <c r="C38" s="138" t="s">
        <v>77</v>
      </c>
      <c r="D38" s="87"/>
      <c r="E38" s="139">
        <v>13.615909852857261</v>
      </c>
      <c r="F38" s="87"/>
      <c r="G38" s="139">
        <v>93.249426115613673</v>
      </c>
      <c r="H38" s="87">
        <v>0</v>
      </c>
      <c r="I38" s="139">
        <v>132.98332978540009</v>
      </c>
      <c r="J38" s="87">
        <v>0</v>
      </c>
      <c r="K38" s="139">
        <v>186.33868967893272</v>
      </c>
      <c r="L38" s="87">
        <v>0</v>
      </c>
      <c r="M38" s="139">
        <v>241.63384711156178</v>
      </c>
      <c r="N38" s="87">
        <v>0</v>
      </c>
      <c r="O38" s="139">
        <v>268.6376905309246</v>
      </c>
      <c r="P38" s="87">
        <v>0</v>
      </c>
      <c r="Q38" s="139">
        <v>249.78260105047895</v>
      </c>
    </row>
    <row r="39" spans="1:17" hidden="1">
      <c r="A39" s="87">
        <v>4</v>
      </c>
      <c r="B39" s="87"/>
      <c r="C39" s="138" t="s">
        <v>78</v>
      </c>
      <c r="D39" s="87"/>
      <c r="E39" s="139">
        <v>75.086244159980552</v>
      </c>
      <c r="F39" s="87"/>
      <c r="G39" s="139">
        <v>514.23292697738736</v>
      </c>
      <c r="H39" s="87">
        <v>0</v>
      </c>
      <c r="I39" s="139">
        <v>733.34935949053727</v>
      </c>
      <c r="J39" s="87">
        <v>0</v>
      </c>
      <c r="K39" s="139">
        <v>1027.582622159262</v>
      </c>
      <c r="L39" s="87">
        <v>0</v>
      </c>
      <c r="M39" s="139">
        <v>1332.5130848840636</v>
      </c>
      <c r="N39" s="87">
        <v>0</v>
      </c>
      <c r="O39" s="139">
        <v>1481.4283760512321</v>
      </c>
      <c r="P39" s="87">
        <v>0</v>
      </c>
      <c r="Q39" s="139">
        <v>1377.4501720467506</v>
      </c>
    </row>
    <row r="40" spans="1:17" hidden="1">
      <c r="C40" s="140"/>
    </row>
    <row r="41" spans="1:17" hidden="1">
      <c r="B41" s="141" t="s">
        <v>106</v>
      </c>
      <c r="C41" s="142" t="s">
        <v>116</v>
      </c>
    </row>
    <row r="42" spans="1:17" hidden="1">
      <c r="C42" s="142" t="s">
        <v>117</v>
      </c>
    </row>
    <row r="43" spans="1:17" hidden="1"/>
    <row r="46" spans="1:17" hidden="1">
      <c r="A46" s="114" t="s">
        <v>84</v>
      </c>
    </row>
    <row r="47" spans="1:17" hidden="1">
      <c r="A47" s="143" t="s">
        <v>112</v>
      </c>
    </row>
    <row r="48" spans="1:17" hidden="1">
      <c r="A48" s="143" t="s">
        <v>114</v>
      </c>
    </row>
    <row r="49" spans="1:35" hidden="1">
      <c r="A49" s="114"/>
    </row>
    <row r="50" spans="1:35" hidden="1">
      <c r="A50" s="87"/>
      <c r="B50" s="87"/>
      <c r="D50" s="87"/>
      <c r="F50" s="87"/>
      <c r="H50" s="87"/>
      <c r="J50" s="87"/>
      <c r="L50" s="87"/>
      <c r="N50" s="87"/>
      <c r="P50" s="87"/>
      <c r="T50" s="144"/>
      <c r="U50" s="145"/>
      <c r="V50" s="145"/>
      <c r="W50" s="145"/>
      <c r="X50" s="145"/>
      <c r="Y50" s="145"/>
      <c r="Z50" s="145"/>
      <c r="AA50" s="145"/>
      <c r="AB50" s="545"/>
      <c r="AC50" s="545"/>
      <c r="AD50" s="545"/>
      <c r="AE50" s="545"/>
      <c r="AF50" s="545"/>
      <c r="AG50" s="545"/>
      <c r="AH50" s="545"/>
      <c r="AI50" s="545"/>
    </row>
    <row r="51" spans="1:35" hidden="1">
      <c r="A51" s="146" t="s">
        <v>5</v>
      </c>
      <c r="B51" s="87"/>
      <c r="D51" s="87"/>
      <c r="E51" s="147">
        <v>2012</v>
      </c>
      <c r="F51" s="147"/>
      <c r="G51" s="147">
        <v>2013</v>
      </c>
      <c r="H51" s="147"/>
      <c r="I51" s="147">
        <v>2014</v>
      </c>
      <c r="J51" s="147"/>
      <c r="K51" s="147">
        <v>2015</v>
      </c>
      <c r="L51" s="147"/>
      <c r="M51" s="147">
        <v>2016</v>
      </c>
      <c r="N51" s="87"/>
      <c r="O51" s="147">
        <v>2017</v>
      </c>
      <c r="P51" s="87"/>
      <c r="Q51" s="147">
        <v>2018</v>
      </c>
      <c r="T51" s="148"/>
      <c r="U51" s="149"/>
      <c r="V51" s="148"/>
      <c r="W51" s="148"/>
      <c r="X51" s="148"/>
      <c r="Y51" s="148"/>
      <c r="Z51" s="148"/>
      <c r="AA51" s="148"/>
      <c r="AB51" s="148"/>
      <c r="AC51" s="148"/>
      <c r="AD51" s="148"/>
      <c r="AE51" s="148"/>
      <c r="AF51" s="148"/>
      <c r="AG51" s="148"/>
      <c r="AH51" s="148"/>
      <c r="AI51" s="148"/>
    </row>
    <row r="52" spans="1:35" hidden="1">
      <c r="A52" s="150" t="s">
        <v>6</v>
      </c>
      <c r="B52" s="87"/>
      <c r="C52" s="150" t="s">
        <v>7</v>
      </c>
      <c r="D52" s="87"/>
      <c r="E52" s="151" t="s">
        <v>33</v>
      </c>
      <c r="F52" s="147"/>
      <c r="G52" s="152" t="s">
        <v>34</v>
      </c>
      <c r="H52" s="147"/>
      <c r="I52" s="152" t="s">
        <v>35</v>
      </c>
      <c r="J52" s="147"/>
      <c r="K52" s="152" t="s">
        <v>36</v>
      </c>
      <c r="L52" s="147"/>
      <c r="M52" s="152" t="s">
        <v>37</v>
      </c>
      <c r="N52" s="87"/>
      <c r="O52" s="152" t="s">
        <v>38</v>
      </c>
      <c r="P52" s="87"/>
      <c r="Q52" s="152" t="s">
        <v>39</v>
      </c>
      <c r="T52" s="148"/>
      <c r="U52" s="148"/>
      <c r="V52" s="148"/>
      <c r="W52" s="148"/>
      <c r="X52" s="148"/>
      <c r="Y52" s="148"/>
      <c r="Z52" s="148"/>
      <c r="AA52" s="148"/>
      <c r="AB52" s="148"/>
      <c r="AC52" s="148"/>
      <c r="AD52" s="148"/>
      <c r="AE52" s="148"/>
      <c r="AF52" s="148"/>
      <c r="AG52" s="148"/>
      <c r="AH52" s="148"/>
      <c r="AI52" s="148"/>
    </row>
    <row r="53" spans="1:35" hidden="1">
      <c r="A53" s="146"/>
      <c r="B53" s="87"/>
      <c r="C53" s="153">
        <v>-1</v>
      </c>
      <c r="D53" s="87"/>
      <c r="E53" s="153">
        <v>-2</v>
      </c>
      <c r="F53" s="87"/>
      <c r="G53" s="153">
        <v>-3</v>
      </c>
      <c r="H53" s="87"/>
      <c r="I53" s="153">
        <v>-4</v>
      </c>
      <c r="J53" s="87"/>
      <c r="K53" s="153">
        <v>-5</v>
      </c>
      <c r="L53" s="87"/>
      <c r="M53" s="153">
        <v>-6</v>
      </c>
      <c r="N53" s="87"/>
      <c r="O53" s="153">
        <v>-7</v>
      </c>
      <c r="P53" s="87"/>
      <c r="Q53" s="153">
        <v>-8</v>
      </c>
      <c r="T53" s="148"/>
      <c r="U53" s="154"/>
      <c r="V53" s="154"/>
      <c r="W53" s="154"/>
      <c r="X53" s="154"/>
      <c r="Y53" s="154"/>
      <c r="Z53" s="154"/>
      <c r="AA53" s="154"/>
      <c r="AB53" s="154"/>
      <c r="AC53" s="154"/>
      <c r="AD53" s="154"/>
      <c r="AE53" s="154"/>
      <c r="AF53" s="154"/>
      <c r="AG53" s="154"/>
      <c r="AH53" s="154"/>
      <c r="AI53" s="154"/>
    </row>
    <row r="54" spans="1:35" hidden="1">
      <c r="A54" s="87"/>
      <c r="B54" s="87"/>
      <c r="D54" s="87"/>
      <c r="F54" s="87"/>
      <c r="H54" s="87"/>
      <c r="J54" s="87"/>
      <c r="L54" s="87"/>
      <c r="N54" s="87"/>
      <c r="P54" s="87"/>
      <c r="T54" s="148"/>
      <c r="U54" s="155"/>
      <c r="V54" s="155"/>
      <c r="W54" s="155"/>
      <c r="X54" s="155"/>
      <c r="Y54" s="155"/>
      <c r="Z54" s="155"/>
      <c r="AA54" s="156"/>
      <c r="AB54" s="155"/>
      <c r="AC54" s="156"/>
      <c r="AD54" s="156"/>
      <c r="AE54" s="156"/>
      <c r="AF54" s="155"/>
      <c r="AG54" s="155"/>
      <c r="AH54" s="155"/>
      <c r="AI54" s="155"/>
    </row>
    <row r="55" spans="1:35" hidden="1">
      <c r="A55" s="87"/>
      <c r="B55" s="157" t="s">
        <v>60</v>
      </c>
      <c r="D55" s="87"/>
      <c r="F55" s="87"/>
      <c r="H55" s="87"/>
      <c r="J55" s="87"/>
      <c r="L55" s="87"/>
      <c r="N55" s="87"/>
      <c r="P55" s="87"/>
      <c r="T55" s="148"/>
      <c r="U55" s="155"/>
      <c r="V55" s="155"/>
      <c r="W55" s="155"/>
      <c r="X55" s="155"/>
      <c r="Y55" s="155"/>
      <c r="Z55" s="155"/>
      <c r="AA55" s="156"/>
      <c r="AB55" s="155"/>
      <c r="AC55" s="155"/>
      <c r="AD55" s="155"/>
      <c r="AE55" s="156"/>
      <c r="AF55" s="155"/>
      <c r="AG55" s="155"/>
      <c r="AH55" s="155"/>
      <c r="AI55" s="155"/>
    </row>
    <row r="56" spans="1:35" hidden="1">
      <c r="A56" s="87">
        <v>1</v>
      </c>
      <c r="B56" s="87"/>
      <c r="C56" s="138" t="s">
        <v>61</v>
      </c>
      <c r="D56" s="87"/>
      <c r="E56" s="158">
        <v>13421975.82425602</v>
      </c>
      <c r="F56" s="87"/>
      <c r="G56" s="158">
        <v>34077240.623565383</v>
      </c>
      <c r="H56" s="87"/>
      <c r="I56" s="158">
        <v>55756397.127468869</v>
      </c>
      <c r="J56" s="87"/>
      <c r="K56" s="158">
        <v>79405846.189968869</v>
      </c>
      <c r="L56" s="87"/>
      <c r="M56" s="158">
        <v>104265020.22730011</v>
      </c>
      <c r="N56" s="87"/>
      <c r="O56" s="158">
        <v>104265020.22730011</v>
      </c>
      <c r="P56" s="87"/>
      <c r="Q56" s="158">
        <v>104265020.22730011</v>
      </c>
      <c r="T56" s="148"/>
      <c r="U56" s="155"/>
      <c r="V56" s="155"/>
      <c r="W56" s="155"/>
      <c r="X56" s="155"/>
      <c r="Y56" s="155"/>
      <c r="Z56" s="155"/>
      <c r="AA56" s="156"/>
      <c r="AB56" s="155"/>
      <c r="AC56" s="155"/>
      <c r="AD56" s="155"/>
      <c r="AE56" s="156"/>
      <c r="AF56" s="155"/>
      <c r="AG56" s="155"/>
      <c r="AH56" s="155"/>
      <c r="AI56" s="155"/>
    </row>
    <row r="57" spans="1:35" hidden="1">
      <c r="A57" s="87">
        <v>2</v>
      </c>
      <c r="B57" s="87"/>
      <c r="C57" s="113" t="s">
        <v>23</v>
      </c>
      <c r="D57" s="87"/>
      <c r="E57" s="158">
        <v>681891</v>
      </c>
      <c r="F57" s="87"/>
      <c r="G57" s="158">
        <v>2397273</v>
      </c>
      <c r="H57" s="87"/>
      <c r="I57" s="158">
        <v>4154931</v>
      </c>
      <c r="J57" s="87"/>
      <c r="K57" s="158">
        <v>5239931</v>
      </c>
      <c r="L57" s="87"/>
      <c r="M57" s="158">
        <v>6523460</v>
      </c>
      <c r="N57" s="87"/>
      <c r="O57" s="158">
        <v>6523460</v>
      </c>
      <c r="P57" s="87"/>
      <c r="Q57" s="158">
        <v>6523460</v>
      </c>
      <c r="T57" s="148"/>
      <c r="U57" s="155"/>
      <c r="V57" s="155"/>
      <c r="W57" s="155"/>
      <c r="X57" s="155"/>
      <c r="Y57" s="155"/>
      <c r="Z57" s="155"/>
      <c r="AA57" s="156"/>
      <c r="AB57" s="155"/>
      <c r="AC57" s="155"/>
      <c r="AD57" s="155"/>
      <c r="AE57" s="156"/>
      <c r="AF57" s="155"/>
      <c r="AG57" s="155"/>
      <c r="AH57" s="155"/>
      <c r="AI57" s="155"/>
    </row>
    <row r="58" spans="1:35" hidden="1">
      <c r="A58" s="87">
        <v>3</v>
      </c>
      <c r="B58" s="87"/>
      <c r="C58" s="113" t="s">
        <v>62</v>
      </c>
      <c r="D58" s="87"/>
      <c r="E58" s="159">
        <v>617088.99494260096</v>
      </c>
      <c r="F58" s="87"/>
      <c r="G58" s="159">
        <v>1225414.9510596425</v>
      </c>
      <c r="H58" s="87"/>
      <c r="I58" s="159">
        <v>1410549.1521608015</v>
      </c>
      <c r="J58" s="87"/>
      <c r="K58" s="159">
        <v>1218923.6358053493</v>
      </c>
      <c r="L58" s="87"/>
      <c r="M58" s="159">
        <v>596901.01810432295</v>
      </c>
      <c r="N58" s="87"/>
      <c r="O58" s="159">
        <v>-1524927.6973706333</v>
      </c>
      <c r="P58" s="87"/>
      <c r="Q58" s="159">
        <v>-3646756.4128455892</v>
      </c>
      <c r="T58" s="148"/>
      <c r="U58" s="155"/>
      <c r="V58" s="155"/>
      <c r="W58" s="155"/>
      <c r="X58" s="155"/>
      <c r="Y58" s="155"/>
      <c r="Z58" s="155"/>
      <c r="AA58" s="156"/>
      <c r="AB58" s="155"/>
      <c r="AC58" s="155"/>
      <c r="AD58" s="155"/>
      <c r="AE58" s="156"/>
      <c r="AF58" s="155"/>
      <c r="AG58" s="155"/>
      <c r="AH58" s="155"/>
      <c r="AI58" s="155"/>
    </row>
    <row r="59" spans="1:35" hidden="1">
      <c r="A59" s="87">
        <v>4</v>
      </c>
      <c r="B59" s="87"/>
      <c r="C59" s="113" t="s">
        <v>63</v>
      </c>
      <c r="D59" s="87"/>
      <c r="E59" s="158">
        <v>14720955.819198621</v>
      </c>
      <c r="F59" s="87"/>
      <c r="G59" s="158">
        <v>37699928.574625023</v>
      </c>
      <c r="H59" s="87"/>
      <c r="I59" s="158">
        <v>61321877.27962967</v>
      </c>
      <c r="J59" s="87"/>
      <c r="K59" s="158">
        <v>85864700.825774223</v>
      </c>
      <c r="L59" s="87"/>
      <c r="M59" s="158">
        <v>111385381.24540444</v>
      </c>
      <c r="N59" s="87"/>
      <c r="O59" s="158">
        <v>109263552.52992947</v>
      </c>
      <c r="P59" s="87"/>
      <c r="Q59" s="158">
        <v>107141723.81445453</v>
      </c>
      <c r="T59" s="148"/>
      <c r="U59" s="154"/>
      <c r="V59" s="154"/>
      <c r="W59" s="154"/>
      <c r="X59" s="154"/>
      <c r="Y59" s="154"/>
      <c r="Z59" s="154"/>
      <c r="AA59" s="156"/>
      <c r="AB59" s="155"/>
      <c r="AC59" s="155"/>
      <c r="AD59" s="155"/>
      <c r="AE59" s="156"/>
      <c r="AF59" s="155"/>
      <c r="AG59" s="155"/>
      <c r="AH59" s="155"/>
      <c r="AI59" s="155"/>
    </row>
    <row r="60" spans="1:35" hidden="1">
      <c r="A60" s="87"/>
      <c r="B60" s="87"/>
      <c r="D60" s="87"/>
      <c r="E60" s="158"/>
      <c r="F60" s="87"/>
      <c r="G60" s="158"/>
      <c r="H60" s="87"/>
      <c r="I60" s="158"/>
      <c r="J60" s="87"/>
      <c r="K60" s="158"/>
      <c r="L60" s="87"/>
      <c r="M60" s="158"/>
      <c r="N60" s="87"/>
      <c r="O60" s="158"/>
      <c r="P60" s="87"/>
      <c r="Q60" s="158"/>
      <c r="T60" s="148"/>
      <c r="U60" s="154"/>
      <c r="V60" s="154"/>
      <c r="W60" s="154"/>
      <c r="X60" s="154"/>
      <c r="Y60" s="154"/>
      <c r="Z60" s="154"/>
      <c r="AA60" s="156"/>
      <c r="AB60" s="155"/>
      <c r="AC60" s="155"/>
      <c r="AD60" s="155"/>
      <c r="AE60" s="156"/>
      <c r="AF60" s="155"/>
      <c r="AG60" s="155"/>
      <c r="AH60" s="155"/>
      <c r="AI60" s="155"/>
    </row>
    <row r="61" spans="1:35" hidden="1">
      <c r="A61" s="87">
        <v>5</v>
      </c>
      <c r="B61" s="87"/>
      <c r="C61" s="113" t="s">
        <v>64</v>
      </c>
      <c r="D61" s="87"/>
      <c r="E61" s="159">
        <v>-1984524.9894557635</v>
      </c>
      <c r="F61" s="87"/>
      <c r="G61" s="159">
        <v>-5262098.3330605254</v>
      </c>
      <c r="H61" s="87"/>
      <c r="I61" s="159">
        <v>-8928483.5304622333</v>
      </c>
      <c r="J61" s="87"/>
      <c r="K61" s="159">
        <v>-12828702.302008513</v>
      </c>
      <c r="L61" s="87"/>
      <c r="M61" s="159">
        <v>-15210919.633602954</v>
      </c>
      <c r="N61" s="87"/>
      <c r="O61" s="159">
        <v>-16494398.462551236</v>
      </c>
      <c r="P61" s="87"/>
      <c r="Q61" s="159">
        <v>-17619670.330218967</v>
      </c>
      <c r="T61" s="148"/>
      <c r="U61" s="155"/>
      <c r="V61" s="155"/>
      <c r="W61" s="155"/>
      <c r="X61" s="155"/>
      <c r="Y61" s="155"/>
      <c r="Z61" s="155"/>
      <c r="AA61" s="155"/>
      <c r="AB61" s="155"/>
      <c r="AC61" s="155"/>
      <c r="AD61" s="155"/>
      <c r="AE61" s="155"/>
      <c r="AF61" s="155"/>
      <c r="AG61" s="155"/>
      <c r="AH61" s="155"/>
      <c r="AI61" s="155"/>
    </row>
    <row r="62" spans="1:35" hidden="1">
      <c r="A62" s="87"/>
      <c r="B62" s="87"/>
      <c r="D62" s="87"/>
      <c r="E62" s="158"/>
      <c r="F62" s="87"/>
      <c r="G62" s="158"/>
      <c r="H62" s="87"/>
      <c r="I62" s="158"/>
      <c r="J62" s="87"/>
      <c r="K62" s="158"/>
      <c r="L62" s="87"/>
      <c r="M62" s="158"/>
      <c r="N62" s="87"/>
      <c r="O62" s="158"/>
      <c r="P62" s="87"/>
      <c r="Q62" s="158"/>
    </row>
    <row r="63" spans="1:35" hidden="1">
      <c r="A63" s="87">
        <v>6</v>
      </c>
      <c r="B63" s="87"/>
      <c r="C63" s="138" t="s">
        <v>65</v>
      </c>
      <c r="D63" s="87"/>
      <c r="E63" s="158">
        <v>12736430.829742858</v>
      </c>
      <c r="F63" s="87"/>
      <c r="G63" s="158">
        <v>32437830.241564497</v>
      </c>
      <c r="H63" s="87"/>
      <c r="I63" s="158">
        <v>52393393.749167435</v>
      </c>
      <c r="J63" s="87"/>
      <c r="K63" s="158">
        <v>73035998.523765713</v>
      </c>
      <c r="L63" s="87"/>
      <c r="M63" s="158">
        <v>96174461.611801475</v>
      </c>
      <c r="N63" s="87"/>
      <c r="O63" s="158">
        <v>92769154.067378238</v>
      </c>
      <c r="P63" s="87"/>
      <c r="Q63" s="158">
        <v>89522053.484235555</v>
      </c>
    </row>
    <row r="64" spans="1:35" hidden="1">
      <c r="A64" s="87"/>
      <c r="B64" s="87"/>
      <c r="D64" s="87"/>
      <c r="F64" s="87"/>
      <c r="H64" s="87"/>
      <c r="J64" s="87"/>
      <c r="L64" s="87"/>
      <c r="N64" s="87"/>
      <c r="P64" s="87"/>
    </row>
    <row r="65" spans="1:17" hidden="1">
      <c r="A65" s="87">
        <v>7</v>
      </c>
      <c r="B65" s="87"/>
      <c r="C65" s="113" t="s">
        <v>66</v>
      </c>
      <c r="D65" s="87"/>
      <c r="E65" s="160">
        <v>0.11694251757309855</v>
      </c>
      <c r="F65" s="87"/>
      <c r="G65" s="160">
        <v>0.11694251757309855</v>
      </c>
      <c r="H65" s="87"/>
      <c r="I65" s="160">
        <v>0.11694251757309855</v>
      </c>
      <c r="J65" s="87"/>
      <c r="K65" s="160">
        <v>0.11694251757309855</v>
      </c>
      <c r="L65" s="87"/>
      <c r="M65" s="160">
        <v>0.11694251757309855</v>
      </c>
      <c r="N65" s="87"/>
      <c r="O65" s="160">
        <v>0.11694251757309855</v>
      </c>
      <c r="P65" s="87"/>
      <c r="Q65" s="160">
        <v>0.11694251757309855</v>
      </c>
    </row>
    <row r="66" spans="1:17" hidden="1">
      <c r="A66" s="87"/>
      <c r="B66" s="87"/>
      <c r="D66" s="87"/>
      <c r="F66" s="87"/>
      <c r="H66" s="87"/>
      <c r="J66" s="87"/>
      <c r="L66" s="87"/>
      <c r="N66" s="87"/>
      <c r="P66" s="87"/>
    </row>
    <row r="67" spans="1:17" hidden="1">
      <c r="A67" s="87">
        <v>8</v>
      </c>
      <c r="B67" s="87"/>
      <c r="C67" s="113" t="s">
        <v>67</v>
      </c>
      <c r="D67" s="87"/>
      <c r="E67" s="161">
        <v>1489430.2861257584</v>
      </c>
      <c r="F67" s="87"/>
      <c r="G67" s="161">
        <v>3793361.5330573437</v>
      </c>
      <c r="H67" s="87"/>
      <c r="I67" s="161">
        <v>6127015.3692262843</v>
      </c>
      <c r="J67" s="87"/>
      <c r="K67" s="161">
        <v>8541013.5408342723</v>
      </c>
      <c r="L67" s="87"/>
      <c r="M67" s="161">
        <v>11246883.667121386</v>
      </c>
      <c r="N67" s="87"/>
      <c r="O67" s="161">
        <v>10848658.429765867</v>
      </c>
      <c r="P67" s="87"/>
      <c r="Q67" s="161">
        <v>10468934.312760085</v>
      </c>
    </row>
    <row r="68" spans="1:17" hidden="1">
      <c r="A68" s="87"/>
      <c r="B68" s="87"/>
      <c r="D68" s="87"/>
      <c r="F68" s="87"/>
      <c r="H68" s="87"/>
      <c r="J68" s="87"/>
      <c r="L68" s="87"/>
      <c r="N68" s="87"/>
      <c r="P68" s="87"/>
    </row>
    <row r="69" spans="1:17" hidden="1">
      <c r="A69" s="87"/>
      <c r="B69" s="157" t="s">
        <v>68</v>
      </c>
      <c r="D69" s="87"/>
      <c r="F69" s="87"/>
      <c r="H69" s="87"/>
      <c r="J69" s="87"/>
      <c r="L69" s="87"/>
      <c r="N69" s="87"/>
      <c r="P69" s="87"/>
    </row>
    <row r="70" spans="1:17" hidden="1">
      <c r="A70" s="87">
        <v>9</v>
      </c>
      <c r="B70" s="87"/>
      <c r="C70" s="113" t="s">
        <v>0</v>
      </c>
      <c r="D70" s="87"/>
      <c r="E70" s="158">
        <v>277664.36160275922</v>
      </c>
      <c r="F70" s="87"/>
      <c r="G70" s="158">
        <v>698368.12754442729</v>
      </c>
      <c r="H70" s="87"/>
      <c r="I70" s="158">
        <v>1139542.4624462826</v>
      </c>
      <c r="J70" s="87"/>
      <c r="K70" s="158">
        <v>1618810.4452646221</v>
      </c>
      <c r="L70" s="87"/>
      <c r="M70" s="158">
        <v>2121828.7154749567</v>
      </c>
      <c r="N70" s="87"/>
      <c r="O70" s="158">
        <v>2121828.7154749562</v>
      </c>
      <c r="P70" s="87"/>
      <c r="Q70" s="158">
        <v>2121828.7154749562</v>
      </c>
    </row>
    <row r="71" spans="1:17" hidden="1">
      <c r="A71" s="87">
        <v>10</v>
      </c>
      <c r="B71" s="87"/>
      <c r="C71" s="113" t="s">
        <v>69</v>
      </c>
      <c r="D71" s="87"/>
      <c r="E71" s="159">
        <v>0</v>
      </c>
      <c r="F71" s="87"/>
      <c r="G71" s="159">
        <v>0</v>
      </c>
      <c r="H71" s="87"/>
      <c r="I71" s="159">
        <v>0</v>
      </c>
      <c r="J71" s="87"/>
      <c r="K71" s="159">
        <v>0</v>
      </c>
      <c r="L71" s="87"/>
      <c r="M71" s="159">
        <v>0</v>
      </c>
      <c r="N71" s="87"/>
      <c r="O71" s="159">
        <v>0</v>
      </c>
      <c r="P71" s="87"/>
      <c r="Q71" s="159">
        <v>0</v>
      </c>
    </row>
    <row r="72" spans="1:17" hidden="1">
      <c r="A72" s="87"/>
      <c r="B72" s="87"/>
      <c r="D72" s="87"/>
      <c r="E72" s="158"/>
      <c r="F72" s="87"/>
      <c r="G72" s="158"/>
      <c r="H72" s="87"/>
      <c r="I72" s="158"/>
      <c r="J72" s="87"/>
      <c r="K72" s="158"/>
      <c r="L72" s="87"/>
      <c r="M72" s="158"/>
      <c r="N72" s="87"/>
      <c r="O72" s="158"/>
      <c r="P72" s="87"/>
      <c r="Q72" s="158"/>
    </row>
    <row r="73" spans="1:17" hidden="1">
      <c r="A73" s="87">
        <v>11</v>
      </c>
      <c r="B73" s="87"/>
      <c r="C73" s="113" t="s">
        <v>70</v>
      </c>
      <c r="D73" s="87"/>
      <c r="E73" s="158">
        <v>277664.36160275922</v>
      </c>
      <c r="F73" s="87"/>
      <c r="G73" s="158">
        <v>698368.12754442729</v>
      </c>
      <c r="H73" s="87"/>
      <c r="I73" s="158">
        <v>1139542.4624462826</v>
      </c>
      <c r="J73" s="87"/>
      <c r="K73" s="158">
        <v>1618810.4452646221</v>
      </c>
      <c r="L73" s="87"/>
      <c r="M73" s="158">
        <v>2121828.7154749567</v>
      </c>
      <c r="N73" s="87"/>
      <c r="O73" s="158">
        <v>2121828.7154749562</v>
      </c>
      <c r="P73" s="87"/>
      <c r="Q73" s="158">
        <v>2121828.7154749562</v>
      </c>
    </row>
    <row r="74" spans="1:17" hidden="1">
      <c r="A74" s="87"/>
      <c r="B74" s="87"/>
      <c r="D74" s="87"/>
      <c r="F74" s="87"/>
      <c r="H74" s="87"/>
      <c r="J74" s="87"/>
      <c r="L74" s="87"/>
      <c r="N74" s="87"/>
      <c r="P74" s="87"/>
    </row>
    <row r="75" spans="1:17" ht="21" hidden="1" thickBot="1">
      <c r="A75" s="87">
        <v>12</v>
      </c>
      <c r="B75" s="157" t="s">
        <v>71</v>
      </c>
      <c r="D75" s="87"/>
      <c r="E75" s="162">
        <v>1767094.6477285177</v>
      </c>
      <c r="F75" s="87"/>
      <c r="G75" s="162">
        <v>4491729.6606017705</v>
      </c>
      <c r="H75" s="87"/>
      <c r="I75" s="162">
        <v>7266557.8316725669</v>
      </c>
      <c r="J75" s="87"/>
      <c r="K75" s="162">
        <v>10159823.986098895</v>
      </c>
      <c r="L75" s="87"/>
      <c r="M75" s="162">
        <v>13368712.382596344</v>
      </c>
      <c r="N75" s="87"/>
      <c r="O75" s="162">
        <v>12970487.145240823</v>
      </c>
      <c r="P75" s="87"/>
      <c r="Q75" s="162">
        <v>12590763.028235041</v>
      </c>
    </row>
    <row r="76" spans="1:17" ht="21" hidden="1" thickTop="1">
      <c r="A76" s="87"/>
      <c r="B76" s="87"/>
      <c r="D76" s="87"/>
      <c r="F76" s="87"/>
      <c r="H76" s="87"/>
      <c r="J76" s="87"/>
      <c r="L76" s="87"/>
      <c r="N76" s="87"/>
      <c r="P76" s="87"/>
    </row>
    <row r="77" spans="1:17" hidden="1">
      <c r="A77" s="87">
        <v>13</v>
      </c>
      <c r="B77" s="157" t="s">
        <v>104</v>
      </c>
      <c r="D77" s="87"/>
      <c r="E77" s="163">
        <v>1.4334866894633393E-2</v>
      </c>
      <c r="F77" s="87"/>
      <c r="G77" s="163">
        <v>3.6437406957329721E-2</v>
      </c>
      <c r="H77" s="87"/>
      <c r="I77" s="163">
        <v>5.8947119461359603E-2</v>
      </c>
      <c r="J77" s="87"/>
      <c r="K77" s="163">
        <v>8.2417613963599215E-2</v>
      </c>
      <c r="L77" s="87"/>
      <c r="M77" s="163">
        <v>0.10844847094268245</v>
      </c>
      <c r="N77" s="87"/>
      <c r="O77" s="163">
        <v>0.10521802384755199</v>
      </c>
      <c r="P77" s="87"/>
      <c r="Q77" s="163">
        <v>0.10213765988348415</v>
      </c>
    </row>
    <row r="78" spans="1:17" hidden="1">
      <c r="A78" s="87"/>
      <c r="B78" s="157"/>
      <c r="D78" s="87"/>
      <c r="E78" s="163"/>
      <c r="F78" s="87"/>
      <c r="G78" s="163"/>
      <c r="H78" s="87"/>
      <c r="I78" s="163"/>
      <c r="J78" s="87"/>
      <c r="K78" s="163"/>
      <c r="L78" s="87"/>
      <c r="M78" s="163"/>
      <c r="N78" s="87"/>
      <c r="O78" s="163"/>
      <c r="P78" s="87"/>
      <c r="Q78" s="163"/>
    </row>
    <row r="79" spans="1:17" hidden="1">
      <c r="A79" s="87"/>
      <c r="B79" s="87"/>
      <c r="D79" s="87"/>
      <c r="F79" s="87"/>
      <c r="H79" s="87"/>
      <c r="J79" s="87"/>
      <c r="L79" s="87"/>
      <c r="N79" s="87"/>
      <c r="P79" s="87"/>
    </row>
    <row r="80" spans="1:17" hidden="1">
      <c r="A80" s="87"/>
      <c r="B80" s="137" t="s">
        <v>81</v>
      </c>
      <c r="D80" s="87"/>
      <c r="F80" s="87"/>
      <c r="H80" s="87"/>
      <c r="J80" s="87"/>
      <c r="L80" s="87"/>
      <c r="N80" s="87"/>
      <c r="P80" s="87"/>
    </row>
    <row r="81" spans="1:17" hidden="1">
      <c r="A81" s="87">
        <v>1</v>
      </c>
      <c r="B81" s="87"/>
      <c r="C81" s="138" t="s">
        <v>75</v>
      </c>
      <c r="D81" s="87"/>
      <c r="E81" s="139">
        <v>0.34287003216711542</v>
      </c>
      <c r="F81" s="87"/>
      <c r="G81" s="139">
        <v>0.87153197775579549</v>
      </c>
      <c r="H81" s="87">
        <v>0</v>
      </c>
      <c r="I81" s="139">
        <v>1.4099329205101807</v>
      </c>
      <c r="J81" s="87">
        <v>0</v>
      </c>
      <c r="K81" s="139">
        <v>1.9713144292546896</v>
      </c>
      <c r="L81" s="87">
        <v>0</v>
      </c>
      <c r="M81" s="139">
        <v>2.5939362390949485</v>
      </c>
      <c r="N81" s="87">
        <v>0</v>
      </c>
      <c r="O81" s="139">
        <v>2.516668448081401</v>
      </c>
      <c r="P81" s="87">
        <v>0</v>
      </c>
      <c r="Q81" s="139">
        <v>2.4429904363349668</v>
      </c>
    </row>
    <row r="82" spans="1:17" hidden="1">
      <c r="A82" s="87">
        <v>2</v>
      </c>
      <c r="B82" s="87"/>
      <c r="C82" s="138" t="s">
        <v>76</v>
      </c>
      <c r="D82" s="87"/>
      <c r="E82" s="139">
        <v>1.6944529633847505</v>
      </c>
      <c r="F82" s="87"/>
      <c r="G82" s="139">
        <v>4.3070837455782653</v>
      </c>
      <c r="H82" s="87">
        <v>0</v>
      </c>
      <c r="I82" s="139">
        <v>6.96784434682748</v>
      </c>
      <c r="J82" s="87">
        <v>0</v>
      </c>
      <c r="K82" s="139">
        <v>9.7421741856566193</v>
      </c>
      <c r="L82" s="87">
        <v>0</v>
      </c>
      <c r="M82" s="139">
        <v>12.819151675009179</v>
      </c>
      <c r="N82" s="87">
        <v>0</v>
      </c>
      <c r="O82" s="139">
        <v>12.437296671147879</v>
      </c>
      <c r="P82" s="87">
        <v>0</v>
      </c>
      <c r="Q82" s="139">
        <v>12.073182244025265</v>
      </c>
    </row>
    <row r="83" spans="1:17" hidden="1">
      <c r="A83" s="87">
        <v>3</v>
      </c>
      <c r="B83" s="87"/>
      <c r="C83" s="138" t="s">
        <v>77</v>
      </c>
      <c r="D83" s="87"/>
      <c r="E83" s="139">
        <v>13.615909852857261</v>
      </c>
      <c r="F83" s="87"/>
      <c r="G83" s="139">
        <v>34.609909673358267</v>
      </c>
      <c r="H83" s="87">
        <v>0</v>
      </c>
      <c r="I83" s="139">
        <v>55.990660434521367</v>
      </c>
      <c r="J83" s="87">
        <v>0</v>
      </c>
      <c r="K83" s="139">
        <v>78.284005722862773</v>
      </c>
      <c r="L83" s="87">
        <v>0</v>
      </c>
      <c r="M83" s="139">
        <v>103.0092999739387</v>
      </c>
      <c r="N83" s="87">
        <v>0</v>
      </c>
      <c r="O83" s="139">
        <v>99.940874103295414</v>
      </c>
      <c r="P83" s="87">
        <v>0</v>
      </c>
      <c r="Q83" s="139">
        <v>97.015004030205318</v>
      </c>
    </row>
    <row r="84" spans="1:17" hidden="1">
      <c r="A84" s="87">
        <v>4</v>
      </c>
      <c r="B84" s="87"/>
      <c r="C84" s="138" t="s">
        <v>78</v>
      </c>
      <c r="D84" s="87"/>
      <c r="E84" s="139">
        <v>75.086244159980552</v>
      </c>
      <c r="F84" s="87"/>
      <c r="G84" s="139">
        <v>190.8596749076828</v>
      </c>
      <c r="H84" s="87">
        <v>0</v>
      </c>
      <c r="I84" s="139">
        <v>308.76588090679894</v>
      </c>
      <c r="J84" s="87">
        <v>0</v>
      </c>
      <c r="K84" s="139">
        <v>431.70467717915284</v>
      </c>
      <c r="L84" s="87">
        <v>0</v>
      </c>
      <c r="M84" s="139">
        <v>568.05468985745085</v>
      </c>
      <c r="N84" s="87">
        <v>0</v>
      </c>
      <c r="O84" s="139">
        <v>551.13356034060303</v>
      </c>
      <c r="P84" s="87">
        <v>0</v>
      </c>
      <c r="Q84" s="139">
        <v>534.99856847721901</v>
      </c>
    </row>
    <row r="85" spans="1:17" hidden="1">
      <c r="A85" s="87"/>
      <c r="B85" s="87"/>
      <c r="C85" s="164"/>
      <c r="D85" s="87"/>
      <c r="F85" s="87"/>
      <c r="H85" s="87"/>
      <c r="J85" s="87"/>
      <c r="L85" s="87"/>
      <c r="N85" s="87"/>
      <c r="P85" s="87"/>
    </row>
    <row r="86" spans="1:17" hidden="1">
      <c r="A86" s="87"/>
      <c r="B86" s="141" t="s">
        <v>106</v>
      </c>
      <c r="C86" s="142" t="s">
        <v>116</v>
      </c>
      <c r="D86" s="87"/>
      <c r="F86" s="87"/>
      <c r="H86" s="87"/>
      <c r="J86" s="87"/>
      <c r="L86" s="87"/>
      <c r="N86" s="87"/>
      <c r="P86" s="87"/>
    </row>
    <row r="87" spans="1:17" hidden="1">
      <c r="A87" s="87"/>
      <c r="B87" s="87"/>
      <c r="C87" s="142" t="s">
        <v>117</v>
      </c>
      <c r="D87" s="87"/>
      <c r="F87" s="87"/>
      <c r="H87" s="87"/>
      <c r="J87" s="87"/>
      <c r="L87" s="87"/>
      <c r="N87" s="87"/>
      <c r="P87" s="87"/>
    </row>
    <row r="88" spans="1:17" hidden="1"/>
    <row r="89" spans="1:17" hidden="1"/>
    <row r="90" spans="1:17" hidden="1"/>
    <row r="91" spans="1:17" hidden="1"/>
    <row r="92" spans="1:17" hidden="1"/>
    <row r="93" spans="1:17" hidden="1"/>
    <row r="94" spans="1:17" hidden="1"/>
    <row r="95" spans="1:17" hidden="1"/>
    <row r="96" spans="1:17" hidden="1"/>
    <row r="97" hidden="1"/>
    <row r="98" hidden="1"/>
    <row r="99" hidden="1"/>
    <row r="100" hidden="1"/>
    <row r="101" hidden="1"/>
    <row r="102" hidden="1"/>
    <row r="103" hidden="1"/>
    <row r="104" hidden="1"/>
    <row r="105" hidden="1"/>
    <row r="106" hidden="1"/>
    <row r="107" hidden="1"/>
    <row r="108" hidden="1"/>
    <row r="109" hidden="1"/>
  </sheetData>
  <mergeCells count="5">
    <mergeCell ref="AB5:AI5"/>
    <mergeCell ref="AB50:AI50"/>
    <mergeCell ref="A1:O1"/>
    <mergeCell ref="A2:O2"/>
    <mergeCell ref="A3:O3"/>
  </mergeCells>
  <printOptions horizontalCentered="1"/>
  <pageMargins left="0.5" right="0.62187499999999996" top="1" bottom="0.75" header="0.3" footer="0.3"/>
  <pageSetup scale="61" orientation="landscape" r:id="rId1"/>
  <headerFooter>
    <oddFooter>&amp;R&amp;"Times New Roman,Bold"&amp;14Bellar Exhibit 2
Page &amp;P of &amp;N</oddFooter>
  </headerFooter>
  <rowBreaks count="1" manualBreakCount="1">
    <brk id="45" max="16383" man="1"/>
  </rowBreaks>
  <colBreaks count="1" manualBreakCount="1">
    <brk id="17" max="8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48576"/>
  <sheetViews>
    <sheetView zoomScale="55" zoomScaleNormal="55" zoomScalePageLayoutView="50" workbookViewId="0">
      <selection activeCell="G56" sqref="G56"/>
    </sheetView>
  </sheetViews>
  <sheetFormatPr defaultRowHeight="20.25"/>
  <cols>
    <col min="1" max="1" width="11.140625" style="341" customWidth="1"/>
    <col min="2" max="2" width="11.28515625" style="341" customWidth="1"/>
    <col min="3" max="3" width="68.7109375" style="341" customWidth="1"/>
    <col min="4" max="4" width="8.42578125" style="341" customWidth="1"/>
    <col min="5" max="5" width="19.140625" style="341" customWidth="1"/>
    <col min="6" max="6" width="2.7109375" style="341" customWidth="1"/>
    <col min="7" max="7" width="19.140625" style="341" customWidth="1"/>
    <col min="8" max="8" width="2.7109375" style="341" customWidth="1"/>
    <col min="9" max="9" width="20.7109375" style="341" customWidth="1"/>
    <col min="10" max="10" width="2.7109375" style="341" customWidth="1"/>
    <col min="11" max="11" width="19" style="341" customWidth="1"/>
    <col min="12" max="12" width="2.7109375" style="341" customWidth="1"/>
    <col min="13" max="13" width="19.5703125" style="341" customWidth="1"/>
    <col min="14" max="14" width="2.7109375" style="341" customWidth="1"/>
    <col min="15" max="15" width="19.140625" style="341" customWidth="1"/>
    <col min="16" max="16" width="2.7109375" style="341" customWidth="1"/>
    <col min="17" max="17" width="19" style="341" customWidth="1"/>
    <col min="18" max="18" width="2.7109375" style="341" customWidth="1"/>
    <col min="19" max="19" width="19.140625" style="341" customWidth="1"/>
    <col min="20" max="20" width="2.7109375" style="341" customWidth="1"/>
    <col min="21" max="21" width="22.5703125" style="341" bestFit="1" customWidth="1"/>
    <col min="22" max="22" width="2.7109375" style="341" customWidth="1"/>
    <col min="23" max="23" width="22.7109375" style="341" bestFit="1" customWidth="1"/>
    <col min="24" max="24" width="2.7109375" style="341" customWidth="1"/>
    <col min="25" max="25" width="22.7109375" style="341" bestFit="1" customWidth="1"/>
    <col min="26" max="26" width="2.7109375" style="341" customWidth="1"/>
    <col min="27" max="27" width="23.7109375" style="341" bestFit="1" customWidth="1"/>
    <col min="28" max="28" width="2.7109375" style="341" customWidth="1"/>
    <col min="29" max="29" width="21.7109375" style="341" bestFit="1" customWidth="1"/>
    <col min="30" max="30" width="2.7109375" style="341" customWidth="1"/>
    <col min="31" max="31" width="21.42578125" style="341" customWidth="1"/>
    <col min="32" max="32" width="2.7109375" style="341" customWidth="1"/>
    <col min="33" max="33" width="13.7109375" style="341" hidden="1" customWidth="1"/>
    <col min="34" max="34" width="18.7109375" style="341" customWidth="1"/>
    <col min="35" max="35" width="18" style="341" customWidth="1"/>
    <col min="36" max="36" width="17" style="341" customWidth="1"/>
    <col min="37" max="37" width="14.7109375" style="341" bestFit="1" customWidth="1"/>
    <col min="38" max="38" width="14.5703125" style="341" bestFit="1" customWidth="1"/>
    <col min="39" max="39" width="13.140625" style="341" bestFit="1" customWidth="1"/>
    <col min="40" max="40" width="14" style="341" customWidth="1"/>
    <col min="41" max="41" width="15.5703125" style="341" customWidth="1"/>
    <col min="42" max="42" width="14.42578125" style="341" bestFit="1" customWidth="1"/>
    <col min="43" max="43" width="14.85546875" style="341" customWidth="1"/>
    <col min="44" max="44" width="15.7109375" style="341" customWidth="1"/>
    <col min="45" max="45" width="13.42578125" style="341" customWidth="1"/>
    <col min="46" max="46" width="12.140625" style="341" bestFit="1" customWidth="1"/>
    <col min="47" max="47" width="16.5703125" style="341" customWidth="1"/>
    <col min="48" max="48" width="14.42578125" style="341" customWidth="1"/>
    <col min="49" max="49" width="15.140625" style="341" customWidth="1"/>
    <col min="50" max="50" width="9.42578125" style="341" bestFit="1" customWidth="1"/>
    <col min="51" max="51" width="12.7109375" style="341" customWidth="1"/>
    <col min="52" max="16384" width="9.140625" style="341"/>
  </cols>
  <sheetData>
    <row r="1" spans="1:51">
      <c r="A1" s="546" t="s">
        <v>84</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row>
    <row r="2" spans="1:51">
      <c r="A2" s="546" t="s">
        <v>431</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30"/>
    </row>
    <row r="3" spans="1:51">
      <c r="A3" s="546" t="s">
        <v>145</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row>
    <row r="4" spans="1:51" s="225" customFormat="1">
      <c r="A4" s="342"/>
      <c r="E4" s="222"/>
      <c r="AJ4" s="117"/>
      <c r="AK4" s="117"/>
      <c r="AL4" s="117"/>
      <c r="AM4" s="117"/>
      <c r="AN4" s="117"/>
      <c r="AO4" s="117"/>
      <c r="AP4" s="117"/>
      <c r="AQ4" s="117"/>
      <c r="AR4" s="118"/>
      <c r="AS4" s="117"/>
      <c r="AT4" s="117"/>
      <c r="AU4" s="117"/>
      <c r="AV4" s="117"/>
      <c r="AW4" s="117"/>
      <c r="AX4" s="117"/>
      <c r="AY4" s="117"/>
    </row>
    <row r="5" spans="1:51" s="225" customFormat="1">
      <c r="E5" s="547" t="s">
        <v>432</v>
      </c>
      <c r="F5" s="548"/>
      <c r="G5" s="548"/>
      <c r="H5" s="548"/>
      <c r="I5" s="548"/>
      <c r="J5" s="548"/>
      <c r="K5" s="548"/>
      <c r="L5" s="548"/>
      <c r="M5" s="548"/>
      <c r="N5" s="548"/>
      <c r="O5" s="548"/>
      <c r="P5" s="548"/>
      <c r="Q5" s="549"/>
      <c r="S5" s="550" t="s">
        <v>416</v>
      </c>
      <c r="T5" s="551"/>
      <c r="U5" s="551"/>
      <c r="V5" s="551"/>
      <c r="W5" s="551"/>
      <c r="X5" s="551"/>
      <c r="Y5" s="551"/>
      <c r="Z5" s="551"/>
      <c r="AA5" s="551"/>
      <c r="AB5" s="551"/>
      <c r="AC5" s="551"/>
      <c r="AD5" s="551"/>
      <c r="AE5" s="552"/>
      <c r="AJ5" s="119"/>
      <c r="AK5" s="118"/>
      <c r="AL5" s="118"/>
      <c r="AM5" s="118"/>
      <c r="AN5" s="118"/>
      <c r="AO5" s="118"/>
      <c r="AP5" s="118"/>
      <c r="AQ5" s="118"/>
      <c r="AR5" s="544"/>
      <c r="AS5" s="544"/>
      <c r="AT5" s="544"/>
      <c r="AU5" s="544"/>
      <c r="AV5" s="544"/>
      <c r="AW5" s="544"/>
      <c r="AX5" s="544"/>
      <c r="AY5" s="544"/>
    </row>
    <row r="6" spans="1:51" s="225" customFormat="1">
      <c r="A6" s="389" t="s">
        <v>5</v>
      </c>
      <c r="B6" s="226"/>
      <c r="D6" s="226"/>
      <c r="E6" s="425">
        <v>2016</v>
      </c>
      <c r="F6" s="419"/>
      <c r="G6" s="416">
        <v>2017</v>
      </c>
      <c r="H6" s="416"/>
      <c r="I6" s="416">
        <f>$G$6</f>
        <v>2017</v>
      </c>
      <c r="J6" s="416"/>
      <c r="K6" s="416">
        <f>$G$6</f>
        <v>2017</v>
      </c>
      <c r="L6" s="416"/>
      <c r="M6" s="416">
        <f>$G$6</f>
        <v>2017</v>
      </c>
      <c r="N6" s="416"/>
      <c r="O6" s="416">
        <f>$G$6</f>
        <v>2017</v>
      </c>
      <c r="P6" s="419"/>
      <c r="Q6" s="426">
        <f>$G$6</f>
        <v>2017</v>
      </c>
      <c r="R6" s="226"/>
      <c r="S6" s="447">
        <f>$G$6</f>
        <v>2017</v>
      </c>
      <c r="T6" s="273"/>
      <c r="U6" s="415">
        <f>$G$6</f>
        <v>2017</v>
      </c>
      <c r="V6" s="273"/>
      <c r="W6" s="415">
        <f>$G$6</f>
        <v>2017</v>
      </c>
      <c r="X6" s="273"/>
      <c r="Y6" s="415">
        <f>$G$6</f>
        <v>2017</v>
      </c>
      <c r="Z6" s="273"/>
      <c r="AA6" s="415">
        <f>$G$6</f>
        <v>2017</v>
      </c>
      <c r="AB6" s="273"/>
      <c r="AC6" s="415">
        <f>$G$6</f>
        <v>2017</v>
      </c>
      <c r="AD6" s="273"/>
      <c r="AE6" s="448">
        <v>2017</v>
      </c>
      <c r="AF6" s="226"/>
      <c r="AG6" s="391">
        <v>2018</v>
      </c>
      <c r="AJ6" s="391"/>
      <c r="AK6" s="122"/>
      <c r="AL6" s="391"/>
      <c r="AM6" s="391"/>
      <c r="AN6" s="391"/>
      <c r="AO6" s="391"/>
      <c r="AP6" s="391"/>
      <c r="AQ6" s="391"/>
      <c r="AR6" s="391"/>
      <c r="AS6" s="391"/>
      <c r="AT6" s="391"/>
      <c r="AU6" s="122"/>
      <c r="AV6" s="391"/>
      <c r="AW6" s="391"/>
      <c r="AX6" s="391"/>
      <c r="AY6" s="391"/>
    </row>
    <row r="7" spans="1:51" s="225" customFormat="1">
      <c r="A7" s="343" t="s">
        <v>6</v>
      </c>
      <c r="B7" s="226"/>
      <c r="C7" s="343" t="s">
        <v>7</v>
      </c>
      <c r="D7" s="226"/>
      <c r="E7" s="427" t="s">
        <v>190</v>
      </c>
      <c r="F7" s="419"/>
      <c r="G7" s="417" t="s">
        <v>178</v>
      </c>
      <c r="H7" s="416"/>
      <c r="I7" s="417" t="s">
        <v>181</v>
      </c>
      <c r="J7" s="416"/>
      <c r="K7" s="417" t="s">
        <v>182</v>
      </c>
      <c r="L7" s="416"/>
      <c r="M7" s="417" t="s">
        <v>183</v>
      </c>
      <c r="N7" s="416"/>
      <c r="O7" s="417" t="s">
        <v>168</v>
      </c>
      <c r="P7" s="419"/>
      <c r="Q7" s="428" t="s">
        <v>184</v>
      </c>
      <c r="R7" s="226"/>
      <c r="S7" s="449" t="s">
        <v>185</v>
      </c>
      <c r="T7" s="273"/>
      <c r="U7" s="344" t="s">
        <v>186</v>
      </c>
      <c r="V7" s="273"/>
      <c r="W7" s="344" t="s">
        <v>187</v>
      </c>
      <c r="X7" s="273"/>
      <c r="Y7" s="344" t="s">
        <v>188</v>
      </c>
      <c r="Z7" s="273"/>
      <c r="AA7" s="344" t="s">
        <v>189</v>
      </c>
      <c r="AB7" s="273"/>
      <c r="AC7" s="344" t="s">
        <v>190</v>
      </c>
      <c r="AD7" s="273"/>
      <c r="AE7" s="450" t="s">
        <v>415</v>
      </c>
      <c r="AF7" s="226"/>
      <c r="AG7" s="344" t="s">
        <v>39</v>
      </c>
      <c r="AJ7" s="391"/>
      <c r="AK7" s="391"/>
      <c r="AL7" s="391"/>
      <c r="AM7" s="391"/>
      <c r="AN7" s="391"/>
      <c r="AO7" s="391"/>
      <c r="AP7" s="391"/>
      <c r="AQ7" s="391"/>
      <c r="AR7" s="391"/>
      <c r="AS7" s="391"/>
      <c r="AT7" s="391"/>
      <c r="AU7" s="122"/>
      <c r="AV7" s="391"/>
      <c r="AW7" s="391"/>
      <c r="AX7" s="391"/>
      <c r="AY7" s="391"/>
    </row>
    <row r="8" spans="1:51" s="225" customFormat="1">
      <c r="A8" s="389"/>
      <c r="B8" s="226"/>
      <c r="C8" s="345">
        <v>-1</v>
      </c>
      <c r="D8" s="226"/>
      <c r="E8" s="429">
        <v>-2</v>
      </c>
      <c r="F8" s="419"/>
      <c r="G8" s="430">
        <v>-3</v>
      </c>
      <c r="H8" s="419"/>
      <c r="I8" s="430">
        <v>-4</v>
      </c>
      <c r="J8" s="419"/>
      <c r="K8" s="430">
        <v>-5</v>
      </c>
      <c r="L8" s="419"/>
      <c r="M8" s="430">
        <v>-6</v>
      </c>
      <c r="N8" s="419"/>
      <c r="O8" s="430">
        <v>-7</v>
      </c>
      <c r="P8" s="419"/>
      <c r="Q8" s="431">
        <v>-8</v>
      </c>
      <c r="R8" s="226"/>
      <c r="S8" s="451">
        <v>-9</v>
      </c>
      <c r="T8" s="273"/>
      <c r="U8" s="452">
        <v>-10</v>
      </c>
      <c r="V8" s="273"/>
      <c r="W8" s="452">
        <v>-11</v>
      </c>
      <c r="X8" s="273"/>
      <c r="Y8" s="452">
        <v>-12</v>
      </c>
      <c r="Z8" s="273"/>
      <c r="AA8" s="452">
        <v>-13</v>
      </c>
      <c r="AB8" s="273"/>
      <c r="AC8" s="452">
        <v>-14</v>
      </c>
      <c r="AD8" s="273"/>
      <c r="AE8" s="453">
        <v>-15</v>
      </c>
      <c r="AF8" s="226"/>
      <c r="AG8" s="345">
        <v>-8</v>
      </c>
      <c r="AJ8" s="391"/>
      <c r="AK8" s="117"/>
      <c r="AL8" s="117"/>
      <c r="AM8" s="117"/>
      <c r="AN8" s="117"/>
      <c r="AO8" s="117"/>
      <c r="AP8" s="117"/>
      <c r="AQ8" s="117"/>
      <c r="AR8" s="117"/>
      <c r="AS8" s="117"/>
      <c r="AT8" s="117"/>
      <c r="AU8" s="117"/>
      <c r="AV8" s="117"/>
      <c r="AW8" s="117"/>
      <c r="AX8" s="117"/>
      <c r="AY8" s="117"/>
    </row>
    <row r="9" spans="1:51" s="225" customFormat="1">
      <c r="A9" s="226"/>
      <c r="B9" s="226"/>
      <c r="D9" s="226"/>
      <c r="E9" s="432"/>
      <c r="F9" s="419"/>
      <c r="G9" s="433"/>
      <c r="H9" s="419"/>
      <c r="I9" s="433"/>
      <c r="J9" s="419"/>
      <c r="K9" s="433"/>
      <c r="L9" s="419"/>
      <c r="M9" s="433"/>
      <c r="N9" s="419"/>
      <c r="O9" s="433"/>
      <c r="P9" s="419"/>
      <c r="Q9" s="434"/>
      <c r="R9" s="226"/>
      <c r="S9" s="454"/>
      <c r="T9" s="273"/>
      <c r="U9" s="117"/>
      <c r="V9" s="273"/>
      <c r="W9" s="117"/>
      <c r="X9" s="273"/>
      <c r="Y9" s="117"/>
      <c r="Z9" s="273"/>
      <c r="AA9" s="117"/>
      <c r="AB9" s="273"/>
      <c r="AC9" s="117"/>
      <c r="AD9" s="273"/>
      <c r="AE9" s="455"/>
      <c r="AF9" s="226"/>
      <c r="AJ9" s="391"/>
      <c r="AK9" s="127"/>
      <c r="AL9" s="127"/>
      <c r="AM9" s="127"/>
      <c r="AN9" s="127"/>
      <c r="AO9" s="127"/>
      <c r="AP9" s="127"/>
      <c r="AQ9" s="128"/>
      <c r="AR9" s="127"/>
      <c r="AS9" s="128"/>
      <c r="AT9" s="128"/>
      <c r="AU9" s="128"/>
      <c r="AV9" s="127"/>
      <c r="AW9" s="127"/>
      <c r="AX9" s="127"/>
      <c r="AY9" s="127"/>
    </row>
    <row r="10" spans="1:51" s="225" customFormat="1">
      <c r="A10" s="226"/>
      <c r="B10" s="346" t="s">
        <v>60</v>
      </c>
      <c r="D10" s="226"/>
      <c r="E10" s="432"/>
      <c r="F10" s="419"/>
      <c r="G10" s="433"/>
      <c r="H10" s="419"/>
      <c r="I10" s="433"/>
      <c r="J10" s="419"/>
      <c r="K10" s="433"/>
      <c r="L10" s="419"/>
      <c r="M10" s="433"/>
      <c r="N10" s="419"/>
      <c r="O10" s="433"/>
      <c r="P10" s="419"/>
      <c r="Q10" s="434"/>
      <c r="R10" s="226"/>
      <c r="S10" s="454"/>
      <c r="T10" s="273"/>
      <c r="U10" s="117"/>
      <c r="V10" s="273"/>
      <c r="W10" s="117"/>
      <c r="X10" s="273"/>
      <c r="Y10" s="117"/>
      <c r="Z10" s="273"/>
      <c r="AA10" s="117"/>
      <c r="AB10" s="273"/>
      <c r="AC10" s="117"/>
      <c r="AD10" s="273"/>
      <c r="AE10" s="455"/>
      <c r="AF10" s="226"/>
      <c r="AJ10" s="391"/>
      <c r="AK10" s="127"/>
      <c r="AL10" s="127"/>
      <c r="AM10" s="127"/>
      <c r="AN10" s="127"/>
      <c r="AO10" s="127"/>
      <c r="AP10" s="127"/>
      <c r="AQ10" s="128"/>
      <c r="AR10" s="127"/>
      <c r="AS10" s="127"/>
      <c r="AT10" s="127"/>
      <c r="AU10" s="128"/>
      <c r="AV10" s="127"/>
      <c r="AW10" s="127"/>
      <c r="AX10" s="127"/>
      <c r="AY10" s="127"/>
    </row>
    <row r="11" spans="1:51" s="225" customFormat="1">
      <c r="A11" s="226">
        <v>1</v>
      </c>
      <c r="B11" s="226"/>
      <c r="C11" s="347" t="s">
        <v>61</v>
      </c>
      <c r="D11" s="226"/>
      <c r="E11" s="435">
        <v>218673518.64999992</v>
      </c>
      <c r="F11" s="419"/>
      <c r="G11" s="422">
        <v>221555022.26999992</v>
      </c>
      <c r="H11" s="419"/>
      <c r="I11" s="422">
        <v>224484281.51999995</v>
      </c>
      <c r="J11" s="419"/>
      <c r="K11" s="422">
        <v>228235660.75999993</v>
      </c>
      <c r="L11" s="419"/>
      <c r="M11" s="422">
        <v>232266198.41999993</v>
      </c>
      <c r="N11" s="419"/>
      <c r="O11" s="422">
        <v>236524388.05999991</v>
      </c>
      <c r="P11" s="419"/>
      <c r="Q11" s="436">
        <v>240904618.2599999</v>
      </c>
      <c r="R11" s="226"/>
      <c r="S11" s="456">
        <f>'201707 Bk Depr'!$R25</f>
        <v>4363155.13</v>
      </c>
      <c r="T11" s="273"/>
      <c r="U11" s="247">
        <f>'201708 Bk Depr'!$R25</f>
        <v>9101493.8399999999</v>
      </c>
      <c r="V11" s="273"/>
      <c r="W11" s="247">
        <f>'201709 Bk Depr'!$R25</f>
        <v>13379537.209999999</v>
      </c>
      <c r="X11" s="273"/>
      <c r="Y11" s="247">
        <f>'201710 Bk Depr'!$R25</f>
        <v>17648583.809999999</v>
      </c>
      <c r="Z11" s="273"/>
      <c r="AA11" s="247">
        <f>'201711 Bk Depr'!$R25</f>
        <v>21546935.890000001</v>
      </c>
      <c r="AB11" s="273"/>
      <c r="AC11" s="247">
        <f>'201712 Bk Depr'!$R25</f>
        <v>24936966.640000001</v>
      </c>
      <c r="AD11" s="273"/>
      <c r="AE11" s="457">
        <f>SUM(S11:AC11)/7</f>
        <v>12996667.502857143</v>
      </c>
      <c r="AF11" s="348"/>
      <c r="AG11" s="231">
        <v>234200099.77730012</v>
      </c>
      <c r="AJ11" s="391"/>
      <c r="AK11" s="127"/>
      <c r="AL11" s="127"/>
      <c r="AM11" s="127"/>
      <c r="AN11" s="127"/>
      <c r="AO11" s="127"/>
      <c r="AP11" s="127"/>
      <c r="AQ11" s="128"/>
      <c r="AR11" s="127"/>
      <c r="AS11" s="127"/>
      <c r="AT11" s="127"/>
      <c r="AU11" s="128"/>
      <c r="AV11" s="127"/>
      <c r="AW11" s="127"/>
      <c r="AX11" s="127"/>
      <c r="AY11" s="127"/>
    </row>
    <row r="12" spans="1:51" s="225" customFormat="1">
      <c r="A12" s="226">
        <v>2</v>
      </c>
      <c r="B12" s="226"/>
      <c r="C12" s="225" t="s">
        <v>23</v>
      </c>
      <c r="D12" s="226"/>
      <c r="E12" s="435">
        <v>4540286.8899999997</v>
      </c>
      <c r="F12" s="419"/>
      <c r="G12" s="422">
        <v>4642448.26</v>
      </c>
      <c r="H12" s="419"/>
      <c r="I12" s="422">
        <v>4749273.92</v>
      </c>
      <c r="J12" s="419"/>
      <c r="K12" s="422">
        <v>4859999.8599999994</v>
      </c>
      <c r="L12" s="419"/>
      <c r="M12" s="422">
        <v>4969441.51</v>
      </c>
      <c r="N12" s="419"/>
      <c r="O12" s="422">
        <v>5089001.5799999991</v>
      </c>
      <c r="P12" s="419"/>
      <c r="Q12" s="436">
        <v>5209606.8599999994</v>
      </c>
      <c r="R12" s="226"/>
      <c r="S12" s="456">
        <f>'201707 Bk Depr'!$R31</f>
        <v>98875.65</v>
      </c>
      <c r="T12" s="273"/>
      <c r="U12" s="247">
        <f>'201708 Bk Depr'!$R31</f>
        <v>208709.73</v>
      </c>
      <c r="V12" s="273"/>
      <c r="W12" s="247">
        <f>'201709 Bk Depr'!$R31</f>
        <v>318133.18</v>
      </c>
      <c r="X12" s="273"/>
      <c r="Y12" s="247">
        <f>'201710 Bk Depr'!$R31</f>
        <v>423331.62</v>
      </c>
      <c r="Z12" s="273"/>
      <c r="AA12" s="247">
        <f>'201711 Bk Depr'!$R31</f>
        <v>528611.08000000007</v>
      </c>
      <c r="AB12" s="273"/>
      <c r="AC12" s="247">
        <f>'201712 Bk Depr'!$R31</f>
        <v>635962.4</v>
      </c>
      <c r="AD12" s="273"/>
      <c r="AE12" s="457">
        <f t="shared" ref="AE12:AE13" si="0">SUM(S12:AC12)/7</f>
        <v>316231.95142857142</v>
      </c>
      <c r="AF12" s="226"/>
      <c r="AG12" s="231">
        <v>12462268</v>
      </c>
      <c r="AJ12" s="391"/>
      <c r="AK12" s="127"/>
      <c r="AL12" s="127"/>
      <c r="AM12" s="127"/>
      <c r="AN12" s="127"/>
      <c r="AO12" s="127"/>
      <c r="AP12" s="127"/>
      <c r="AQ12" s="128"/>
      <c r="AR12" s="127"/>
      <c r="AS12" s="127"/>
      <c r="AT12" s="127"/>
      <c r="AU12" s="128"/>
      <c r="AV12" s="127"/>
      <c r="AW12" s="127"/>
      <c r="AX12" s="127"/>
      <c r="AY12" s="127"/>
    </row>
    <row r="13" spans="1:51" s="225" customFormat="1">
      <c r="A13" s="226">
        <v>3</v>
      </c>
      <c r="B13" s="226"/>
      <c r="C13" s="225" t="s">
        <v>62</v>
      </c>
      <c r="D13" s="226"/>
      <c r="E13" s="437">
        <v>-11624581.388949178</v>
      </c>
      <c r="F13" s="419"/>
      <c r="G13" s="418">
        <v>-12223718.714747511</v>
      </c>
      <c r="H13" s="420"/>
      <c r="I13" s="418">
        <v>-12830571.515023053</v>
      </c>
      <c r="J13" s="421"/>
      <c r="K13" s="418">
        <v>-13446162.154084053</v>
      </c>
      <c r="L13" s="421"/>
      <c r="M13" s="418">
        <v>-14071952.10238922</v>
      </c>
      <c r="N13" s="421"/>
      <c r="O13" s="418">
        <v>-14708754.916368136</v>
      </c>
      <c r="P13" s="421"/>
      <c r="Q13" s="438">
        <v>-15357043.41514772</v>
      </c>
      <c r="R13" s="388"/>
      <c r="S13" s="458">
        <f>(-'Cap&amp;OpEx 2017'!C$22-'201707 Bk Depr'!$N17-'201707 Bk Depr'!$J17)</f>
        <v>-4866.0633067263343</v>
      </c>
      <c r="T13" s="388"/>
      <c r="U13" s="232">
        <f>(-'Cap&amp;OpEx 2017'!D$22-'201708 Bk Depr'!$N17-'201708 Bk Depr'!$J17)+S13</f>
        <v>-19952.236717210002</v>
      </c>
      <c r="V13" s="388"/>
      <c r="W13" s="232">
        <f>(-'Cap&amp;OpEx 2017'!E$22-'201709 Bk Depr'!$N17-'201709 Bk Depr'!$J17)+U13</f>
        <v>-45245.240612178342</v>
      </c>
      <c r="X13" s="388"/>
      <c r="Y13" s="232">
        <f>(-'Cap&amp;OpEx 2017'!F$22-'201710 Bk Depr'!$N17-'201710 Bk Depr'!$J17)+W13</f>
        <v>-80386.553102647013</v>
      </c>
      <c r="Z13" s="388"/>
      <c r="AA13" s="232">
        <f>(-'Cap&amp;OpEx 2017'!G$22-'201711 Bk Depr'!$N17-'201711 Bk Depr'!$J17)+Y13</f>
        <v>-125127.28778588702</v>
      </c>
      <c r="AB13" s="388"/>
      <c r="AC13" s="232">
        <f>(-'Cap&amp;OpEx 2017'!H$22-'201712 Bk Depr'!$N17-'201712 Bk Depr'!$J17)+AA13</f>
        <v>-178439.14300149004</v>
      </c>
      <c r="AD13" s="273"/>
      <c r="AE13" s="459">
        <f t="shared" si="0"/>
        <v>-64859.503503734108</v>
      </c>
      <c r="AF13" s="226"/>
      <c r="AG13" s="232">
        <v>-3293494.20895309</v>
      </c>
      <c r="AJ13" s="391"/>
      <c r="AK13" s="127"/>
      <c r="AL13" s="127"/>
      <c r="AM13" s="127"/>
      <c r="AN13" s="127"/>
      <c r="AO13" s="127"/>
      <c r="AP13" s="127"/>
      <c r="AQ13" s="128"/>
      <c r="AR13" s="127"/>
      <c r="AS13" s="127"/>
      <c r="AT13" s="127"/>
      <c r="AU13" s="128"/>
      <c r="AV13" s="127"/>
      <c r="AW13" s="127"/>
      <c r="AX13" s="127"/>
      <c r="AY13" s="127"/>
    </row>
    <row r="14" spans="1:51" s="225" customFormat="1">
      <c r="A14" s="226">
        <v>4</v>
      </c>
      <c r="B14" s="226"/>
      <c r="C14" s="225" t="s">
        <v>63</v>
      </c>
      <c r="D14" s="226"/>
      <c r="E14" s="435">
        <v>211589224.15105072</v>
      </c>
      <c r="F14" s="419"/>
      <c r="G14" s="422">
        <v>213973751.81525239</v>
      </c>
      <c r="H14" s="419"/>
      <c r="I14" s="422">
        <v>216402983.92497689</v>
      </c>
      <c r="J14" s="419"/>
      <c r="K14" s="422">
        <v>219649498.46591589</v>
      </c>
      <c r="L14" s="419"/>
      <c r="M14" s="422">
        <v>223163687.8276107</v>
      </c>
      <c r="N14" s="419"/>
      <c r="O14" s="422">
        <v>226904634.7236318</v>
      </c>
      <c r="P14" s="419"/>
      <c r="Q14" s="436">
        <v>230757181.70485216</v>
      </c>
      <c r="R14" s="273"/>
      <c r="S14" s="456">
        <f>SUM(S11:S13)</f>
        <v>4457164.7166932737</v>
      </c>
      <c r="T14" s="273"/>
      <c r="U14" s="247">
        <f>SUM(U11:U13)</f>
        <v>9290251.3332827911</v>
      </c>
      <c r="V14" s="273"/>
      <c r="W14" s="247">
        <f>SUM(W11:W13)</f>
        <v>13652425.14938782</v>
      </c>
      <c r="X14" s="273"/>
      <c r="Y14" s="247">
        <f>SUM(Y11:Y13)</f>
        <v>17991528.876897354</v>
      </c>
      <c r="Z14" s="273"/>
      <c r="AA14" s="247">
        <f>SUM(AA11:AA13)</f>
        <v>21950419.682214111</v>
      </c>
      <c r="AB14" s="273"/>
      <c r="AC14" s="247">
        <f>SUM(AC11:AC13)</f>
        <v>25394489.89699851</v>
      </c>
      <c r="AD14" s="273"/>
      <c r="AE14" s="457">
        <f>SUM(AE11:AE13)</f>
        <v>13248039.950781981</v>
      </c>
      <c r="AF14" s="273"/>
      <c r="AG14" s="231">
        <v>243368873.56834704</v>
      </c>
      <c r="AJ14" s="391"/>
      <c r="AK14" s="117"/>
      <c r="AL14" s="117"/>
      <c r="AM14" s="117"/>
      <c r="AN14" s="117"/>
      <c r="AO14" s="117"/>
      <c r="AP14" s="117"/>
      <c r="AQ14" s="128"/>
      <c r="AR14" s="127"/>
      <c r="AS14" s="127"/>
      <c r="AT14" s="127"/>
      <c r="AU14" s="128"/>
      <c r="AV14" s="127"/>
      <c r="AW14" s="127"/>
      <c r="AX14" s="127"/>
      <c r="AY14" s="127"/>
    </row>
    <row r="15" spans="1:51" s="225" customFormat="1">
      <c r="A15" s="226"/>
      <c r="B15" s="226"/>
      <c r="D15" s="226"/>
      <c r="E15" s="435"/>
      <c r="F15" s="419"/>
      <c r="G15" s="422"/>
      <c r="H15" s="419"/>
      <c r="I15" s="422"/>
      <c r="J15" s="419"/>
      <c r="K15" s="422"/>
      <c r="L15" s="419"/>
      <c r="M15" s="422"/>
      <c r="N15" s="419"/>
      <c r="O15" s="422"/>
      <c r="P15" s="419"/>
      <c r="Q15" s="436"/>
      <c r="R15" s="226"/>
      <c r="S15" s="456"/>
      <c r="T15" s="273"/>
      <c r="U15" s="247"/>
      <c r="V15" s="273"/>
      <c r="W15" s="247"/>
      <c r="X15" s="273"/>
      <c r="Y15" s="247"/>
      <c r="Z15" s="273"/>
      <c r="AA15" s="247"/>
      <c r="AB15" s="273"/>
      <c r="AC15" s="247"/>
      <c r="AD15" s="273"/>
      <c r="AE15" s="457"/>
      <c r="AF15" s="226"/>
      <c r="AG15" s="231"/>
      <c r="AJ15" s="391"/>
      <c r="AK15" s="117"/>
      <c r="AL15" s="117"/>
      <c r="AM15" s="117"/>
      <c r="AN15" s="117"/>
      <c r="AO15" s="117"/>
      <c r="AP15" s="117"/>
      <c r="AQ15" s="128"/>
      <c r="AR15" s="127"/>
      <c r="AS15" s="127"/>
      <c r="AT15" s="127"/>
      <c r="AU15" s="128"/>
      <c r="AV15" s="127"/>
      <c r="AW15" s="127"/>
      <c r="AX15" s="127"/>
      <c r="AY15" s="127"/>
    </row>
    <row r="16" spans="1:51" s="225" customFormat="1">
      <c r="A16" s="226">
        <v>5</v>
      </c>
      <c r="B16" s="226"/>
      <c r="C16" s="225" t="s">
        <v>64</v>
      </c>
      <c r="D16" s="226"/>
      <c r="E16" s="437">
        <v>-29925580.547962356</v>
      </c>
      <c r="F16" s="419"/>
      <c r="G16" s="418">
        <v>-36933741.090531789</v>
      </c>
      <c r="H16" s="419"/>
      <c r="I16" s="418">
        <v>-37531662.582907513</v>
      </c>
      <c r="J16" s="419"/>
      <c r="K16" s="418">
        <v>-38157645.852782331</v>
      </c>
      <c r="L16" s="419"/>
      <c r="M16" s="418">
        <v>-38708863.869166292</v>
      </c>
      <c r="N16" s="419"/>
      <c r="O16" s="418">
        <v>-39205882.884475417</v>
      </c>
      <c r="P16" s="419"/>
      <c r="Q16" s="438">
        <v>-39638805.084670633</v>
      </c>
      <c r="R16" s="226"/>
      <c r="S16" s="458">
        <f>-'Tax Depr 2017'!$AP23</f>
        <v>-694588.38359809713</v>
      </c>
      <c r="T16" s="273"/>
      <c r="U16" s="232">
        <f>-'Tax Depr 2017'!$AP24</f>
        <v>-1278976.0328992591</v>
      </c>
      <c r="V16" s="273"/>
      <c r="W16" s="232">
        <f>-'Tax Depr 2017'!$AP25</f>
        <v>-1696659.6903604472</v>
      </c>
      <c r="X16" s="273"/>
      <c r="Y16" s="232">
        <f>-'Tax Depr 2017'!$AP26</f>
        <v>-1958677.4762209591</v>
      </c>
      <c r="Z16" s="273"/>
      <c r="AA16" s="232">
        <f>-'Tax Depr 2017'!$AP27</f>
        <v>-2090662.9160246132</v>
      </c>
      <c r="AB16" s="273"/>
      <c r="AC16" s="232">
        <f>-'Tax Depr 2017'!$AP28</f>
        <v>-2094443.7760322078</v>
      </c>
      <c r="AD16" s="273"/>
      <c r="AE16" s="459">
        <f>AC16</f>
        <v>-2094443.7760322078</v>
      </c>
      <c r="AF16" s="226"/>
      <c r="AG16" s="232">
        <v>-26417679.007406868</v>
      </c>
      <c r="AJ16" s="391"/>
      <c r="AK16" s="127"/>
      <c r="AL16" s="127"/>
      <c r="AM16" s="127"/>
      <c r="AN16" s="127"/>
      <c r="AO16" s="127"/>
      <c r="AP16" s="127"/>
      <c r="AQ16" s="127"/>
      <c r="AR16" s="127"/>
      <c r="AS16" s="127"/>
      <c r="AT16" s="127"/>
      <c r="AU16" s="127"/>
      <c r="AV16" s="127"/>
      <c r="AW16" s="127"/>
      <c r="AX16" s="127"/>
      <c r="AY16" s="127"/>
    </row>
    <row r="17" spans="1:34" s="225" customFormat="1">
      <c r="A17" s="226"/>
      <c r="B17" s="226"/>
      <c r="D17" s="226"/>
      <c r="E17" s="435"/>
      <c r="F17" s="419"/>
      <c r="G17" s="422"/>
      <c r="H17" s="419"/>
      <c r="I17" s="422"/>
      <c r="J17" s="419"/>
      <c r="K17" s="422"/>
      <c r="L17" s="419"/>
      <c r="M17" s="422"/>
      <c r="N17" s="419"/>
      <c r="O17" s="422"/>
      <c r="P17" s="419"/>
      <c r="Q17" s="436"/>
      <c r="R17" s="226"/>
      <c r="S17" s="456"/>
      <c r="T17" s="273"/>
      <c r="U17" s="247"/>
      <c r="V17" s="273"/>
      <c r="W17" s="247"/>
      <c r="X17" s="273"/>
      <c r="Y17" s="247"/>
      <c r="Z17" s="273"/>
      <c r="AA17" s="247"/>
      <c r="AB17" s="273"/>
      <c r="AC17" s="247"/>
      <c r="AD17" s="273"/>
      <c r="AE17" s="457"/>
      <c r="AF17" s="226"/>
      <c r="AG17" s="231"/>
    </row>
    <row r="18" spans="1:34" s="225" customFormat="1">
      <c r="A18" s="226">
        <v>6</v>
      </c>
      <c r="B18" s="226"/>
      <c r="C18" s="347" t="s">
        <v>65</v>
      </c>
      <c r="D18" s="226"/>
      <c r="E18" s="435">
        <v>181663643.60308835</v>
      </c>
      <c r="F18" s="419"/>
      <c r="G18" s="422">
        <v>177040010.7247206</v>
      </c>
      <c r="H18" s="419"/>
      <c r="I18" s="422">
        <v>178871321.34206939</v>
      </c>
      <c r="J18" s="419"/>
      <c r="K18" s="422">
        <v>181491852.61313355</v>
      </c>
      <c r="L18" s="419"/>
      <c r="M18" s="422">
        <v>184454823.95844442</v>
      </c>
      <c r="N18" s="419"/>
      <c r="O18" s="422">
        <v>187698751.83915639</v>
      </c>
      <c r="P18" s="419"/>
      <c r="Q18" s="436">
        <v>191118376.62018153</v>
      </c>
      <c r="R18" s="226"/>
      <c r="S18" s="456">
        <f>SUM(S14:S16)</f>
        <v>3762576.3330951766</v>
      </c>
      <c r="T18" s="273"/>
      <c r="U18" s="247">
        <f>SUM(U14:U16)</f>
        <v>8011275.3003835324</v>
      </c>
      <c r="V18" s="273"/>
      <c r="W18" s="247">
        <f>SUM(W14:W16)</f>
        <v>11955765.459027372</v>
      </c>
      <c r="X18" s="273"/>
      <c r="Y18" s="247">
        <f>SUM(Y14:Y16)</f>
        <v>16032851.400676394</v>
      </c>
      <c r="Z18" s="273"/>
      <c r="AA18" s="247">
        <f>SUM(AA14:AA16)</f>
        <v>19859756.766189497</v>
      </c>
      <c r="AB18" s="273"/>
      <c r="AC18" s="247">
        <f>SUM(AC14:AC16)</f>
        <v>23300046.1209663</v>
      </c>
      <c r="AD18" s="273"/>
      <c r="AE18" s="457">
        <f>SUM(AE14:AE16)</f>
        <v>11153596.174749773</v>
      </c>
      <c r="AF18" s="226"/>
      <c r="AG18" s="231">
        <v>216951194.56094018</v>
      </c>
      <c r="AH18" s="349"/>
    </row>
    <row r="19" spans="1:34" s="225" customFormat="1">
      <c r="A19" s="226"/>
      <c r="B19" s="226"/>
      <c r="D19" s="226"/>
      <c r="E19" s="432"/>
      <c r="F19" s="419"/>
      <c r="G19" s="433"/>
      <c r="H19" s="419"/>
      <c r="I19" s="433"/>
      <c r="J19" s="419"/>
      <c r="K19" s="433"/>
      <c r="L19" s="419"/>
      <c r="M19" s="433"/>
      <c r="N19" s="419"/>
      <c r="O19" s="433"/>
      <c r="P19" s="419"/>
      <c r="Q19" s="434"/>
      <c r="R19" s="226"/>
      <c r="S19" s="454"/>
      <c r="T19" s="273"/>
      <c r="U19" s="117"/>
      <c r="V19" s="273"/>
      <c r="W19" s="117"/>
      <c r="X19" s="273"/>
      <c r="Y19" s="117"/>
      <c r="Z19" s="273"/>
      <c r="AA19" s="117"/>
      <c r="AB19" s="273"/>
      <c r="AC19" s="117"/>
      <c r="AD19" s="273"/>
      <c r="AE19" s="455"/>
      <c r="AF19" s="226"/>
    </row>
    <row r="20" spans="1:34" s="225" customFormat="1">
      <c r="A20" s="226">
        <v>7</v>
      </c>
      <c r="B20" s="226"/>
      <c r="C20" s="225" t="s">
        <v>66</v>
      </c>
      <c r="D20" s="226"/>
      <c r="E20" s="439">
        <v>8.7039841473943429E-3</v>
      </c>
      <c r="F20" s="419"/>
      <c r="G20" s="423">
        <v>8.7039841473943429E-3</v>
      </c>
      <c r="H20" s="419"/>
      <c r="I20" s="423">
        <v>8.7039841473943429E-3</v>
      </c>
      <c r="J20" s="419"/>
      <c r="K20" s="423">
        <v>8.7039841473943429E-3</v>
      </c>
      <c r="L20" s="419"/>
      <c r="M20" s="423">
        <v>8.7039841473943429E-3</v>
      </c>
      <c r="N20" s="419"/>
      <c r="O20" s="423">
        <v>8.7039841473943429E-3</v>
      </c>
      <c r="P20" s="419"/>
      <c r="Q20" s="440">
        <v>8.7039841473943429E-3</v>
      </c>
      <c r="R20" s="226"/>
      <c r="S20" s="460">
        <f>ROR!$M$14/12</f>
        <v>8.5794772652459435E-3</v>
      </c>
      <c r="T20" s="273"/>
      <c r="U20" s="233">
        <f>ROR!$M$14/12</f>
        <v>8.5794772652459435E-3</v>
      </c>
      <c r="V20" s="273"/>
      <c r="W20" s="233">
        <f>ROR!$M$14/12</f>
        <v>8.5794772652459435E-3</v>
      </c>
      <c r="X20" s="273"/>
      <c r="Y20" s="233">
        <f>ROR!$M$14/12</f>
        <v>8.5794772652459435E-3</v>
      </c>
      <c r="Z20" s="273"/>
      <c r="AA20" s="233">
        <f>ROR!$M$14/12</f>
        <v>8.5794772652459435E-3</v>
      </c>
      <c r="AB20" s="273"/>
      <c r="AC20" s="233">
        <f>ROR!$M$14/12</f>
        <v>8.5794772652459435E-3</v>
      </c>
      <c r="AD20" s="273"/>
      <c r="AE20" s="461">
        <f>ROR!$M$14/2</f>
        <v>5.1476863591475665E-2</v>
      </c>
      <c r="AF20" s="226"/>
      <c r="AG20" s="233">
        <v>0.11694251757309855</v>
      </c>
    </row>
    <row r="21" spans="1:34" s="225" customFormat="1">
      <c r="A21" s="226"/>
      <c r="B21" s="226"/>
      <c r="D21" s="226"/>
      <c r="E21" s="441"/>
      <c r="F21" s="419"/>
      <c r="G21" s="433"/>
      <c r="H21" s="419"/>
      <c r="I21" s="433"/>
      <c r="J21" s="419"/>
      <c r="K21" s="433"/>
      <c r="L21" s="419"/>
      <c r="M21" s="433"/>
      <c r="N21" s="419"/>
      <c r="O21" s="433"/>
      <c r="P21" s="419"/>
      <c r="Q21" s="434"/>
      <c r="R21" s="226"/>
      <c r="S21" s="454"/>
      <c r="T21" s="273"/>
      <c r="U21" s="117"/>
      <c r="V21" s="273"/>
      <c r="W21" s="117"/>
      <c r="X21" s="273"/>
      <c r="Y21" s="117"/>
      <c r="Z21" s="273"/>
      <c r="AA21" s="117"/>
      <c r="AB21" s="273"/>
      <c r="AC21" s="117"/>
      <c r="AD21" s="273"/>
      <c r="AE21" s="455"/>
      <c r="AF21" s="226"/>
    </row>
    <row r="22" spans="1:34" s="225" customFormat="1">
      <c r="A22" s="226">
        <v>8</v>
      </c>
      <c r="B22" s="226"/>
      <c r="C22" s="225" t="s">
        <v>67</v>
      </c>
      <c r="D22" s="226"/>
      <c r="E22" s="442">
        <v>1581197.4740791768</v>
      </c>
      <c r="F22" s="419"/>
      <c r="G22" s="424">
        <v>1540953.4468024925</v>
      </c>
      <c r="H22" s="419"/>
      <c r="I22" s="424">
        <v>1556893.1453848514</v>
      </c>
      <c r="J22" s="419"/>
      <c r="K22" s="424">
        <v>1579702.2080259449</v>
      </c>
      <c r="L22" s="419"/>
      <c r="M22" s="424">
        <v>1605491.8636447145</v>
      </c>
      <c r="N22" s="419"/>
      <c r="O22" s="424">
        <v>1633726.960493722</v>
      </c>
      <c r="P22" s="419"/>
      <c r="Q22" s="443">
        <v>1663491.3203778018</v>
      </c>
      <c r="R22" s="226"/>
      <c r="S22" s="462">
        <f>S18*S20</f>
        <v>32280.938108542516</v>
      </c>
      <c r="T22" s="273"/>
      <c r="U22" s="234">
        <f>U18*U20</f>
        <v>68732.55430526688</v>
      </c>
      <c r="V22" s="273"/>
      <c r="W22" s="234">
        <f>W18*W20</f>
        <v>102574.21794433807</v>
      </c>
      <c r="X22" s="273"/>
      <c r="Y22" s="234">
        <f>Y18*Y20</f>
        <v>137553.48408916971</v>
      </c>
      <c r="Z22" s="273"/>
      <c r="AA22" s="234">
        <f>AA18*AA20</f>
        <v>170386.33166883708</v>
      </c>
      <c r="AB22" s="273"/>
      <c r="AC22" s="234">
        <f>AC18*AC20</f>
        <v>199902.2159740123</v>
      </c>
      <c r="AD22" s="273"/>
      <c r="AE22" s="466">
        <f>AE18*AE20</f>
        <v>574152.14884199889</v>
      </c>
      <c r="AF22" s="226"/>
      <c r="AG22" s="234">
        <v>25370818.88244747</v>
      </c>
    </row>
    <row r="23" spans="1:34" s="225" customFormat="1">
      <c r="A23" s="226"/>
      <c r="B23" s="226"/>
      <c r="D23" s="226"/>
      <c r="E23" s="441"/>
      <c r="F23" s="419"/>
      <c r="G23" s="433"/>
      <c r="H23" s="419"/>
      <c r="I23" s="433"/>
      <c r="J23" s="419"/>
      <c r="K23" s="433"/>
      <c r="L23" s="419"/>
      <c r="M23" s="433"/>
      <c r="N23" s="419"/>
      <c r="O23" s="433"/>
      <c r="P23" s="419"/>
      <c r="Q23" s="434"/>
      <c r="R23" s="226"/>
      <c r="S23" s="454"/>
      <c r="T23" s="273"/>
      <c r="U23" s="117"/>
      <c r="V23" s="273"/>
      <c r="W23" s="117"/>
      <c r="X23" s="273"/>
      <c r="Y23" s="117"/>
      <c r="Z23" s="273"/>
      <c r="AA23" s="117"/>
      <c r="AB23" s="273"/>
      <c r="AC23" s="117"/>
      <c r="AD23" s="273"/>
      <c r="AE23" s="455"/>
      <c r="AF23" s="226"/>
    </row>
    <row r="24" spans="1:34" s="225" customFormat="1">
      <c r="A24" s="226"/>
      <c r="B24" s="346" t="s">
        <v>68</v>
      </c>
      <c r="D24" s="226"/>
      <c r="E24" s="432"/>
      <c r="F24" s="419"/>
      <c r="G24" s="433"/>
      <c r="H24" s="419"/>
      <c r="I24" s="433"/>
      <c r="J24" s="419"/>
      <c r="K24" s="433"/>
      <c r="L24" s="419"/>
      <c r="M24" s="433"/>
      <c r="N24" s="419"/>
      <c r="O24" s="433"/>
      <c r="P24" s="419"/>
      <c r="Q24" s="434"/>
      <c r="R24" s="226"/>
      <c r="S24" s="454"/>
      <c r="T24" s="273"/>
      <c r="U24" s="117"/>
      <c r="V24" s="273"/>
      <c r="W24" s="117"/>
      <c r="X24" s="273"/>
      <c r="Y24" s="117"/>
      <c r="Z24" s="273"/>
      <c r="AA24" s="117"/>
      <c r="AB24" s="273"/>
      <c r="AC24" s="117"/>
      <c r="AD24" s="273"/>
      <c r="AE24" s="455"/>
      <c r="AF24" s="226"/>
    </row>
    <row r="25" spans="1:34" s="225" customFormat="1">
      <c r="A25" s="226">
        <v>9</v>
      </c>
      <c r="B25" s="226"/>
      <c r="C25" s="225" t="s">
        <v>1</v>
      </c>
      <c r="D25" s="226"/>
      <c r="E25" s="435">
        <v>579467.52354124992</v>
      </c>
      <c r="F25" s="419"/>
      <c r="G25" s="422">
        <v>588476.18058408331</v>
      </c>
      <c r="H25" s="419"/>
      <c r="I25" s="422">
        <v>596191.65506129165</v>
      </c>
      <c r="J25" s="419"/>
      <c r="K25" s="422">
        <v>604929.49384674989</v>
      </c>
      <c r="L25" s="419"/>
      <c r="M25" s="422">
        <v>615128.8030909166</v>
      </c>
      <c r="N25" s="419"/>
      <c r="O25" s="422">
        <v>626141.66876466665</v>
      </c>
      <c r="P25" s="419"/>
      <c r="Q25" s="436">
        <v>637627.35356533329</v>
      </c>
      <c r="R25" s="226"/>
      <c r="S25" s="456">
        <f>'201707 Bk Depr'!$P25</f>
        <v>4866.0633067263343</v>
      </c>
      <c r="T25" s="273"/>
      <c r="U25" s="247">
        <f>'201708 Bk Depr'!$P25</f>
        <v>15086.173410483669</v>
      </c>
      <c r="V25" s="273"/>
      <c r="W25" s="247">
        <f>'201709 Bk Depr'!$P25</f>
        <v>25293.003894968337</v>
      </c>
      <c r="X25" s="273"/>
      <c r="Y25" s="247">
        <f>'201710 Bk Depr'!$P25</f>
        <v>35141.31249046867</v>
      </c>
      <c r="Z25" s="273"/>
      <c r="AA25" s="247">
        <f>'201711 Bk Depr'!$P25</f>
        <v>44740.734683240007</v>
      </c>
      <c r="AB25" s="273"/>
      <c r="AC25" s="247">
        <f>'201712 Bk Depr'!$P25</f>
        <v>53311.855215603005</v>
      </c>
      <c r="AD25" s="273"/>
      <c r="AE25" s="457">
        <f>SUM(S25:AC25)</f>
        <v>178439.14300149004</v>
      </c>
      <c r="AF25" s="226"/>
      <c r="AG25" s="231">
        <v>7046368.2304199561</v>
      </c>
      <c r="AH25" s="349"/>
    </row>
    <row r="26" spans="1:34" s="225" customFormat="1">
      <c r="A26" s="226">
        <v>10</v>
      </c>
      <c r="B26" s="226"/>
      <c r="C26" s="117" t="s">
        <v>69</v>
      </c>
      <c r="D26" s="273"/>
      <c r="E26" s="435">
        <v>117915.46000000002</v>
      </c>
      <c r="F26" s="419"/>
      <c r="G26" s="422">
        <v>139510.51999999999</v>
      </c>
      <c r="H26" s="419"/>
      <c r="I26" s="422">
        <v>73320.98000000001</v>
      </c>
      <c r="J26" s="419"/>
      <c r="K26" s="422">
        <v>111290.44000000003</v>
      </c>
      <c r="L26" s="419"/>
      <c r="M26" s="422">
        <v>45198.47</v>
      </c>
      <c r="N26" s="419"/>
      <c r="O26" s="422">
        <v>140279.72</v>
      </c>
      <c r="P26" s="419"/>
      <c r="Q26" s="436">
        <v>120955.86000000002</v>
      </c>
      <c r="R26" s="273"/>
      <c r="S26" s="456">
        <f>'Cap&amp;OpEx 2017'!C29</f>
        <v>102067.34</v>
      </c>
      <c r="T26" s="273"/>
      <c r="U26" s="247">
        <f>'Cap&amp;OpEx 2017'!D29</f>
        <v>136533.25999999992</v>
      </c>
      <c r="V26" s="273"/>
      <c r="W26" s="247">
        <f>'Cap&amp;OpEx 2017'!E29</f>
        <v>129354.00000000003</v>
      </c>
      <c r="X26" s="273"/>
      <c r="Y26" s="247">
        <f>'Cap&amp;OpEx 2017'!F29</f>
        <v>148435.16999999995</v>
      </c>
      <c r="Z26" s="273"/>
      <c r="AA26" s="247">
        <f>'Cap&amp;OpEx 2017'!G29</f>
        <v>116794.94999999998</v>
      </c>
      <c r="AB26" s="273"/>
      <c r="AC26" s="247">
        <f>'Cap&amp;OpEx 2017'!H29</f>
        <v>115895.67000000001</v>
      </c>
      <c r="AD26" s="273"/>
      <c r="AE26" s="457">
        <f>SUM(S26:AC26)</f>
        <v>749080.3899999999</v>
      </c>
      <c r="AF26" s="226"/>
      <c r="AG26" s="232">
        <v>0</v>
      </c>
      <c r="AH26" s="349"/>
    </row>
    <row r="27" spans="1:34" s="225" customFormat="1">
      <c r="A27" s="226">
        <v>11</v>
      </c>
      <c r="B27" s="226"/>
      <c r="C27" s="225" t="s">
        <v>294</v>
      </c>
      <c r="D27" s="226"/>
      <c r="E27" s="435">
        <v>178960</v>
      </c>
      <c r="F27" s="419"/>
      <c r="G27" s="422">
        <v>237772.02999999994</v>
      </c>
      <c r="H27" s="419"/>
      <c r="I27" s="422">
        <v>237772.02999999994</v>
      </c>
      <c r="J27" s="419"/>
      <c r="K27" s="422">
        <v>237772.02999999994</v>
      </c>
      <c r="L27" s="419"/>
      <c r="M27" s="422">
        <v>237772.02999999994</v>
      </c>
      <c r="N27" s="419"/>
      <c r="O27" s="422">
        <v>237772.02999999994</v>
      </c>
      <c r="P27" s="419"/>
      <c r="Q27" s="436">
        <v>237772.02999999994</v>
      </c>
      <c r="R27" s="226"/>
      <c r="S27" s="456">
        <f>'Cap&amp;OpEx 2017'!C30</f>
        <v>0</v>
      </c>
      <c r="T27" s="273"/>
      <c r="U27" s="247">
        <f>'Cap&amp;OpEx 2017'!D30</f>
        <v>0</v>
      </c>
      <c r="V27" s="273"/>
      <c r="W27" s="247">
        <f>'Cap&amp;OpEx 2017'!E30</f>
        <v>0</v>
      </c>
      <c r="X27" s="273"/>
      <c r="Y27" s="247">
        <f>'Cap&amp;OpEx 2017'!F30</f>
        <v>0</v>
      </c>
      <c r="Z27" s="273"/>
      <c r="AA27" s="247">
        <f>'Cap&amp;OpEx 2017'!G30</f>
        <v>0</v>
      </c>
      <c r="AB27" s="273"/>
      <c r="AC27" s="247">
        <f>'Cap&amp;OpEx 2017'!H30</f>
        <v>0</v>
      </c>
      <c r="AD27" s="273"/>
      <c r="AE27" s="457">
        <f>SUM(S27:AC27)</f>
        <v>0</v>
      </c>
      <c r="AF27" s="226"/>
      <c r="AG27" s="247"/>
      <c r="AH27" s="349"/>
    </row>
    <row r="28" spans="1:34" s="225" customFormat="1">
      <c r="A28" s="226"/>
      <c r="B28" s="226"/>
      <c r="D28" s="226"/>
      <c r="E28" s="435"/>
      <c r="F28" s="419"/>
      <c r="G28" s="422"/>
      <c r="H28" s="419"/>
      <c r="I28" s="422"/>
      <c r="J28" s="419"/>
      <c r="K28" s="422"/>
      <c r="L28" s="419"/>
      <c r="M28" s="422"/>
      <c r="N28" s="419"/>
      <c r="O28" s="422"/>
      <c r="P28" s="419"/>
      <c r="Q28" s="436"/>
      <c r="R28" s="226"/>
      <c r="S28" s="456"/>
      <c r="T28" s="273"/>
      <c r="U28" s="247"/>
      <c r="V28" s="273"/>
      <c r="W28" s="247"/>
      <c r="X28" s="273"/>
      <c r="Y28" s="247"/>
      <c r="Z28" s="273"/>
      <c r="AA28" s="247"/>
      <c r="AB28" s="273"/>
      <c r="AC28" s="247"/>
      <c r="AD28" s="273"/>
      <c r="AE28" s="457"/>
      <c r="AF28" s="226"/>
      <c r="AG28" s="231"/>
    </row>
    <row r="29" spans="1:34" s="225" customFormat="1">
      <c r="A29" s="226">
        <v>12</v>
      </c>
      <c r="B29" s="226"/>
      <c r="C29" s="225" t="s">
        <v>70</v>
      </c>
      <c r="D29" s="226"/>
      <c r="E29" s="435">
        <v>876342.98354125</v>
      </c>
      <c r="F29" s="419"/>
      <c r="G29" s="422">
        <v>965758.73058408324</v>
      </c>
      <c r="H29" s="419"/>
      <c r="I29" s="422">
        <v>907284.66506129154</v>
      </c>
      <c r="J29" s="419"/>
      <c r="K29" s="422">
        <v>953991.96384674986</v>
      </c>
      <c r="L29" s="419"/>
      <c r="M29" s="422">
        <v>898099.30309091648</v>
      </c>
      <c r="N29" s="419"/>
      <c r="O29" s="422">
        <v>1004193.4187646665</v>
      </c>
      <c r="P29" s="419"/>
      <c r="Q29" s="436">
        <v>996355.24356533319</v>
      </c>
      <c r="R29" s="226"/>
      <c r="S29" s="456">
        <f>SUM(S25:S28)</f>
        <v>106933.40330672634</v>
      </c>
      <c r="T29" s="273"/>
      <c r="U29" s="247">
        <f>SUM(U25:U28)</f>
        <v>151619.43341048359</v>
      </c>
      <c r="V29" s="273"/>
      <c r="W29" s="247">
        <f>SUM(W25:W28)</f>
        <v>154647.00389496837</v>
      </c>
      <c r="X29" s="273"/>
      <c r="Y29" s="247">
        <f>SUM(Y25:Y28)</f>
        <v>183576.48249046862</v>
      </c>
      <c r="Z29" s="273"/>
      <c r="AA29" s="247">
        <f>SUM(AA25:AA28)</f>
        <v>161535.68468323999</v>
      </c>
      <c r="AB29" s="273"/>
      <c r="AC29" s="247">
        <f>SUM(AC25:AC28)</f>
        <v>169207.525215603</v>
      </c>
      <c r="AD29" s="273"/>
      <c r="AE29" s="457">
        <f>SUM(AE25:AE28)</f>
        <v>927519.53300148994</v>
      </c>
      <c r="AF29" s="226"/>
      <c r="AG29" s="231">
        <v>7046368.2304199561</v>
      </c>
    </row>
    <row r="30" spans="1:34" s="225" customFormat="1">
      <c r="A30" s="226"/>
      <c r="B30" s="226"/>
      <c r="D30" s="226"/>
      <c r="E30" s="432"/>
      <c r="F30" s="419"/>
      <c r="G30" s="433"/>
      <c r="H30" s="419"/>
      <c r="I30" s="433"/>
      <c r="J30" s="419"/>
      <c r="K30" s="433"/>
      <c r="L30" s="419"/>
      <c r="M30" s="433"/>
      <c r="N30" s="419"/>
      <c r="O30" s="433"/>
      <c r="P30" s="419"/>
      <c r="Q30" s="434"/>
      <c r="R30" s="226"/>
      <c r="S30" s="454"/>
      <c r="T30" s="273"/>
      <c r="U30" s="117"/>
      <c r="V30" s="273"/>
      <c r="W30" s="117"/>
      <c r="X30" s="273"/>
      <c r="Y30" s="117"/>
      <c r="Z30" s="273"/>
      <c r="AA30" s="117"/>
      <c r="AB30" s="273"/>
      <c r="AC30" s="117"/>
      <c r="AD30" s="273"/>
      <c r="AE30" s="455"/>
      <c r="AF30" s="226"/>
    </row>
    <row r="31" spans="1:34" s="225" customFormat="1" ht="21" thickBot="1">
      <c r="A31" s="226">
        <v>13</v>
      </c>
      <c r="B31" s="346" t="s">
        <v>277</v>
      </c>
      <c r="D31" s="226"/>
      <c r="E31" s="444">
        <v>2457540.457620427</v>
      </c>
      <c r="F31" s="420"/>
      <c r="G31" s="445">
        <v>2506712.1773865758</v>
      </c>
      <c r="H31" s="420"/>
      <c r="I31" s="445">
        <v>2464177.8104461432</v>
      </c>
      <c r="J31" s="420"/>
      <c r="K31" s="445">
        <v>2533694.171872695</v>
      </c>
      <c r="L31" s="420"/>
      <c r="M31" s="445">
        <v>2503591.1667356309</v>
      </c>
      <c r="N31" s="420"/>
      <c r="O31" s="445">
        <v>2637920.3792583887</v>
      </c>
      <c r="P31" s="420"/>
      <c r="Q31" s="446">
        <v>2659846.5639431351</v>
      </c>
      <c r="R31" s="226"/>
      <c r="S31" s="463">
        <f>S22+S29</f>
        <v>139214.34141526886</v>
      </c>
      <c r="T31" s="274"/>
      <c r="U31" s="464">
        <f>U22+U29</f>
        <v>220351.98771575047</v>
      </c>
      <c r="V31" s="274"/>
      <c r="W31" s="464">
        <f>W22+W29</f>
        <v>257221.22183930644</v>
      </c>
      <c r="X31" s="274"/>
      <c r="Y31" s="464">
        <f>Y22+Y29</f>
        <v>321129.96657963831</v>
      </c>
      <c r="Z31" s="274"/>
      <c r="AA31" s="464">
        <f>AA22+AA29</f>
        <v>331922.01635207707</v>
      </c>
      <c r="AB31" s="274"/>
      <c r="AC31" s="464">
        <f>AC22+AC29</f>
        <v>369109.74118961534</v>
      </c>
      <c r="AD31" s="274"/>
      <c r="AE31" s="465">
        <f>AE22+AE29</f>
        <v>1501671.6818434889</v>
      </c>
      <c r="AF31" s="226"/>
      <c r="AG31" s="235">
        <v>32417187.112867426</v>
      </c>
    </row>
    <row r="32" spans="1:34" s="225" customFormat="1" ht="21" thickTop="1">
      <c r="A32" s="226"/>
      <c r="B32" s="226"/>
      <c r="D32" s="226"/>
      <c r="E32" s="349"/>
      <c r="F32" s="226"/>
      <c r="H32" s="226"/>
      <c r="J32" s="226"/>
      <c r="L32" s="226"/>
      <c r="N32" s="226"/>
      <c r="P32" s="226"/>
      <c r="R32" s="226"/>
      <c r="T32" s="226"/>
      <c r="V32" s="226"/>
      <c r="X32" s="226"/>
      <c r="Z32" s="226"/>
      <c r="AB32" s="226"/>
      <c r="AC32" s="349"/>
      <c r="AD32" s="226"/>
      <c r="AF32" s="226"/>
    </row>
    <row r="33" spans="1:43" s="225" customFormat="1" hidden="1">
      <c r="A33" s="226">
        <v>13</v>
      </c>
      <c r="B33" s="346" t="s">
        <v>104</v>
      </c>
      <c r="D33" s="226"/>
      <c r="E33" s="350"/>
      <c r="F33" s="226"/>
      <c r="G33" s="350">
        <v>1.4334866894633393E-2</v>
      </c>
      <c r="H33" s="226"/>
      <c r="I33" s="350">
        <v>9.8173249221958275E-2</v>
      </c>
      <c r="J33" s="226"/>
      <c r="K33" s="350">
        <v>0.14000521098329799</v>
      </c>
      <c r="L33" s="226"/>
      <c r="M33" s="350">
        <v>0.19617787887361537</v>
      </c>
      <c r="N33" s="226"/>
      <c r="O33" s="350">
        <v>0.25439277088453749</v>
      </c>
      <c r="P33" s="226"/>
      <c r="Q33" s="350">
        <v>0.28282249062000248</v>
      </c>
      <c r="R33" s="226"/>
      <c r="S33" s="350">
        <v>0.28282249062000248</v>
      </c>
      <c r="T33" s="226"/>
      <c r="U33" s="350">
        <v>0.28282249062000248</v>
      </c>
      <c r="V33" s="226"/>
      <c r="W33" s="350">
        <v>0.28282249062000248</v>
      </c>
      <c r="X33" s="226"/>
      <c r="Y33" s="350">
        <v>0.28282249062000248</v>
      </c>
      <c r="Z33" s="226"/>
      <c r="AA33" s="350">
        <v>0.28282249062000248</v>
      </c>
      <c r="AB33" s="226"/>
      <c r="AC33" s="350"/>
      <c r="AD33" s="226"/>
      <c r="AE33" s="350">
        <v>0.28282249062000248</v>
      </c>
      <c r="AF33" s="226"/>
      <c r="AG33" s="350">
        <v>0.262971801175854</v>
      </c>
    </row>
    <row r="34" spans="1:43" s="225" customFormat="1">
      <c r="D34" s="226"/>
      <c r="E34" s="231"/>
      <c r="F34" s="226"/>
      <c r="G34" s="350"/>
      <c r="H34" s="226"/>
      <c r="I34" s="350"/>
      <c r="J34" s="226"/>
      <c r="K34" s="350"/>
      <c r="L34" s="226"/>
      <c r="M34" s="350"/>
      <c r="N34" s="226"/>
      <c r="O34" s="350"/>
      <c r="P34" s="226"/>
      <c r="Q34" s="350"/>
      <c r="R34" s="226"/>
      <c r="S34" s="350"/>
      <c r="T34" s="226"/>
      <c r="U34" s="350"/>
      <c r="V34" s="226"/>
      <c r="W34" s="350"/>
      <c r="X34" s="226"/>
      <c r="Y34" s="350"/>
      <c r="Z34" s="226"/>
      <c r="AA34" s="350"/>
      <c r="AB34" s="226"/>
      <c r="AD34" s="226"/>
      <c r="AF34" s="226"/>
      <c r="AG34" s="350"/>
    </row>
    <row r="35" spans="1:43" s="225" customFormat="1">
      <c r="A35" s="513"/>
      <c r="B35" s="514"/>
      <c r="C35" s="117"/>
      <c r="D35" s="273"/>
      <c r="E35" s="117"/>
      <c r="F35" s="273"/>
      <c r="G35" s="117"/>
      <c r="H35" s="273"/>
      <c r="I35" s="117"/>
      <c r="J35" s="273"/>
      <c r="K35" s="117"/>
      <c r="L35" s="273"/>
      <c r="M35" s="117"/>
      <c r="N35" s="273"/>
      <c r="O35" s="117"/>
      <c r="P35" s="273"/>
      <c r="Q35" s="117"/>
      <c r="R35" s="273"/>
      <c r="S35" s="117"/>
      <c r="T35" s="273"/>
      <c r="U35" s="117"/>
      <c r="V35" s="273"/>
      <c r="W35" s="117"/>
      <c r="X35" s="273"/>
      <c r="Y35" s="117"/>
      <c r="Z35" s="273"/>
      <c r="AA35" s="117"/>
      <c r="AB35" s="273"/>
      <c r="AC35" s="117"/>
      <c r="AD35" s="273"/>
      <c r="AE35" s="117"/>
      <c r="AF35" s="273"/>
      <c r="AG35" s="117"/>
      <c r="AH35" s="117"/>
      <c r="AI35" s="117"/>
      <c r="AJ35" s="117"/>
      <c r="AK35" s="117"/>
      <c r="AL35" s="117"/>
      <c r="AM35" s="117"/>
      <c r="AN35" s="117"/>
      <c r="AO35" s="117"/>
      <c r="AP35" s="117"/>
      <c r="AQ35" s="117"/>
    </row>
    <row r="36" spans="1:43" hidden="1">
      <c r="A36" s="515"/>
      <c r="B36" s="516"/>
      <c r="C36" s="154"/>
      <c r="D36" s="515"/>
      <c r="E36" s="154"/>
      <c r="F36" s="515"/>
      <c r="G36" s="154"/>
      <c r="H36" s="515"/>
      <c r="I36" s="154"/>
      <c r="J36" s="515"/>
      <c r="K36" s="154"/>
      <c r="L36" s="515"/>
      <c r="M36" s="154"/>
      <c r="N36" s="515"/>
      <c r="O36" s="154"/>
      <c r="P36" s="515"/>
      <c r="Q36" s="154"/>
      <c r="R36" s="515"/>
      <c r="S36" s="154"/>
      <c r="T36" s="515"/>
      <c r="U36" s="154"/>
      <c r="V36" s="515"/>
      <c r="W36" s="154"/>
      <c r="X36" s="515"/>
      <c r="Y36" s="154"/>
      <c r="Z36" s="515"/>
      <c r="AA36" s="154"/>
      <c r="AB36" s="515"/>
      <c r="AC36" s="154"/>
      <c r="AD36" s="515"/>
      <c r="AE36" s="154"/>
      <c r="AF36" s="515"/>
      <c r="AG36" s="154"/>
      <c r="AH36" s="154"/>
      <c r="AI36" s="154"/>
      <c r="AJ36" s="154"/>
      <c r="AK36" s="154"/>
      <c r="AL36" s="154"/>
      <c r="AM36" s="154"/>
      <c r="AN36" s="154"/>
      <c r="AO36" s="154"/>
      <c r="AP36" s="154"/>
      <c r="AQ36" s="154"/>
    </row>
    <row r="37" spans="1:43" hidden="1">
      <c r="A37" s="515"/>
      <c r="B37" s="515"/>
      <c r="C37" s="517"/>
      <c r="D37" s="515"/>
      <c r="E37" s="518"/>
      <c r="F37" s="515"/>
      <c r="G37" s="518"/>
      <c r="H37" s="515"/>
      <c r="I37" s="518"/>
      <c r="J37" s="515"/>
      <c r="K37" s="518"/>
      <c r="L37" s="515"/>
      <c r="M37" s="518"/>
      <c r="N37" s="515"/>
      <c r="O37" s="518"/>
      <c r="P37" s="515"/>
      <c r="Q37" s="518"/>
      <c r="R37" s="515"/>
      <c r="S37" s="518"/>
      <c r="T37" s="515"/>
      <c r="U37" s="518"/>
      <c r="V37" s="515"/>
      <c r="W37" s="518"/>
      <c r="X37" s="515"/>
      <c r="Y37" s="518"/>
      <c r="Z37" s="515"/>
      <c r="AA37" s="518"/>
      <c r="AB37" s="515"/>
      <c r="AC37" s="518"/>
      <c r="AD37" s="515"/>
      <c r="AE37" s="518"/>
      <c r="AF37" s="515"/>
      <c r="AG37" s="518"/>
      <c r="AH37" s="154"/>
      <c r="AI37" s="154"/>
      <c r="AJ37" s="154"/>
      <c r="AK37" s="154"/>
      <c r="AL37" s="154"/>
      <c r="AM37" s="154"/>
      <c r="AN37" s="154"/>
      <c r="AO37" s="154"/>
      <c r="AP37" s="154"/>
      <c r="AQ37" s="154"/>
    </row>
    <row r="38" spans="1:43" hidden="1">
      <c r="A38" s="515"/>
      <c r="B38" s="515"/>
      <c r="C38" s="517"/>
      <c r="D38" s="515"/>
      <c r="E38" s="518"/>
      <c r="F38" s="515"/>
      <c r="G38" s="518"/>
      <c r="H38" s="515"/>
      <c r="I38" s="518"/>
      <c r="J38" s="515"/>
      <c r="K38" s="518"/>
      <c r="L38" s="515"/>
      <c r="M38" s="518"/>
      <c r="N38" s="515"/>
      <c r="O38" s="518"/>
      <c r="P38" s="515"/>
      <c r="Q38" s="518"/>
      <c r="R38" s="515"/>
      <c r="S38" s="518"/>
      <c r="T38" s="515"/>
      <c r="U38" s="518"/>
      <c r="V38" s="515"/>
      <c r="W38" s="518"/>
      <c r="X38" s="515"/>
      <c r="Y38" s="518"/>
      <c r="Z38" s="515"/>
      <c r="AA38" s="518"/>
      <c r="AB38" s="515"/>
      <c r="AC38" s="518"/>
      <c r="AD38" s="515"/>
      <c r="AE38" s="518"/>
      <c r="AF38" s="515"/>
      <c r="AG38" s="518"/>
      <c r="AH38" s="154"/>
      <c r="AI38" s="154"/>
      <c r="AJ38" s="154"/>
      <c r="AK38" s="154"/>
      <c r="AL38" s="154"/>
      <c r="AM38" s="154"/>
      <c r="AN38" s="154"/>
      <c r="AO38" s="154"/>
      <c r="AP38" s="154"/>
      <c r="AQ38" s="154"/>
    </row>
    <row r="39" spans="1:43" hidden="1">
      <c r="A39" s="515"/>
      <c r="B39" s="515"/>
      <c r="C39" s="517"/>
      <c r="D39" s="515"/>
      <c r="E39" s="518"/>
      <c r="F39" s="515"/>
      <c r="G39" s="518"/>
      <c r="H39" s="515"/>
      <c r="I39" s="518"/>
      <c r="J39" s="515"/>
      <c r="K39" s="518"/>
      <c r="L39" s="515"/>
      <c r="M39" s="518"/>
      <c r="N39" s="515"/>
      <c r="O39" s="518"/>
      <c r="P39" s="515"/>
      <c r="Q39" s="518"/>
      <c r="R39" s="515"/>
      <c r="S39" s="518"/>
      <c r="T39" s="515"/>
      <c r="U39" s="518"/>
      <c r="V39" s="515"/>
      <c r="W39" s="518"/>
      <c r="X39" s="515"/>
      <c r="Y39" s="518"/>
      <c r="Z39" s="515"/>
      <c r="AA39" s="518"/>
      <c r="AB39" s="515"/>
      <c r="AC39" s="518"/>
      <c r="AD39" s="515"/>
      <c r="AE39" s="518"/>
      <c r="AF39" s="515"/>
      <c r="AG39" s="518"/>
      <c r="AH39" s="154"/>
      <c r="AI39" s="154"/>
      <c r="AJ39" s="154"/>
      <c r="AK39" s="154"/>
      <c r="AL39" s="154"/>
      <c r="AM39" s="154"/>
      <c r="AN39" s="154"/>
      <c r="AO39" s="154"/>
      <c r="AP39" s="154"/>
      <c r="AQ39" s="154"/>
    </row>
    <row r="40" spans="1:43" hidden="1">
      <c r="A40" s="515"/>
      <c r="B40" s="515"/>
      <c r="C40" s="517"/>
      <c r="D40" s="515"/>
      <c r="E40" s="518"/>
      <c r="F40" s="515"/>
      <c r="G40" s="518"/>
      <c r="H40" s="515"/>
      <c r="I40" s="518"/>
      <c r="J40" s="515"/>
      <c r="K40" s="518"/>
      <c r="L40" s="515"/>
      <c r="M40" s="518"/>
      <c r="N40" s="515"/>
      <c r="O40" s="518"/>
      <c r="P40" s="515"/>
      <c r="Q40" s="518"/>
      <c r="R40" s="515"/>
      <c r="S40" s="518"/>
      <c r="T40" s="515"/>
      <c r="U40" s="518"/>
      <c r="V40" s="515"/>
      <c r="W40" s="518"/>
      <c r="X40" s="515"/>
      <c r="Y40" s="518"/>
      <c r="Z40" s="515"/>
      <c r="AA40" s="518"/>
      <c r="AB40" s="515"/>
      <c r="AC40" s="518"/>
      <c r="AD40" s="515"/>
      <c r="AE40" s="518"/>
      <c r="AF40" s="515"/>
      <c r="AG40" s="518"/>
      <c r="AH40" s="154"/>
      <c r="AI40" s="154"/>
      <c r="AJ40" s="154"/>
      <c r="AK40" s="154"/>
      <c r="AL40" s="154"/>
      <c r="AM40" s="154"/>
      <c r="AN40" s="154"/>
      <c r="AO40" s="154"/>
      <c r="AP40" s="154"/>
      <c r="AQ40" s="154"/>
    </row>
    <row r="41" spans="1:43" hidden="1">
      <c r="A41" s="154"/>
      <c r="B41" s="154"/>
      <c r="C41" s="519"/>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row>
    <row r="42" spans="1:43" hidden="1">
      <c r="A42" s="154"/>
      <c r="B42" s="520"/>
      <c r="C42" s="521"/>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row>
    <row r="43" spans="1:43" hidden="1">
      <c r="A43" s="154"/>
      <c r="B43" s="154"/>
      <c r="C43" s="521"/>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row>
    <row r="44" spans="1:43" hidden="1">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row>
    <row r="45" spans="1:43">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row>
    <row r="46" spans="1:43">
      <c r="A46" s="154"/>
      <c r="B46" s="154"/>
      <c r="C46" s="154"/>
      <c r="D46" s="154"/>
      <c r="E46" s="154"/>
      <c r="F46" s="154"/>
      <c r="G46" s="522"/>
      <c r="H46" s="154"/>
      <c r="I46" s="522"/>
      <c r="J46" s="154"/>
      <c r="K46" s="522"/>
      <c r="L46" s="154"/>
      <c r="M46" s="522"/>
      <c r="N46" s="154"/>
      <c r="O46" s="522"/>
      <c r="P46" s="154"/>
      <c r="Q46" s="522"/>
      <c r="R46" s="154"/>
      <c r="S46" s="522"/>
      <c r="T46" s="154"/>
      <c r="U46" s="522"/>
      <c r="V46" s="154"/>
      <c r="W46" s="522"/>
      <c r="X46" s="154"/>
      <c r="Y46" s="522"/>
      <c r="Z46" s="154"/>
      <c r="AA46" s="522"/>
      <c r="AB46" s="154"/>
      <c r="AC46" s="154"/>
      <c r="AD46" s="154"/>
      <c r="AE46" s="154"/>
      <c r="AF46" s="154"/>
      <c r="AG46" s="154"/>
      <c r="AH46" s="154"/>
      <c r="AI46" s="154"/>
      <c r="AJ46" s="154"/>
      <c r="AK46" s="154"/>
      <c r="AL46" s="154"/>
      <c r="AM46" s="154"/>
      <c r="AN46" s="154"/>
      <c r="AO46" s="154"/>
      <c r="AP46" s="154"/>
      <c r="AQ46" s="154"/>
    </row>
    <row r="47" spans="1:43">
      <c r="A47" s="145"/>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row>
    <row r="48" spans="1:43">
      <c r="A48" s="523"/>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row>
    <row r="49" spans="1:51">
      <c r="A49" s="523"/>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row>
    <row r="50" spans="1:51">
      <c r="A50" s="145"/>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row>
    <row r="51" spans="1:51">
      <c r="A51" s="515"/>
      <c r="B51" s="515"/>
      <c r="C51" s="154"/>
      <c r="D51" s="515"/>
      <c r="E51" s="154"/>
      <c r="F51" s="515"/>
      <c r="G51" s="154"/>
      <c r="H51" s="515"/>
      <c r="I51" s="154"/>
      <c r="J51" s="515"/>
      <c r="K51" s="154"/>
      <c r="L51" s="515"/>
      <c r="M51" s="154"/>
      <c r="N51" s="515"/>
      <c r="O51" s="154"/>
      <c r="P51" s="515"/>
      <c r="Q51" s="154"/>
      <c r="R51" s="515"/>
      <c r="S51" s="154"/>
      <c r="T51" s="515"/>
      <c r="U51" s="154"/>
      <c r="V51" s="515"/>
      <c r="W51" s="154"/>
      <c r="X51" s="515"/>
      <c r="Y51" s="154"/>
      <c r="Z51" s="515"/>
      <c r="AA51" s="154"/>
      <c r="AB51" s="515"/>
      <c r="AC51" s="154"/>
      <c r="AD51" s="515"/>
      <c r="AE51" s="154"/>
      <c r="AF51" s="515"/>
      <c r="AG51" s="154"/>
      <c r="AH51" s="154"/>
      <c r="AI51" s="154"/>
      <c r="AJ51" s="144"/>
      <c r="AK51" s="145"/>
      <c r="AL51" s="145"/>
      <c r="AM51" s="145"/>
      <c r="AN51" s="145"/>
      <c r="AO51" s="145"/>
      <c r="AP51" s="145"/>
      <c r="AQ51" s="145"/>
      <c r="AR51" s="414"/>
      <c r="AS51" s="414"/>
      <c r="AT51" s="414"/>
      <c r="AU51" s="414"/>
      <c r="AV51" s="414"/>
      <c r="AW51" s="414"/>
      <c r="AX51" s="414"/>
      <c r="AY51" s="414"/>
    </row>
    <row r="52" spans="1:51">
      <c r="A52" s="148"/>
      <c r="B52" s="515"/>
      <c r="C52" s="154"/>
      <c r="D52" s="515"/>
      <c r="E52" s="148"/>
      <c r="F52" s="515"/>
      <c r="G52" s="148"/>
      <c r="H52" s="148"/>
      <c r="I52" s="148"/>
      <c r="J52" s="148"/>
      <c r="K52" s="148"/>
      <c r="L52" s="148"/>
      <c r="M52" s="148"/>
      <c r="N52" s="148"/>
      <c r="O52" s="148"/>
      <c r="P52" s="515"/>
      <c r="Q52" s="148"/>
      <c r="R52" s="515"/>
      <c r="S52" s="148"/>
      <c r="T52" s="515"/>
      <c r="U52" s="148"/>
      <c r="V52" s="515"/>
      <c r="W52" s="148"/>
      <c r="X52" s="515"/>
      <c r="Y52" s="148"/>
      <c r="Z52" s="515"/>
      <c r="AA52" s="148"/>
      <c r="AB52" s="515"/>
      <c r="AC52" s="148"/>
      <c r="AD52" s="515"/>
      <c r="AE52" s="148"/>
      <c r="AF52" s="515"/>
      <c r="AG52" s="148"/>
      <c r="AH52" s="154"/>
      <c r="AI52" s="154"/>
      <c r="AJ52" s="148"/>
      <c r="AK52" s="149"/>
      <c r="AL52" s="148"/>
      <c r="AM52" s="148"/>
      <c r="AN52" s="148"/>
      <c r="AO52" s="148"/>
      <c r="AP52" s="148"/>
      <c r="AQ52" s="148"/>
      <c r="AR52" s="148"/>
      <c r="AS52" s="148"/>
      <c r="AT52" s="148"/>
      <c r="AU52" s="148"/>
      <c r="AV52" s="148"/>
      <c r="AW52" s="148"/>
      <c r="AX52" s="148"/>
      <c r="AY52" s="148"/>
    </row>
    <row r="53" spans="1:51">
      <c r="A53" s="363"/>
      <c r="B53" s="515"/>
      <c r="C53" s="363"/>
      <c r="D53" s="515"/>
      <c r="E53" s="362"/>
      <c r="F53" s="515"/>
      <c r="G53" s="363"/>
      <c r="H53" s="148"/>
      <c r="I53" s="362"/>
      <c r="J53" s="148"/>
      <c r="K53" s="362"/>
      <c r="L53" s="148"/>
      <c r="M53" s="362"/>
      <c r="N53" s="148"/>
      <c r="O53" s="362"/>
      <c r="P53" s="515"/>
      <c r="Q53" s="362"/>
      <c r="R53" s="515"/>
      <c r="S53" s="362"/>
      <c r="T53" s="515"/>
      <c r="U53" s="362"/>
      <c r="V53" s="515"/>
      <c r="W53" s="362"/>
      <c r="X53" s="515"/>
      <c r="Y53" s="362"/>
      <c r="Z53" s="515"/>
      <c r="AA53" s="362"/>
      <c r="AB53" s="515"/>
      <c r="AC53" s="362"/>
      <c r="AD53" s="515"/>
      <c r="AE53" s="362"/>
      <c r="AF53" s="515"/>
      <c r="AG53" s="362"/>
      <c r="AH53" s="154"/>
      <c r="AI53" s="154"/>
      <c r="AJ53" s="148"/>
      <c r="AK53" s="148"/>
      <c r="AL53" s="148"/>
      <c r="AM53" s="148"/>
      <c r="AN53" s="148"/>
      <c r="AO53" s="148"/>
      <c r="AP53" s="148"/>
      <c r="AQ53" s="148"/>
      <c r="AR53" s="148"/>
      <c r="AS53" s="148"/>
      <c r="AT53" s="148"/>
      <c r="AU53" s="148"/>
      <c r="AV53" s="148"/>
      <c r="AW53" s="148"/>
      <c r="AX53" s="148"/>
      <c r="AY53" s="148"/>
    </row>
    <row r="54" spans="1:51">
      <c r="A54" s="148"/>
      <c r="B54" s="515"/>
      <c r="C54" s="524"/>
      <c r="D54" s="515"/>
      <c r="E54" s="524"/>
      <c r="F54" s="515"/>
      <c r="G54" s="524"/>
      <c r="H54" s="515"/>
      <c r="I54" s="524"/>
      <c r="J54" s="515"/>
      <c r="K54" s="524"/>
      <c r="L54" s="515"/>
      <c r="M54" s="524"/>
      <c r="N54" s="515"/>
      <c r="O54" s="524"/>
      <c r="P54" s="515"/>
      <c r="Q54" s="524"/>
      <c r="R54" s="515"/>
      <c r="S54" s="524"/>
      <c r="T54" s="515"/>
      <c r="U54" s="524"/>
      <c r="V54" s="515"/>
      <c r="W54" s="524"/>
      <c r="X54" s="515"/>
      <c r="Y54" s="524"/>
      <c r="Z54" s="515"/>
      <c r="AA54" s="524"/>
      <c r="AB54" s="515"/>
      <c r="AC54" s="524"/>
      <c r="AD54" s="515"/>
      <c r="AE54" s="524"/>
      <c r="AF54" s="515"/>
      <c r="AG54" s="524"/>
      <c r="AH54" s="154"/>
      <c r="AI54" s="154"/>
      <c r="AJ54" s="148"/>
      <c r="AK54" s="154"/>
      <c r="AL54" s="154"/>
      <c r="AM54" s="154"/>
      <c r="AN54" s="154"/>
      <c r="AO54" s="154"/>
      <c r="AP54" s="154"/>
      <c r="AQ54" s="154"/>
      <c r="AR54" s="154"/>
      <c r="AS54" s="154"/>
      <c r="AT54" s="154"/>
      <c r="AU54" s="154"/>
      <c r="AV54" s="154"/>
      <c r="AW54" s="154"/>
      <c r="AX54" s="154"/>
      <c r="AY54" s="154"/>
    </row>
    <row r="55" spans="1:51">
      <c r="A55" s="515"/>
      <c r="B55" s="515"/>
      <c r="C55" s="154"/>
      <c r="D55" s="515"/>
      <c r="E55" s="154"/>
      <c r="F55" s="515"/>
      <c r="G55" s="154"/>
      <c r="H55" s="515"/>
      <c r="I55" s="154"/>
      <c r="J55" s="515"/>
      <c r="K55" s="154"/>
      <c r="L55" s="515"/>
      <c r="M55" s="154"/>
      <c r="N55" s="515"/>
      <c r="O55" s="154"/>
      <c r="P55" s="515"/>
      <c r="Q55" s="154"/>
      <c r="R55" s="515"/>
      <c r="S55" s="154"/>
      <c r="T55" s="515"/>
      <c r="U55" s="154"/>
      <c r="V55" s="515"/>
      <c r="W55" s="154"/>
      <c r="X55" s="515"/>
      <c r="Y55" s="154"/>
      <c r="Z55" s="515"/>
      <c r="AA55" s="154"/>
      <c r="AB55" s="515"/>
      <c r="AC55" s="154"/>
      <c r="AD55" s="515"/>
      <c r="AE55" s="154"/>
      <c r="AF55" s="515"/>
      <c r="AG55" s="154"/>
      <c r="AH55" s="154"/>
      <c r="AI55" s="154"/>
      <c r="AJ55" s="148"/>
      <c r="AK55" s="155"/>
      <c r="AL55" s="155"/>
      <c r="AM55" s="155"/>
      <c r="AN55" s="155"/>
      <c r="AO55" s="155"/>
      <c r="AP55" s="155"/>
      <c r="AQ55" s="156"/>
      <c r="AR55" s="155"/>
      <c r="AS55" s="156"/>
      <c r="AT55" s="156"/>
      <c r="AU55" s="156"/>
      <c r="AV55" s="155"/>
      <c r="AW55" s="155"/>
      <c r="AX55" s="155"/>
      <c r="AY55" s="155"/>
    </row>
    <row r="56" spans="1:51">
      <c r="A56" s="515"/>
      <c r="B56" s="525"/>
      <c r="C56" s="154"/>
      <c r="D56" s="515"/>
      <c r="E56" s="154"/>
      <c r="F56" s="515"/>
      <c r="G56" s="154"/>
      <c r="H56" s="515"/>
      <c r="I56" s="154"/>
      <c r="J56" s="515"/>
      <c r="K56" s="154"/>
      <c r="L56" s="515"/>
      <c r="M56" s="154"/>
      <c r="N56" s="515"/>
      <c r="O56" s="154"/>
      <c r="P56" s="515"/>
      <c r="Q56" s="154"/>
      <c r="R56" s="515"/>
      <c r="S56" s="154"/>
      <c r="T56" s="515"/>
      <c r="U56" s="154"/>
      <c r="V56" s="515"/>
      <c r="W56" s="154"/>
      <c r="X56" s="515"/>
      <c r="Y56" s="154"/>
      <c r="Z56" s="515"/>
      <c r="AA56" s="154"/>
      <c r="AB56" s="515"/>
      <c r="AC56" s="154"/>
      <c r="AD56" s="515"/>
      <c r="AE56" s="154"/>
      <c r="AF56" s="515"/>
      <c r="AG56" s="154"/>
      <c r="AH56" s="154"/>
      <c r="AI56" s="154"/>
      <c r="AJ56" s="148"/>
      <c r="AK56" s="155"/>
      <c r="AL56" s="155"/>
      <c r="AM56" s="155"/>
      <c r="AN56" s="155"/>
      <c r="AO56" s="155"/>
      <c r="AP56" s="155"/>
      <c r="AQ56" s="156"/>
      <c r="AR56" s="155"/>
      <c r="AS56" s="155"/>
      <c r="AT56" s="155"/>
      <c r="AU56" s="156"/>
      <c r="AV56" s="155"/>
      <c r="AW56" s="155"/>
      <c r="AX56" s="155"/>
      <c r="AY56" s="155"/>
    </row>
    <row r="57" spans="1:51">
      <c r="A57" s="515"/>
      <c r="B57" s="515"/>
      <c r="C57" s="517"/>
      <c r="D57" s="515"/>
      <c r="E57" s="526"/>
      <c r="F57" s="515"/>
      <c r="G57" s="526"/>
      <c r="H57" s="515"/>
      <c r="I57" s="526"/>
      <c r="J57" s="515"/>
      <c r="K57" s="526"/>
      <c r="L57" s="515"/>
      <c r="M57" s="526"/>
      <c r="N57" s="515"/>
      <c r="O57" s="526"/>
      <c r="P57" s="515"/>
      <c r="Q57" s="526"/>
      <c r="R57" s="515"/>
      <c r="S57" s="526"/>
      <c r="T57" s="515"/>
      <c r="U57" s="526"/>
      <c r="V57" s="515"/>
      <c r="W57" s="526"/>
      <c r="X57" s="515"/>
      <c r="Y57" s="526"/>
      <c r="Z57" s="515"/>
      <c r="AA57" s="526"/>
      <c r="AB57" s="515"/>
      <c r="AC57" s="526"/>
      <c r="AD57" s="515"/>
      <c r="AE57" s="526"/>
      <c r="AF57" s="515"/>
      <c r="AG57" s="526"/>
      <c r="AH57" s="154"/>
      <c r="AI57" s="154"/>
      <c r="AJ57" s="148"/>
      <c r="AK57" s="155"/>
      <c r="AL57" s="155"/>
      <c r="AM57" s="155"/>
      <c r="AN57" s="155"/>
      <c r="AO57" s="155"/>
      <c r="AP57" s="155"/>
      <c r="AQ57" s="156"/>
      <c r="AR57" s="155"/>
      <c r="AS57" s="155"/>
      <c r="AT57" s="155"/>
      <c r="AU57" s="156"/>
      <c r="AV57" s="155"/>
      <c r="AW57" s="155"/>
      <c r="AX57" s="155"/>
      <c r="AY57" s="155"/>
    </row>
    <row r="58" spans="1:51">
      <c r="A58" s="515"/>
      <c r="B58" s="515"/>
      <c r="C58" s="154"/>
      <c r="D58" s="515"/>
      <c r="E58" s="526"/>
      <c r="F58" s="515"/>
      <c r="G58" s="526"/>
      <c r="H58" s="515"/>
      <c r="I58" s="526"/>
      <c r="J58" s="515"/>
      <c r="K58" s="526"/>
      <c r="L58" s="515"/>
      <c r="M58" s="526"/>
      <c r="N58" s="515"/>
      <c r="O58" s="526"/>
      <c r="P58" s="515"/>
      <c r="Q58" s="526"/>
      <c r="R58" s="515"/>
      <c r="S58" s="526"/>
      <c r="T58" s="515"/>
      <c r="U58" s="526"/>
      <c r="V58" s="515"/>
      <c r="W58" s="526"/>
      <c r="X58" s="515"/>
      <c r="Y58" s="526"/>
      <c r="Z58" s="515"/>
      <c r="AA58" s="526"/>
      <c r="AB58" s="515"/>
      <c r="AC58" s="526"/>
      <c r="AD58" s="515"/>
      <c r="AE58" s="526"/>
      <c r="AF58" s="515"/>
      <c r="AG58" s="526"/>
      <c r="AH58" s="154"/>
      <c r="AI58" s="154"/>
      <c r="AJ58" s="148"/>
      <c r="AK58" s="155"/>
      <c r="AL58" s="155"/>
      <c r="AM58" s="155"/>
      <c r="AN58" s="155"/>
      <c r="AO58" s="155"/>
      <c r="AP58" s="155"/>
      <c r="AQ58" s="156"/>
      <c r="AR58" s="155"/>
      <c r="AS58" s="155"/>
      <c r="AT58" s="155"/>
      <c r="AU58" s="156"/>
      <c r="AV58" s="155"/>
      <c r="AW58" s="155"/>
      <c r="AX58" s="155"/>
      <c r="AY58" s="155"/>
    </row>
    <row r="59" spans="1:51">
      <c r="A59" s="515"/>
      <c r="B59" s="515"/>
      <c r="C59" s="154"/>
      <c r="D59" s="515"/>
      <c r="E59" s="526"/>
      <c r="F59" s="515"/>
      <c r="G59" s="526"/>
      <c r="H59" s="515"/>
      <c r="I59" s="526"/>
      <c r="J59" s="515"/>
      <c r="K59" s="526"/>
      <c r="L59" s="515"/>
      <c r="M59" s="526"/>
      <c r="N59" s="515"/>
      <c r="O59" s="526"/>
      <c r="P59" s="515"/>
      <c r="Q59" s="526"/>
      <c r="R59" s="515"/>
      <c r="S59" s="526"/>
      <c r="T59" s="515"/>
      <c r="U59" s="526"/>
      <c r="V59" s="515"/>
      <c r="W59" s="526"/>
      <c r="X59" s="515"/>
      <c r="Y59" s="526"/>
      <c r="Z59" s="515"/>
      <c r="AA59" s="526"/>
      <c r="AB59" s="515"/>
      <c r="AC59" s="526"/>
      <c r="AD59" s="515"/>
      <c r="AE59" s="526"/>
      <c r="AF59" s="515"/>
      <c r="AG59" s="526"/>
      <c r="AH59" s="154"/>
      <c r="AI59" s="154"/>
      <c r="AJ59" s="148"/>
      <c r="AK59" s="155"/>
      <c r="AL59" s="155"/>
      <c r="AM59" s="155"/>
      <c r="AN59" s="155"/>
      <c r="AO59" s="155"/>
      <c r="AP59" s="155"/>
      <c r="AQ59" s="156"/>
      <c r="AR59" s="155"/>
      <c r="AS59" s="155"/>
      <c r="AT59" s="155"/>
      <c r="AU59" s="156"/>
      <c r="AV59" s="155"/>
      <c r="AW59" s="155"/>
      <c r="AX59" s="155"/>
      <c r="AY59" s="155"/>
    </row>
    <row r="60" spans="1:51">
      <c r="A60" s="515"/>
      <c r="B60" s="515"/>
      <c r="C60" s="154"/>
      <c r="D60" s="515"/>
      <c r="E60" s="526"/>
      <c r="F60" s="515"/>
      <c r="G60" s="526"/>
      <c r="H60" s="515"/>
      <c r="I60" s="526"/>
      <c r="J60" s="515"/>
      <c r="K60" s="526"/>
      <c r="L60" s="515"/>
      <c r="M60" s="526"/>
      <c r="N60" s="515"/>
      <c r="O60" s="526"/>
      <c r="P60" s="515"/>
      <c r="Q60" s="526"/>
      <c r="R60" s="515"/>
      <c r="S60" s="526"/>
      <c r="T60" s="515"/>
      <c r="U60" s="526"/>
      <c r="V60" s="515"/>
      <c r="W60" s="526"/>
      <c r="X60" s="515"/>
      <c r="Y60" s="526"/>
      <c r="Z60" s="515"/>
      <c r="AA60" s="526"/>
      <c r="AB60" s="515"/>
      <c r="AC60" s="526"/>
      <c r="AD60" s="515"/>
      <c r="AE60" s="526"/>
      <c r="AF60" s="515"/>
      <c r="AG60" s="526"/>
      <c r="AH60" s="154"/>
      <c r="AI60" s="154"/>
      <c r="AJ60" s="148"/>
      <c r="AK60" s="154"/>
      <c r="AL60" s="154"/>
      <c r="AM60" s="154"/>
      <c r="AN60" s="154"/>
      <c r="AO60" s="154"/>
      <c r="AP60" s="154"/>
      <c r="AQ60" s="156"/>
      <c r="AR60" s="155"/>
      <c r="AS60" s="155"/>
      <c r="AT60" s="155"/>
      <c r="AU60" s="156"/>
      <c r="AV60" s="155"/>
      <c r="AW60" s="155"/>
      <c r="AX60" s="155"/>
      <c r="AY60" s="155"/>
    </row>
    <row r="61" spans="1:51">
      <c r="A61" s="515"/>
      <c r="B61" s="515"/>
      <c r="C61" s="154"/>
      <c r="D61" s="515"/>
      <c r="E61" s="526"/>
      <c r="F61" s="515"/>
      <c r="G61" s="526"/>
      <c r="H61" s="515"/>
      <c r="I61" s="526"/>
      <c r="J61" s="515"/>
      <c r="K61" s="526"/>
      <c r="L61" s="515"/>
      <c r="M61" s="526"/>
      <c r="N61" s="515"/>
      <c r="O61" s="526"/>
      <c r="P61" s="515"/>
      <c r="Q61" s="526"/>
      <c r="R61" s="515"/>
      <c r="S61" s="526"/>
      <c r="T61" s="515"/>
      <c r="U61" s="526"/>
      <c r="V61" s="515"/>
      <c r="W61" s="526"/>
      <c r="X61" s="515"/>
      <c r="Y61" s="526"/>
      <c r="Z61" s="515"/>
      <c r="AA61" s="526"/>
      <c r="AB61" s="515"/>
      <c r="AC61" s="526"/>
      <c r="AD61" s="515"/>
      <c r="AE61" s="526"/>
      <c r="AF61" s="515"/>
      <c r="AG61" s="526"/>
      <c r="AH61" s="154"/>
      <c r="AI61" s="154"/>
      <c r="AJ61" s="148"/>
      <c r="AK61" s="154"/>
      <c r="AL61" s="154"/>
      <c r="AM61" s="154"/>
      <c r="AN61" s="154"/>
      <c r="AO61" s="154"/>
      <c r="AP61" s="154"/>
      <c r="AQ61" s="156"/>
      <c r="AR61" s="155"/>
      <c r="AS61" s="155"/>
      <c r="AT61" s="155"/>
      <c r="AU61" s="156"/>
      <c r="AV61" s="155"/>
      <c r="AW61" s="155"/>
      <c r="AX61" s="155"/>
      <c r="AY61" s="155"/>
    </row>
    <row r="62" spans="1:51">
      <c r="A62" s="515"/>
      <c r="B62" s="515"/>
      <c r="C62" s="154"/>
      <c r="D62" s="515"/>
      <c r="E62" s="526"/>
      <c r="F62" s="515"/>
      <c r="G62" s="526"/>
      <c r="H62" s="515"/>
      <c r="I62" s="526"/>
      <c r="J62" s="515"/>
      <c r="K62" s="526"/>
      <c r="L62" s="515"/>
      <c r="M62" s="526"/>
      <c r="N62" s="515"/>
      <c r="O62" s="526"/>
      <c r="P62" s="515"/>
      <c r="Q62" s="526"/>
      <c r="R62" s="515"/>
      <c r="S62" s="526"/>
      <c r="T62" s="515"/>
      <c r="U62" s="526"/>
      <c r="V62" s="515"/>
      <c r="W62" s="526"/>
      <c r="X62" s="515"/>
      <c r="Y62" s="526"/>
      <c r="Z62" s="515"/>
      <c r="AA62" s="526"/>
      <c r="AB62" s="515"/>
      <c r="AC62" s="526"/>
      <c r="AD62" s="515"/>
      <c r="AE62" s="526"/>
      <c r="AF62" s="515"/>
      <c r="AG62" s="526"/>
      <c r="AH62" s="154"/>
      <c r="AI62" s="154"/>
      <c r="AJ62" s="148"/>
      <c r="AK62" s="155"/>
      <c r="AL62" s="155"/>
      <c r="AM62" s="155"/>
      <c r="AN62" s="155"/>
      <c r="AO62" s="155"/>
      <c r="AP62" s="155"/>
      <c r="AQ62" s="155"/>
      <c r="AR62" s="155"/>
      <c r="AS62" s="155"/>
      <c r="AT62" s="155"/>
      <c r="AU62" s="155"/>
      <c r="AV62" s="155"/>
      <c r="AW62" s="155"/>
      <c r="AX62" s="155"/>
      <c r="AY62" s="155"/>
    </row>
    <row r="63" spans="1:51">
      <c r="A63" s="515"/>
      <c r="B63" s="515"/>
      <c r="C63" s="154"/>
      <c r="D63" s="515"/>
      <c r="E63" s="526"/>
      <c r="F63" s="515"/>
      <c r="G63" s="526"/>
      <c r="H63" s="515"/>
      <c r="I63" s="526"/>
      <c r="J63" s="515"/>
      <c r="K63" s="526"/>
      <c r="L63" s="515"/>
      <c r="M63" s="526"/>
      <c r="N63" s="515"/>
      <c r="O63" s="526"/>
      <c r="P63" s="515"/>
      <c r="Q63" s="526"/>
      <c r="R63" s="515"/>
      <c r="S63" s="526"/>
      <c r="T63" s="515"/>
      <c r="U63" s="526"/>
      <c r="V63" s="515"/>
      <c r="W63" s="526"/>
      <c r="X63" s="515"/>
      <c r="Y63" s="526"/>
      <c r="Z63" s="515"/>
      <c r="AA63" s="526"/>
      <c r="AB63" s="515"/>
      <c r="AC63" s="526"/>
      <c r="AD63" s="515"/>
      <c r="AE63" s="526"/>
      <c r="AF63" s="515"/>
      <c r="AG63" s="526"/>
      <c r="AH63" s="154"/>
      <c r="AI63" s="154"/>
      <c r="AJ63" s="154"/>
      <c r="AK63" s="154"/>
      <c r="AL63" s="154"/>
      <c r="AM63" s="154"/>
      <c r="AN63" s="154"/>
      <c r="AO63" s="154"/>
      <c r="AP63" s="154"/>
      <c r="AQ63" s="154"/>
    </row>
    <row r="64" spans="1:51">
      <c r="A64" s="515"/>
      <c r="B64" s="515"/>
      <c r="C64" s="517"/>
      <c r="D64" s="515"/>
      <c r="E64" s="526"/>
      <c r="F64" s="515"/>
      <c r="G64" s="526"/>
      <c r="H64" s="515"/>
      <c r="I64" s="526"/>
      <c r="J64" s="515"/>
      <c r="K64" s="526"/>
      <c r="L64" s="515"/>
      <c r="M64" s="526"/>
      <c r="N64" s="515"/>
      <c r="O64" s="526"/>
      <c r="P64" s="515"/>
      <c r="Q64" s="526"/>
      <c r="R64" s="515"/>
      <c r="S64" s="526"/>
      <c r="T64" s="515"/>
      <c r="U64" s="526"/>
      <c r="V64" s="515"/>
      <c r="W64" s="526"/>
      <c r="X64" s="515"/>
      <c r="Y64" s="526"/>
      <c r="Z64" s="515"/>
      <c r="AA64" s="526"/>
      <c r="AB64" s="515"/>
      <c r="AC64" s="526"/>
      <c r="AD64" s="515"/>
      <c r="AE64" s="526"/>
      <c r="AF64" s="515"/>
      <c r="AG64" s="526"/>
      <c r="AH64" s="154"/>
      <c r="AI64" s="154"/>
      <c r="AJ64" s="154"/>
      <c r="AK64" s="154"/>
      <c r="AL64" s="154"/>
      <c r="AM64" s="154"/>
      <c r="AN64" s="154"/>
      <c r="AO64" s="154"/>
      <c r="AP64" s="154"/>
      <c r="AQ64" s="154"/>
    </row>
    <row r="65" spans="1:43">
      <c r="A65" s="515"/>
      <c r="B65" s="515"/>
      <c r="C65" s="154"/>
      <c r="D65" s="515"/>
      <c r="E65" s="154"/>
      <c r="F65" s="515"/>
      <c r="G65" s="154"/>
      <c r="H65" s="515"/>
      <c r="I65" s="154"/>
      <c r="J65" s="515"/>
      <c r="K65" s="154"/>
      <c r="L65" s="515"/>
      <c r="M65" s="154"/>
      <c r="N65" s="515"/>
      <c r="O65" s="154"/>
      <c r="P65" s="515"/>
      <c r="Q65" s="154"/>
      <c r="R65" s="515"/>
      <c r="S65" s="154"/>
      <c r="T65" s="515"/>
      <c r="U65" s="154"/>
      <c r="V65" s="515"/>
      <c r="W65" s="154"/>
      <c r="X65" s="515"/>
      <c r="Y65" s="154"/>
      <c r="Z65" s="515"/>
      <c r="AA65" s="154"/>
      <c r="AB65" s="515"/>
      <c r="AC65" s="154"/>
      <c r="AD65" s="515"/>
      <c r="AE65" s="154"/>
      <c r="AF65" s="515"/>
      <c r="AG65" s="154"/>
      <c r="AH65" s="154"/>
      <c r="AI65" s="154"/>
      <c r="AJ65" s="154"/>
      <c r="AK65" s="154"/>
      <c r="AL65" s="154"/>
      <c r="AM65" s="154"/>
      <c r="AN65" s="154"/>
      <c r="AO65" s="154"/>
      <c r="AP65" s="154"/>
      <c r="AQ65" s="154"/>
    </row>
    <row r="66" spans="1:43">
      <c r="A66" s="515"/>
      <c r="B66" s="515"/>
      <c r="C66" s="154"/>
      <c r="D66" s="515"/>
      <c r="E66" s="527"/>
      <c r="F66" s="515"/>
      <c r="G66" s="527"/>
      <c r="H66" s="515"/>
      <c r="I66" s="527"/>
      <c r="J66" s="515"/>
      <c r="K66" s="527"/>
      <c r="L66" s="515"/>
      <c r="M66" s="527"/>
      <c r="N66" s="515"/>
      <c r="O66" s="527"/>
      <c r="P66" s="515"/>
      <c r="Q66" s="527"/>
      <c r="R66" s="515"/>
      <c r="S66" s="527"/>
      <c r="T66" s="515"/>
      <c r="U66" s="527"/>
      <c r="V66" s="515"/>
      <c r="W66" s="527"/>
      <c r="X66" s="515"/>
      <c r="Y66" s="527"/>
      <c r="Z66" s="515"/>
      <c r="AA66" s="527"/>
      <c r="AB66" s="515"/>
      <c r="AC66" s="527"/>
      <c r="AD66" s="515"/>
      <c r="AE66" s="527"/>
      <c r="AF66" s="515"/>
      <c r="AG66" s="527"/>
      <c r="AH66" s="154"/>
      <c r="AI66" s="154"/>
      <c r="AJ66" s="154"/>
      <c r="AK66" s="154"/>
      <c r="AL66" s="154"/>
      <c r="AM66" s="154"/>
      <c r="AN66" s="154"/>
      <c r="AO66" s="154"/>
      <c r="AP66" s="154"/>
      <c r="AQ66" s="154"/>
    </row>
    <row r="67" spans="1:43">
      <c r="A67" s="515"/>
      <c r="B67" s="515"/>
      <c r="C67" s="154"/>
      <c r="D67" s="515"/>
      <c r="E67" s="154"/>
      <c r="F67" s="515"/>
      <c r="G67" s="154"/>
      <c r="H67" s="515"/>
      <c r="I67" s="154"/>
      <c r="J67" s="515"/>
      <c r="K67" s="154"/>
      <c r="L67" s="515"/>
      <c r="M67" s="154"/>
      <c r="N67" s="515"/>
      <c r="O67" s="154"/>
      <c r="P67" s="515"/>
      <c r="Q67" s="154"/>
      <c r="R67" s="515"/>
      <c r="S67" s="154"/>
      <c r="T67" s="515"/>
      <c r="U67" s="154"/>
      <c r="V67" s="515"/>
      <c r="W67" s="154"/>
      <c r="X67" s="515"/>
      <c r="Y67" s="154"/>
      <c r="Z67" s="515"/>
      <c r="AA67" s="154"/>
      <c r="AB67" s="515"/>
      <c r="AC67" s="154"/>
      <c r="AD67" s="515"/>
      <c r="AE67" s="154"/>
      <c r="AF67" s="515"/>
      <c r="AG67" s="154"/>
      <c r="AH67" s="154"/>
      <c r="AI67" s="154"/>
      <c r="AJ67" s="154"/>
      <c r="AK67" s="154"/>
      <c r="AL67" s="154"/>
      <c r="AM67" s="154"/>
      <c r="AN67" s="154"/>
      <c r="AO67" s="154"/>
      <c r="AP67" s="154"/>
      <c r="AQ67" s="154"/>
    </row>
    <row r="68" spans="1:43">
      <c r="A68" s="515"/>
      <c r="B68" s="515"/>
      <c r="C68" s="154"/>
      <c r="D68" s="515"/>
      <c r="E68" s="519"/>
      <c r="F68" s="515"/>
      <c r="G68" s="519"/>
      <c r="H68" s="515"/>
      <c r="I68" s="519"/>
      <c r="J68" s="515"/>
      <c r="K68" s="519"/>
      <c r="L68" s="515"/>
      <c r="M68" s="519"/>
      <c r="N68" s="515"/>
      <c r="O68" s="519"/>
      <c r="P68" s="515"/>
      <c r="Q68" s="519"/>
      <c r="R68" s="515"/>
      <c r="S68" s="519"/>
      <c r="T68" s="515"/>
      <c r="U68" s="519"/>
      <c r="V68" s="515"/>
      <c r="W68" s="519"/>
      <c r="X68" s="515"/>
      <c r="Y68" s="519"/>
      <c r="Z68" s="515"/>
      <c r="AA68" s="519"/>
      <c r="AB68" s="515"/>
      <c r="AC68" s="519"/>
      <c r="AD68" s="515"/>
      <c r="AE68" s="519"/>
      <c r="AF68" s="515"/>
      <c r="AG68" s="519"/>
      <c r="AH68" s="154"/>
      <c r="AI68" s="154"/>
      <c r="AJ68" s="154"/>
      <c r="AK68" s="154"/>
      <c r="AL68" s="154"/>
      <c r="AM68" s="154"/>
      <c r="AN68" s="154"/>
      <c r="AO68" s="154"/>
      <c r="AP68" s="154"/>
      <c r="AQ68" s="154"/>
    </row>
    <row r="69" spans="1:43">
      <c r="A69" s="515"/>
      <c r="B69" s="515"/>
      <c r="C69" s="154"/>
      <c r="D69" s="515"/>
      <c r="E69" s="154"/>
      <c r="F69" s="515"/>
      <c r="G69" s="154"/>
      <c r="H69" s="515"/>
      <c r="I69" s="154"/>
      <c r="J69" s="515"/>
      <c r="K69" s="154"/>
      <c r="L69" s="515"/>
      <c r="M69" s="154"/>
      <c r="N69" s="515"/>
      <c r="O69" s="154"/>
      <c r="P69" s="515"/>
      <c r="Q69" s="154"/>
      <c r="R69" s="515"/>
      <c r="S69" s="154"/>
      <c r="T69" s="515"/>
      <c r="U69" s="154"/>
      <c r="V69" s="515"/>
      <c r="W69" s="154"/>
      <c r="X69" s="515"/>
      <c r="Y69" s="154"/>
      <c r="Z69" s="515"/>
      <c r="AA69" s="154"/>
      <c r="AB69" s="515"/>
      <c r="AC69" s="154"/>
      <c r="AD69" s="515"/>
      <c r="AE69" s="154"/>
      <c r="AF69" s="515"/>
      <c r="AG69" s="154"/>
      <c r="AH69" s="154"/>
      <c r="AI69" s="154"/>
      <c r="AJ69" s="154"/>
      <c r="AK69" s="154"/>
      <c r="AL69" s="154"/>
      <c r="AM69" s="154"/>
      <c r="AN69" s="154"/>
      <c r="AO69" s="154"/>
      <c r="AP69" s="154"/>
      <c r="AQ69" s="154"/>
    </row>
    <row r="70" spans="1:43">
      <c r="A70" s="515"/>
      <c r="B70" s="525"/>
      <c r="C70" s="154"/>
      <c r="D70" s="515"/>
      <c r="E70" s="154"/>
      <c r="F70" s="515"/>
      <c r="G70" s="154"/>
      <c r="H70" s="515"/>
      <c r="I70" s="154"/>
      <c r="J70" s="515"/>
      <c r="K70" s="154"/>
      <c r="L70" s="515"/>
      <c r="M70" s="154"/>
      <c r="N70" s="515"/>
      <c r="O70" s="154"/>
      <c r="P70" s="515"/>
      <c r="Q70" s="154"/>
      <c r="R70" s="515"/>
      <c r="S70" s="154"/>
      <c r="T70" s="515"/>
      <c r="U70" s="154"/>
      <c r="V70" s="515"/>
      <c r="W70" s="154"/>
      <c r="X70" s="515"/>
      <c r="Y70" s="154"/>
      <c r="Z70" s="515"/>
      <c r="AA70" s="154"/>
      <c r="AB70" s="515"/>
      <c r="AC70" s="154"/>
      <c r="AD70" s="515"/>
      <c r="AE70" s="154"/>
      <c r="AF70" s="515"/>
      <c r="AG70" s="154"/>
      <c r="AH70" s="154"/>
      <c r="AI70" s="154"/>
      <c r="AJ70" s="154"/>
      <c r="AK70" s="154"/>
      <c r="AL70" s="154"/>
      <c r="AM70" s="154"/>
      <c r="AN70" s="154"/>
      <c r="AO70" s="154"/>
      <c r="AP70" s="154"/>
      <c r="AQ70" s="154"/>
    </row>
    <row r="71" spans="1:43">
      <c r="A71" s="515"/>
      <c r="B71" s="515"/>
      <c r="C71" s="154"/>
      <c r="D71" s="515"/>
      <c r="E71" s="526"/>
      <c r="F71" s="515"/>
      <c r="G71" s="526"/>
      <c r="H71" s="515"/>
      <c r="I71" s="526"/>
      <c r="J71" s="515"/>
      <c r="K71" s="526"/>
      <c r="L71" s="515"/>
      <c r="M71" s="526"/>
      <c r="N71" s="515"/>
      <c r="O71" s="526"/>
      <c r="P71" s="515"/>
      <c r="Q71" s="526"/>
      <c r="R71" s="515"/>
      <c r="S71" s="526"/>
      <c r="T71" s="515"/>
      <c r="U71" s="526"/>
      <c r="V71" s="515"/>
      <c r="W71" s="526"/>
      <c r="X71" s="515"/>
      <c r="Y71" s="526"/>
      <c r="Z71" s="515"/>
      <c r="AA71" s="526"/>
      <c r="AB71" s="515"/>
      <c r="AC71" s="526"/>
      <c r="AD71" s="515"/>
      <c r="AE71" s="526"/>
      <c r="AF71" s="515"/>
      <c r="AG71" s="526"/>
      <c r="AH71" s="154"/>
      <c r="AI71" s="154"/>
      <c r="AJ71" s="154"/>
      <c r="AK71" s="154"/>
      <c r="AL71" s="154"/>
      <c r="AM71" s="154"/>
      <c r="AN71" s="154"/>
      <c r="AO71" s="154"/>
      <c r="AP71" s="154"/>
      <c r="AQ71" s="154"/>
    </row>
    <row r="72" spans="1:43">
      <c r="A72" s="515"/>
      <c r="B72" s="515"/>
      <c r="C72" s="154"/>
      <c r="D72" s="515"/>
      <c r="E72" s="526"/>
      <c r="F72" s="515"/>
      <c r="G72" s="526"/>
      <c r="H72" s="515"/>
      <c r="I72" s="526"/>
      <c r="J72" s="515"/>
      <c r="K72" s="526"/>
      <c r="L72" s="515"/>
      <c r="M72" s="526"/>
      <c r="N72" s="515"/>
      <c r="O72" s="526"/>
      <c r="P72" s="515"/>
      <c r="Q72" s="526"/>
      <c r="R72" s="515"/>
      <c r="S72" s="526"/>
      <c r="T72" s="515"/>
      <c r="U72" s="526"/>
      <c r="V72" s="515"/>
      <c r="W72" s="526"/>
      <c r="X72" s="515"/>
      <c r="Y72" s="526"/>
      <c r="Z72" s="515"/>
      <c r="AA72" s="526"/>
      <c r="AB72" s="515"/>
      <c r="AC72" s="526"/>
      <c r="AD72" s="515"/>
      <c r="AE72" s="526"/>
      <c r="AF72" s="515"/>
      <c r="AG72" s="526"/>
      <c r="AH72" s="154"/>
      <c r="AI72" s="154"/>
      <c r="AJ72" s="154"/>
      <c r="AK72" s="154"/>
      <c r="AL72" s="154"/>
      <c r="AM72" s="154"/>
      <c r="AN72" s="154"/>
      <c r="AO72" s="154"/>
      <c r="AP72" s="154"/>
      <c r="AQ72" s="154"/>
    </row>
    <row r="73" spans="1:43">
      <c r="A73" s="515"/>
      <c r="B73" s="515"/>
      <c r="C73" s="154"/>
      <c r="D73" s="515"/>
      <c r="E73" s="526"/>
      <c r="F73" s="515"/>
      <c r="G73" s="526"/>
      <c r="H73" s="515"/>
      <c r="I73" s="526"/>
      <c r="J73" s="515"/>
      <c r="K73" s="526"/>
      <c r="L73" s="515"/>
      <c r="M73" s="526"/>
      <c r="N73" s="515"/>
      <c r="O73" s="526"/>
      <c r="P73" s="515"/>
      <c r="Q73" s="526"/>
      <c r="R73" s="515"/>
      <c r="S73" s="526"/>
      <c r="T73" s="515"/>
      <c r="U73" s="526"/>
      <c r="V73" s="515"/>
      <c r="W73" s="526"/>
      <c r="X73" s="515"/>
      <c r="Y73" s="526"/>
      <c r="Z73" s="515"/>
      <c r="AA73" s="526"/>
      <c r="AB73" s="515"/>
      <c r="AC73" s="526"/>
      <c r="AD73" s="515"/>
      <c r="AE73" s="526"/>
      <c r="AF73" s="515"/>
      <c r="AG73" s="526"/>
      <c r="AH73" s="154"/>
      <c r="AI73" s="154"/>
      <c r="AJ73" s="154"/>
      <c r="AK73" s="154"/>
      <c r="AL73" s="154"/>
      <c r="AM73" s="154"/>
      <c r="AN73" s="154"/>
      <c r="AO73" s="154"/>
      <c r="AP73" s="154"/>
      <c r="AQ73" s="154"/>
    </row>
    <row r="74" spans="1:43">
      <c r="A74" s="515"/>
      <c r="B74" s="515"/>
      <c r="C74" s="154"/>
      <c r="D74" s="515"/>
      <c r="E74" s="526"/>
      <c r="F74" s="515"/>
      <c r="G74" s="526"/>
      <c r="H74" s="515"/>
      <c r="I74" s="526"/>
      <c r="J74" s="515"/>
      <c r="K74" s="526"/>
      <c r="L74" s="515"/>
      <c r="M74" s="526"/>
      <c r="N74" s="515"/>
      <c r="O74" s="526"/>
      <c r="P74" s="515"/>
      <c r="Q74" s="526"/>
      <c r="R74" s="515"/>
      <c r="S74" s="526"/>
      <c r="T74" s="515"/>
      <c r="U74" s="526"/>
      <c r="V74" s="515"/>
      <c r="W74" s="526"/>
      <c r="X74" s="515"/>
      <c r="Y74" s="526"/>
      <c r="Z74" s="515"/>
      <c r="AA74" s="526"/>
      <c r="AB74" s="515"/>
      <c r="AC74" s="526"/>
      <c r="AD74" s="515"/>
      <c r="AE74" s="526"/>
      <c r="AF74" s="515"/>
      <c r="AG74" s="526"/>
      <c r="AH74" s="154"/>
      <c r="AI74" s="154"/>
      <c r="AJ74" s="154"/>
      <c r="AK74" s="154"/>
      <c r="AL74" s="154"/>
      <c r="AM74" s="154"/>
      <c r="AN74" s="154"/>
      <c r="AO74" s="154"/>
      <c r="AP74" s="154"/>
      <c r="AQ74" s="154"/>
    </row>
    <row r="75" spans="1:43">
      <c r="A75" s="515"/>
      <c r="B75" s="515"/>
      <c r="C75" s="154"/>
      <c r="D75" s="515"/>
      <c r="E75" s="154"/>
      <c r="F75" s="515"/>
      <c r="G75" s="154"/>
      <c r="H75" s="515"/>
      <c r="I75" s="154"/>
      <c r="J75" s="515"/>
      <c r="K75" s="154"/>
      <c r="L75" s="515"/>
      <c r="M75" s="154"/>
      <c r="N75" s="515"/>
      <c r="O75" s="154"/>
      <c r="P75" s="515"/>
      <c r="Q75" s="154"/>
      <c r="R75" s="515"/>
      <c r="S75" s="154"/>
      <c r="T75" s="515"/>
      <c r="U75" s="154"/>
      <c r="V75" s="515"/>
      <c r="W75" s="154"/>
      <c r="X75" s="515"/>
      <c r="Y75" s="154"/>
      <c r="Z75" s="515"/>
      <c r="AA75" s="154"/>
      <c r="AB75" s="515"/>
      <c r="AC75" s="154"/>
      <c r="AD75" s="515"/>
      <c r="AE75" s="154"/>
      <c r="AF75" s="515"/>
      <c r="AG75" s="154"/>
      <c r="AH75" s="154"/>
      <c r="AI75" s="154"/>
      <c r="AJ75" s="154"/>
      <c r="AK75" s="154"/>
      <c r="AL75" s="154"/>
      <c r="AM75" s="154"/>
      <c r="AN75" s="154"/>
      <c r="AO75" s="154"/>
      <c r="AP75" s="154"/>
      <c r="AQ75" s="154"/>
    </row>
    <row r="76" spans="1:43">
      <c r="A76" s="515"/>
      <c r="B76" s="525"/>
      <c r="C76" s="154"/>
      <c r="D76" s="515"/>
      <c r="E76" s="519"/>
      <c r="F76" s="515"/>
      <c r="G76" s="519"/>
      <c r="H76" s="515"/>
      <c r="I76" s="519"/>
      <c r="J76" s="515"/>
      <c r="K76" s="519"/>
      <c r="L76" s="515"/>
      <c r="M76" s="519"/>
      <c r="N76" s="515"/>
      <c r="O76" s="519"/>
      <c r="P76" s="515"/>
      <c r="Q76" s="519"/>
      <c r="R76" s="515"/>
      <c r="S76" s="519"/>
      <c r="T76" s="515"/>
      <c r="U76" s="519"/>
      <c r="V76" s="515"/>
      <c r="W76" s="519"/>
      <c r="X76" s="515"/>
      <c r="Y76" s="519"/>
      <c r="Z76" s="515"/>
      <c r="AA76" s="519"/>
      <c r="AB76" s="515"/>
      <c r="AC76" s="519"/>
      <c r="AD76" s="515"/>
      <c r="AE76" s="519"/>
      <c r="AF76" s="515"/>
      <c r="AG76" s="519"/>
      <c r="AH76" s="154"/>
      <c r="AI76" s="154"/>
      <c r="AJ76" s="154"/>
      <c r="AK76" s="154"/>
      <c r="AL76" s="154"/>
      <c r="AM76" s="154"/>
      <c r="AN76" s="154"/>
      <c r="AO76" s="154"/>
      <c r="AP76" s="154"/>
      <c r="AQ76" s="154"/>
    </row>
    <row r="77" spans="1:43">
      <c r="A77" s="515"/>
      <c r="B77" s="515"/>
      <c r="C77" s="154"/>
      <c r="D77" s="515"/>
      <c r="E77" s="154"/>
      <c r="F77" s="515"/>
      <c r="G77" s="154"/>
      <c r="H77" s="515"/>
      <c r="I77" s="154"/>
      <c r="J77" s="515"/>
      <c r="K77" s="154"/>
      <c r="L77" s="515"/>
      <c r="M77" s="154"/>
      <c r="N77" s="515"/>
      <c r="O77" s="154"/>
      <c r="P77" s="515"/>
      <c r="Q77" s="154"/>
      <c r="R77" s="515"/>
      <c r="S77" s="154"/>
      <c r="T77" s="515"/>
      <c r="U77" s="154"/>
      <c r="V77" s="515"/>
      <c r="W77" s="154"/>
      <c r="X77" s="515"/>
      <c r="Y77" s="154"/>
      <c r="Z77" s="515"/>
      <c r="AA77" s="154"/>
      <c r="AB77" s="515"/>
      <c r="AC77" s="154"/>
      <c r="AD77" s="515"/>
      <c r="AE77" s="154"/>
      <c r="AF77" s="515"/>
      <c r="AG77" s="154"/>
      <c r="AH77" s="154"/>
      <c r="AI77" s="154"/>
      <c r="AJ77" s="154"/>
      <c r="AK77" s="154"/>
      <c r="AL77" s="154"/>
      <c r="AM77" s="154"/>
      <c r="AN77" s="154"/>
      <c r="AO77" s="154"/>
      <c r="AP77" s="154"/>
      <c r="AQ77" s="154"/>
    </row>
    <row r="78" spans="1:43">
      <c r="A78" s="515"/>
      <c r="B78" s="525"/>
      <c r="C78" s="154"/>
      <c r="D78" s="515"/>
      <c r="E78" s="528"/>
      <c r="F78" s="515"/>
      <c r="G78" s="528"/>
      <c r="H78" s="515"/>
      <c r="I78" s="528"/>
      <c r="J78" s="515"/>
      <c r="K78" s="528"/>
      <c r="L78" s="515"/>
      <c r="M78" s="528"/>
      <c r="N78" s="515"/>
      <c r="O78" s="528"/>
      <c r="P78" s="515"/>
      <c r="Q78" s="528"/>
      <c r="R78" s="515"/>
      <c r="S78" s="528"/>
      <c r="T78" s="515"/>
      <c r="U78" s="528"/>
      <c r="V78" s="515"/>
      <c r="W78" s="528"/>
      <c r="X78" s="515"/>
      <c r="Y78" s="528"/>
      <c r="Z78" s="515"/>
      <c r="AA78" s="528"/>
      <c r="AB78" s="515"/>
      <c r="AC78" s="528"/>
      <c r="AD78" s="515"/>
      <c r="AE78" s="528"/>
      <c r="AF78" s="515"/>
      <c r="AG78" s="528"/>
      <c r="AH78" s="154"/>
      <c r="AI78" s="154"/>
      <c r="AJ78" s="154"/>
      <c r="AK78" s="154"/>
      <c r="AL78" s="154"/>
      <c r="AM78" s="154"/>
      <c r="AN78" s="154"/>
      <c r="AO78" s="154"/>
      <c r="AP78" s="154"/>
      <c r="AQ78" s="154"/>
    </row>
    <row r="79" spans="1:43">
      <c r="A79" s="515"/>
      <c r="B79" s="525"/>
      <c r="C79" s="154"/>
      <c r="D79" s="515"/>
      <c r="E79" s="528"/>
      <c r="F79" s="515"/>
      <c r="G79" s="528"/>
      <c r="H79" s="515"/>
      <c r="I79" s="528"/>
      <c r="J79" s="515"/>
      <c r="K79" s="528"/>
      <c r="L79" s="515"/>
      <c r="M79" s="528"/>
      <c r="N79" s="515"/>
      <c r="O79" s="528"/>
      <c r="P79" s="515"/>
      <c r="Q79" s="528"/>
      <c r="R79" s="515"/>
      <c r="S79" s="528"/>
      <c r="T79" s="515"/>
      <c r="U79" s="528"/>
      <c r="V79" s="515"/>
      <c r="W79" s="528"/>
      <c r="X79" s="515"/>
      <c r="Y79" s="528"/>
      <c r="Z79" s="515"/>
      <c r="AA79" s="528"/>
      <c r="AB79" s="515"/>
      <c r="AC79" s="528"/>
      <c r="AD79" s="515"/>
      <c r="AE79" s="528"/>
      <c r="AF79" s="515"/>
      <c r="AG79" s="528"/>
      <c r="AH79" s="154"/>
      <c r="AI79" s="154"/>
      <c r="AJ79" s="154"/>
      <c r="AK79" s="154"/>
      <c r="AL79" s="154"/>
      <c r="AM79" s="154"/>
      <c r="AN79" s="154"/>
      <c r="AO79" s="154"/>
      <c r="AP79" s="154"/>
      <c r="AQ79" s="154"/>
    </row>
    <row r="80" spans="1:43">
      <c r="A80" s="515"/>
      <c r="B80" s="515"/>
      <c r="C80" s="154"/>
      <c r="D80" s="515"/>
      <c r="E80" s="154"/>
      <c r="F80" s="515"/>
      <c r="G80" s="154"/>
      <c r="H80" s="515"/>
      <c r="I80" s="154"/>
      <c r="J80" s="515"/>
      <c r="K80" s="154"/>
      <c r="L80" s="515"/>
      <c r="M80" s="154"/>
      <c r="N80" s="515"/>
      <c r="O80" s="154"/>
      <c r="P80" s="515"/>
      <c r="Q80" s="154"/>
      <c r="R80" s="515"/>
      <c r="S80" s="154"/>
      <c r="T80" s="515"/>
      <c r="U80" s="154"/>
      <c r="V80" s="515"/>
      <c r="W80" s="154"/>
      <c r="X80" s="515"/>
      <c r="Y80" s="154"/>
      <c r="Z80" s="515"/>
      <c r="AA80" s="154"/>
      <c r="AB80" s="515"/>
      <c r="AC80" s="154"/>
      <c r="AD80" s="515"/>
      <c r="AE80" s="154"/>
      <c r="AF80" s="515"/>
      <c r="AG80" s="154"/>
      <c r="AH80" s="154"/>
      <c r="AI80" s="154"/>
      <c r="AJ80" s="154"/>
      <c r="AK80" s="154"/>
      <c r="AL80" s="154"/>
      <c r="AM80" s="154"/>
      <c r="AN80" s="154"/>
      <c r="AO80" s="154"/>
      <c r="AP80" s="154"/>
      <c r="AQ80" s="154"/>
    </row>
    <row r="81" spans="1:43">
      <c r="A81" s="515"/>
      <c r="B81" s="516"/>
      <c r="C81" s="154"/>
      <c r="D81" s="515"/>
      <c r="E81" s="154"/>
      <c r="F81" s="515"/>
      <c r="G81" s="154"/>
      <c r="H81" s="515"/>
      <c r="I81" s="154"/>
      <c r="J81" s="515"/>
      <c r="K81" s="154"/>
      <c r="L81" s="515"/>
      <c r="M81" s="154"/>
      <c r="N81" s="515"/>
      <c r="O81" s="154"/>
      <c r="P81" s="515"/>
      <c r="Q81" s="154"/>
      <c r="R81" s="515"/>
      <c r="S81" s="154"/>
      <c r="T81" s="515"/>
      <c r="U81" s="154"/>
      <c r="V81" s="515"/>
      <c r="W81" s="154"/>
      <c r="X81" s="515"/>
      <c r="Y81" s="154"/>
      <c r="Z81" s="515"/>
      <c r="AA81" s="154"/>
      <c r="AB81" s="515"/>
      <c r="AC81" s="154"/>
      <c r="AD81" s="515"/>
      <c r="AE81" s="154"/>
      <c r="AF81" s="515"/>
      <c r="AG81" s="154"/>
      <c r="AH81" s="154"/>
      <c r="AI81" s="154"/>
      <c r="AJ81" s="154"/>
      <c r="AK81" s="154"/>
      <c r="AL81" s="154"/>
      <c r="AM81" s="154"/>
      <c r="AN81" s="154"/>
      <c r="AO81" s="154"/>
      <c r="AP81" s="154"/>
      <c r="AQ81" s="154"/>
    </row>
    <row r="82" spans="1:43">
      <c r="A82" s="515"/>
      <c r="B82" s="515"/>
      <c r="C82" s="517"/>
      <c r="D82" s="515"/>
      <c r="E82" s="518"/>
      <c r="F82" s="515"/>
      <c r="G82" s="518"/>
      <c r="H82" s="515"/>
      <c r="I82" s="518"/>
      <c r="J82" s="515"/>
      <c r="K82" s="518"/>
      <c r="L82" s="515"/>
      <c r="M82" s="518"/>
      <c r="N82" s="515"/>
      <c r="O82" s="518"/>
      <c r="P82" s="515"/>
      <c r="Q82" s="518"/>
      <c r="R82" s="515"/>
      <c r="S82" s="518"/>
      <c r="T82" s="515"/>
      <c r="U82" s="518"/>
      <c r="V82" s="515"/>
      <c r="W82" s="518"/>
      <c r="X82" s="515"/>
      <c r="Y82" s="518"/>
      <c r="Z82" s="515"/>
      <c r="AA82" s="518"/>
      <c r="AB82" s="515"/>
      <c r="AC82" s="518"/>
      <c r="AD82" s="515"/>
      <c r="AE82" s="518"/>
      <c r="AF82" s="515"/>
      <c r="AG82" s="518"/>
      <c r="AH82" s="154"/>
      <c r="AI82" s="154"/>
      <c r="AJ82" s="154"/>
      <c r="AK82" s="154"/>
      <c r="AL82" s="154"/>
      <c r="AM82" s="154"/>
      <c r="AN82" s="154"/>
      <c r="AO82" s="154"/>
      <c r="AP82" s="154"/>
      <c r="AQ82" s="154"/>
    </row>
    <row r="83" spans="1:43">
      <c r="A83" s="515"/>
      <c r="B83" s="515"/>
      <c r="C83" s="517"/>
      <c r="D83" s="515"/>
      <c r="E83" s="518"/>
      <c r="F83" s="515"/>
      <c r="G83" s="518"/>
      <c r="H83" s="515"/>
      <c r="I83" s="518"/>
      <c r="J83" s="515"/>
      <c r="K83" s="518"/>
      <c r="L83" s="515"/>
      <c r="M83" s="518"/>
      <c r="N83" s="515"/>
      <c r="O83" s="518"/>
      <c r="P83" s="515"/>
      <c r="Q83" s="518"/>
      <c r="R83" s="515"/>
      <c r="S83" s="518"/>
      <c r="T83" s="515"/>
      <c r="U83" s="518"/>
      <c r="V83" s="515"/>
      <c r="W83" s="518"/>
      <c r="X83" s="515"/>
      <c r="Y83" s="518"/>
      <c r="Z83" s="515"/>
      <c r="AA83" s="518"/>
      <c r="AB83" s="515"/>
      <c r="AC83" s="518"/>
      <c r="AD83" s="515"/>
      <c r="AE83" s="518"/>
      <c r="AF83" s="515"/>
      <c r="AG83" s="518"/>
      <c r="AH83" s="154"/>
      <c r="AI83" s="154"/>
      <c r="AJ83" s="154"/>
      <c r="AK83" s="154"/>
      <c r="AL83" s="154"/>
      <c r="AM83" s="154"/>
      <c r="AN83" s="154"/>
      <c r="AO83" s="154"/>
      <c r="AP83" s="154"/>
      <c r="AQ83" s="154"/>
    </row>
    <row r="84" spans="1:43">
      <c r="A84" s="515"/>
      <c r="B84" s="515"/>
      <c r="C84" s="517"/>
      <c r="D84" s="515"/>
      <c r="E84" s="518"/>
      <c r="F84" s="515"/>
      <c r="G84" s="518"/>
      <c r="H84" s="515"/>
      <c r="I84" s="518"/>
      <c r="J84" s="515"/>
      <c r="K84" s="518"/>
      <c r="L84" s="515"/>
      <c r="M84" s="518"/>
      <c r="N84" s="515"/>
      <c r="O84" s="518"/>
      <c r="P84" s="515"/>
      <c r="Q84" s="518"/>
      <c r="R84" s="515"/>
      <c r="S84" s="518"/>
      <c r="T84" s="515"/>
      <c r="U84" s="518"/>
      <c r="V84" s="515"/>
      <c r="W84" s="518"/>
      <c r="X84" s="515"/>
      <c r="Y84" s="518"/>
      <c r="Z84" s="515"/>
      <c r="AA84" s="518"/>
      <c r="AB84" s="515"/>
      <c r="AC84" s="518"/>
      <c r="AD84" s="515"/>
      <c r="AE84" s="518"/>
      <c r="AF84" s="515"/>
      <c r="AG84" s="518"/>
      <c r="AH84" s="154"/>
      <c r="AI84" s="154"/>
      <c r="AJ84" s="154"/>
      <c r="AK84" s="154"/>
      <c r="AL84" s="154"/>
      <c r="AM84" s="154"/>
      <c r="AN84" s="154"/>
      <c r="AO84" s="154"/>
      <c r="AP84" s="154"/>
      <c r="AQ84" s="154"/>
    </row>
    <row r="85" spans="1:43">
      <c r="A85" s="515"/>
      <c r="B85" s="515"/>
      <c r="C85" s="517"/>
      <c r="D85" s="515"/>
      <c r="E85" s="518"/>
      <c r="F85" s="515"/>
      <c r="G85" s="518"/>
      <c r="H85" s="515"/>
      <c r="I85" s="518"/>
      <c r="J85" s="515"/>
      <c r="K85" s="518"/>
      <c r="L85" s="515"/>
      <c r="M85" s="518"/>
      <c r="N85" s="515"/>
      <c r="O85" s="518"/>
      <c r="P85" s="515"/>
      <c r="Q85" s="518"/>
      <c r="R85" s="515"/>
      <c r="S85" s="518"/>
      <c r="T85" s="515"/>
      <c r="U85" s="518"/>
      <c r="V85" s="515"/>
      <c r="W85" s="518"/>
      <c r="X85" s="515"/>
      <c r="Y85" s="518"/>
      <c r="Z85" s="515"/>
      <c r="AA85" s="518"/>
      <c r="AB85" s="515"/>
      <c r="AC85" s="518"/>
      <c r="AD85" s="515"/>
      <c r="AE85" s="518"/>
      <c r="AF85" s="515"/>
      <c r="AG85" s="518"/>
      <c r="AH85" s="154"/>
      <c r="AI85" s="154"/>
      <c r="AJ85" s="154"/>
      <c r="AK85" s="154"/>
      <c r="AL85" s="154"/>
      <c r="AM85" s="154"/>
      <c r="AN85" s="154"/>
      <c r="AO85" s="154"/>
      <c r="AP85" s="154"/>
      <c r="AQ85" s="154"/>
    </row>
    <row r="86" spans="1:43">
      <c r="A86" s="515"/>
      <c r="B86" s="515"/>
      <c r="C86" s="529"/>
      <c r="D86" s="515"/>
      <c r="E86" s="154"/>
      <c r="F86" s="515"/>
      <c r="G86" s="154"/>
      <c r="H86" s="515"/>
      <c r="I86" s="154"/>
      <c r="J86" s="515"/>
      <c r="K86" s="154"/>
      <c r="L86" s="515"/>
      <c r="M86" s="154"/>
      <c r="N86" s="515"/>
      <c r="O86" s="154"/>
      <c r="P86" s="515"/>
      <c r="Q86" s="154"/>
      <c r="R86" s="515"/>
      <c r="S86" s="154"/>
      <c r="T86" s="515"/>
      <c r="U86" s="154"/>
      <c r="V86" s="515"/>
      <c r="W86" s="154"/>
      <c r="X86" s="515"/>
      <c r="Y86" s="154"/>
      <c r="Z86" s="515"/>
      <c r="AA86" s="154"/>
      <c r="AB86" s="515"/>
      <c r="AC86" s="154"/>
      <c r="AD86" s="515"/>
      <c r="AE86" s="154"/>
      <c r="AF86" s="515"/>
      <c r="AG86" s="154"/>
      <c r="AH86" s="154"/>
      <c r="AI86" s="154"/>
      <c r="AJ86" s="154"/>
      <c r="AK86" s="154"/>
      <c r="AL86" s="154"/>
      <c r="AM86" s="154"/>
      <c r="AN86" s="154"/>
      <c r="AO86" s="154"/>
      <c r="AP86" s="154"/>
      <c r="AQ86" s="154"/>
    </row>
    <row r="87" spans="1:43">
      <c r="A87" s="515"/>
      <c r="B87" s="520"/>
      <c r="C87" s="521"/>
      <c r="D87" s="515"/>
      <c r="E87" s="154"/>
      <c r="F87" s="515"/>
      <c r="G87" s="154"/>
      <c r="H87" s="515"/>
      <c r="I87" s="154"/>
      <c r="J87" s="515"/>
      <c r="K87" s="154"/>
      <c r="L87" s="515"/>
      <c r="M87" s="154"/>
      <c r="N87" s="515"/>
      <c r="O87" s="154"/>
      <c r="P87" s="515"/>
      <c r="Q87" s="154"/>
      <c r="R87" s="515"/>
      <c r="S87" s="154"/>
      <c r="T87" s="515"/>
      <c r="U87" s="154"/>
      <c r="V87" s="515"/>
      <c r="W87" s="154"/>
      <c r="X87" s="515"/>
      <c r="Y87" s="154"/>
      <c r="Z87" s="515"/>
      <c r="AA87" s="154"/>
      <c r="AB87" s="515"/>
      <c r="AC87" s="154"/>
      <c r="AD87" s="515"/>
      <c r="AE87" s="154"/>
      <c r="AF87" s="515"/>
      <c r="AG87" s="154"/>
      <c r="AH87" s="154"/>
      <c r="AI87" s="154"/>
      <c r="AJ87" s="154"/>
      <c r="AK87" s="154"/>
      <c r="AL87" s="154"/>
      <c r="AM87" s="154"/>
      <c r="AN87" s="154"/>
      <c r="AO87" s="154"/>
      <c r="AP87" s="154"/>
      <c r="AQ87" s="154"/>
    </row>
    <row r="88" spans="1:43">
      <c r="A88" s="515"/>
      <c r="B88" s="515"/>
      <c r="C88" s="521"/>
      <c r="D88" s="515"/>
      <c r="E88" s="154"/>
      <c r="F88" s="515"/>
      <c r="G88" s="154"/>
      <c r="H88" s="515"/>
      <c r="I88" s="154"/>
      <c r="J88" s="515"/>
      <c r="K88" s="154"/>
      <c r="L88" s="515"/>
      <c r="M88" s="154"/>
      <c r="N88" s="515"/>
      <c r="O88" s="154"/>
      <c r="P88" s="515"/>
      <c r="Q88" s="154"/>
      <c r="R88" s="515"/>
      <c r="S88" s="154"/>
      <c r="T88" s="515"/>
      <c r="U88" s="154"/>
      <c r="V88" s="515"/>
      <c r="W88" s="154"/>
      <c r="X88" s="515"/>
      <c r="Y88" s="154"/>
      <c r="Z88" s="515"/>
      <c r="AA88" s="154"/>
      <c r="AB88" s="515"/>
      <c r="AC88" s="154"/>
      <c r="AD88" s="515"/>
      <c r="AE88" s="154"/>
      <c r="AF88" s="515"/>
      <c r="AG88" s="154"/>
      <c r="AH88" s="154"/>
      <c r="AI88" s="154"/>
      <c r="AJ88" s="154"/>
      <c r="AK88" s="154"/>
      <c r="AL88" s="154"/>
      <c r="AM88" s="154"/>
      <c r="AN88" s="154"/>
      <c r="AO88" s="154"/>
      <c r="AP88" s="154"/>
      <c r="AQ88" s="154"/>
    </row>
    <row r="89" spans="1:43">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row>
    <row r="90" spans="1:43">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row>
    <row r="91" spans="1:43">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row>
    <row r="92" spans="1:43">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row>
    <row r="93" spans="1:43">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row>
    <row r="94" spans="1:43">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row>
    <row r="95" spans="1:43">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row>
    <row r="96" spans="1:43">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row>
    <row r="97" spans="1:43">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row>
    <row r="98" spans="1:43">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row>
    <row r="99" spans="1:43">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row>
    <row r="100" spans="1:43">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row>
    <row r="101" spans="1:43">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row>
    <row r="102" spans="1:43">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row>
    <row r="103" spans="1:43">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row>
    <row r="104" spans="1:43">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row>
    <row r="105" spans="1:43">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row>
    <row r="106" spans="1:43">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row>
    <row r="111" spans="1:43">
      <c r="A111" s="467"/>
      <c r="B111" s="467"/>
      <c r="C111" s="468"/>
      <c r="D111" s="468"/>
      <c r="E111" s="468"/>
      <c r="F111" s="468"/>
      <c r="G111" s="469"/>
      <c r="H111" s="468"/>
      <c r="I111" s="469"/>
      <c r="J111" s="468"/>
      <c r="K111" s="469"/>
      <c r="L111" s="468"/>
      <c r="M111" s="469"/>
      <c r="N111" s="468"/>
      <c r="O111" s="469"/>
      <c r="P111" s="468"/>
      <c r="Q111" s="469"/>
      <c r="R111" s="468"/>
      <c r="S111" s="469"/>
      <c r="T111" s="468"/>
      <c r="U111" s="469"/>
      <c r="V111" s="468"/>
      <c r="W111" s="469"/>
      <c r="X111" s="468"/>
      <c r="Y111" s="469"/>
      <c r="AA111" s="354"/>
    </row>
    <row r="119" spans="25:34">
      <c r="Y119"/>
      <c r="Z119"/>
      <c r="AA119"/>
      <c r="AB119"/>
      <c r="AC119"/>
      <c r="AD119"/>
      <c r="AE119"/>
      <c r="AF119"/>
      <c r="AG119"/>
      <c r="AH119"/>
    </row>
    <row r="120" spans="25:34">
      <c r="Y120"/>
      <c r="Z120"/>
      <c r="AA120"/>
      <c r="AB120"/>
      <c r="AC120"/>
      <c r="AD120"/>
      <c r="AE120"/>
      <c r="AF120"/>
      <c r="AG120"/>
      <c r="AH120"/>
    </row>
    <row r="121" spans="25:34">
      <c r="Y121"/>
      <c r="Z121"/>
      <c r="AA121"/>
      <c r="AB121"/>
      <c r="AC121"/>
      <c r="AD121"/>
      <c r="AE121"/>
      <c r="AF121"/>
      <c r="AG121"/>
      <c r="AH121"/>
    </row>
    <row r="122" spans="25:34">
      <c r="Y122"/>
      <c r="Z122"/>
      <c r="AA122"/>
      <c r="AB122"/>
      <c r="AC122"/>
      <c r="AD122"/>
      <c r="AE122"/>
      <c r="AF122"/>
      <c r="AG122"/>
      <c r="AH122"/>
    </row>
    <row r="123" spans="25:34">
      <c r="Y123"/>
      <c r="Z123"/>
      <c r="AA123"/>
      <c r="AB123"/>
      <c r="AC123"/>
      <c r="AD123"/>
      <c r="AE123"/>
      <c r="AF123"/>
      <c r="AG123"/>
      <c r="AH123"/>
    </row>
    <row r="124" spans="25:34">
      <c r="Y124"/>
      <c r="Z124"/>
      <c r="AA124"/>
      <c r="AB124"/>
      <c r="AC124"/>
      <c r="AD124"/>
      <c r="AE124"/>
      <c r="AF124"/>
      <c r="AG124"/>
      <c r="AH124"/>
    </row>
    <row r="125" spans="25:34">
      <c r="Y125"/>
      <c r="Z125"/>
      <c r="AA125"/>
      <c r="AB125"/>
      <c r="AC125"/>
      <c r="AD125"/>
      <c r="AE125"/>
      <c r="AF125"/>
      <c r="AG125"/>
      <c r="AH125"/>
    </row>
    <row r="126" spans="25:34">
      <c r="Y126"/>
      <c r="Z126"/>
      <c r="AA126"/>
      <c r="AB126"/>
      <c r="AC126"/>
      <c r="AD126"/>
      <c r="AE126"/>
      <c r="AF126"/>
      <c r="AG126"/>
      <c r="AH126"/>
    </row>
    <row r="127" spans="25:34">
      <c r="Y127"/>
      <c r="Z127"/>
      <c r="AA127"/>
      <c r="AB127"/>
      <c r="AC127"/>
      <c r="AD127"/>
      <c r="AE127"/>
      <c r="AF127"/>
      <c r="AG127"/>
      <c r="AH127"/>
    </row>
    <row r="128" spans="25:34">
      <c r="Y128"/>
      <c r="Z128"/>
      <c r="AA128"/>
      <c r="AB128"/>
      <c r="AC128"/>
      <c r="AD128"/>
      <c r="AE128"/>
      <c r="AF128"/>
      <c r="AG128"/>
      <c r="AH128"/>
    </row>
    <row r="129" spans="25:34">
      <c r="Y129"/>
      <c r="Z129"/>
      <c r="AA129"/>
      <c r="AB129"/>
      <c r="AC129"/>
      <c r="AD129"/>
      <c r="AE129"/>
      <c r="AF129"/>
      <c r="AG129"/>
      <c r="AH129"/>
    </row>
    <row r="130" spans="25:34">
      <c r="Y130"/>
      <c r="Z130"/>
      <c r="AA130"/>
      <c r="AB130"/>
      <c r="AC130"/>
      <c r="AD130"/>
      <c r="AE130"/>
      <c r="AF130"/>
      <c r="AG130"/>
      <c r="AH130"/>
    </row>
    <row r="131" spans="25:34">
      <c r="Y131"/>
      <c r="Z131"/>
      <c r="AA131"/>
      <c r="AB131"/>
      <c r="AC131"/>
      <c r="AD131"/>
      <c r="AE131"/>
      <c r="AF131"/>
      <c r="AG131"/>
      <c r="AH131"/>
    </row>
    <row r="132" spans="25:34">
      <c r="Y132"/>
      <c r="Z132"/>
      <c r="AA132"/>
      <c r="AB132"/>
      <c r="AC132"/>
      <c r="AD132"/>
      <c r="AE132"/>
      <c r="AF132"/>
      <c r="AG132"/>
      <c r="AH132"/>
    </row>
    <row r="133" spans="25:34">
      <c r="Y133"/>
      <c r="Z133"/>
      <c r="AA133"/>
      <c r="AB133"/>
      <c r="AC133"/>
      <c r="AD133"/>
      <c r="AE133"/>
      <c r="AF133"/>
      <c r="AG133"/>
      <c r="AH133"/>
    </row>
    <row r="134" spans="25:34">
      <c r="Y134"/>
      <c r="Z134"/>
      <c r="AA134"/>
      <c r="AB134"/>
      <c r="AC134"/>
      <c r="AD134"/>
      <c r="AE134"/>
      <c r="AF134"/>
      <c r="AG134"/>
      <c r="AH134"/>
    </row>
    <row r="1048576" spans="34:34">
      <c r="AH1048576" s="349">
        <f>SUM(E1048576:AC1048576)</f>
        <v>0</v>
      </c>
    </row>
  </sheetData>
  <mergeCells count="6">
    <mergeCell ref="A1:AF1"/>
    <mergeCell ref="A3:AF3"/>
    <mergeCell ref="AR5:AY5"/>
    <mergeCell ref="E5:Q5"/>
    <mergeCell ref="S5:AE5"/>
    <mergeCell ref="A2:AE2"/>
  </mergeCells>
  <pageMargins left="0.7" right="0.7" top="0.75" bottom="0.75" header="0.3" footer="0.3"/>
  <pageSetup scale="29" orientation="landscape" r:id="rId1"/>
  <headerFooter scaleWithDoc="0">
    <oddFooter>&amp;R&amp;"Times New Roman,Bold"&amp;12Attachment to PSC Post Hearing Data Request Question No. 3
Revised Exhibit RMC-1
Page 2 of 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48576"/>
  <sheetViews>
    <sheetView zoomScale="55" zoomScaleNormal="55" zoomScalePageLayoutView="25" workbookViewId="0">
      <selection sqref="A1:AF1"/>
    </sheetView>
  </sheetViews>
  <sheetFormatPr defaultRowHeight="20.25"/>
  <cols>
    <col min="1" max="1" width="9.5703125" style="341" customWidth="1"/>
    <col min="2" max="2" width="9.140625" style="341"/>
    <col min="3" max="3" width="68.7109375" style="341" customWidth="1"/>
    <col min="4" max="4" width="8.42578125" style="341" customWidth="1"/>
    <col min="5" max="5" width="19.140625" style="341" customWidth="1"/>
    <col min="6" max="6" width="2.7109375" style="341" customWidth="1"/>
    <col min="7" max="7" width="19.140625" style="341" customWidth="1"/>
    <col min="8" max="8" width="2.7109375" style="341" customWidth="1"/>
    <col min="9" max="9" width="20.7109375" style="341" customWidth="1"/>
    <col min="10" max="10" width="2.7109375" style="341" customWidth="1"/>
    <col min="11" max="11" width="19" style="341" customWidth="1"/>
    <col min="12" max="12" width="2.7109375" style="341" customWidth="1"/>
    <col min="13" max="13" width="19.5703125" style="341" customWidth="1"/>
    <col min="14" max="14" width="2.7109375" style="341" customWidth="1"/>
    <col min="15" max="15" width="19.140625" style="341" customWidth="1"/>
    <col min="16" max="16" width="2.7109375" style="341" customWidth="1"/>
    <col min="17" max="17" width="19" style="341" customWidth="1"/>
    <col min="18" max="18" width="2.7109375" style="341" customWidth="1"/>
    <col min="19" max="19" width="19.140625" style="341" customWidth="1"/>
    <col min="20" max="20" width="2.7109375" style="341" customWidth="1"/>
    <col min="21" max="21" width="22.5703125" style="341" bestFit="1" customWidth="1"/>
    <col min="22" max="22" width="2.7109375" style="341" customWidth="1"/>
    <col min="23" max="23" width="22.5703125" style="341" bestFit="1" customWidth="1"/>
    <col min="24" max="24" width="2.7109375" style="341" customWidth="1"/>
    <col min="25" max="25" width="22.5703125" style="341" bestFit="1" customWidth="1"/>
    <col min="26" max="26" width="2.7109375" style="341" customWidth="1"/>
    <col min="27" max="27" width="19.140625" style="341" bestFit="1" customWidth="1"/>
    <col min="28" max="28" width="2.7109375" style="341" customWidth="1"/>
    <col min="29" max="29" width="19.140625" style="341" bestFit="1" customWidth="1"/>
    <col min="30" max="30" width="2.7109375" style="341" customWidth="1"/>
    <col min="31" max="31" width="19.140625" style="341" bestFit="1" customWidth="1"/>
    <col min="32" max="32" width="2.7109375" style="341" customWidth="1"/>
    <col min="33" max="33" width="13.7109375" style="341" hidden="1" customWidth="1"/>
    <col min="34" max="34" width="18.7109375" style="341" customWidth="1"/>
    <col min="35" max="35" width="18" style="341" customWidth="1"/>
    <col min="36" max="36" width="17" style="341" customWidth="1"/>
    <col min="37" max="37" width="14.7109375" style="341" bestFit="1" customWidth="1"/>
    <col min="38" max="38" width="14.5703125" style="341" bestFit="1" customWidth="1"/>
    <col min="39" max="39" width="13.140625" style="341" bestFit="1" customWidth="1"/>
    <col min="40" max="40" width="14" style="341" customWidth="1"/>
    <col min="41" max="41" width="15.5703125" style="341" customWidth="1"/>
    <col min="42" max="42" width="14.42578125" style="341" bestFit="1" customWidth="1"/>
    <col min="43" max="43" width="14.85546875" style="341" customWidth="1"/>
    <col min="44" max="44" width="15.7109375" style="341" customWidth="1"/>
    <col min="45" max="45" width="13.42578125" style="341" customWidth="1"/>
    <col min="46" max="46" width="12.140625" style="341" bestFit="1" customWidth="1"/>
    <col min="47" max="47" width="16.5703125" style="341" customWidth="1"/>
    <col min="48" max="48" width="14.42578125" style="341" customWidth="1"/>
    <col min="49" max="49" width="15.140625" style="341" customWidth="1"/>
    <col min="50" max="50" width="9.42578125" style="341" bestFit="1" customWidth="1"/>
    <col min="51" max="51" width="12.7109375" style="341" customWidth="1"/>
    <col min="52" max="16384" width="9.140625" style="341"/>
  </cols>
  <sheetData>
    <row r="1" spans="1:51">
      <c r="A1" s="546" t="s">
        <v>84</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row>
    <row r="2" spans="1:51">
      <c r="A2" s="556" t="s">
        <v>431</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30"/>
    </row>
    <row r="3" spans="1:51">
      <c r="A3" s="546" t="s">
        <v>145</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row>
    <row r="4" spans="1:51" s="225" customFormat="1">
      <c r="A4" s="342"/>
      <c r="E4" s="222"/>
      <c r="AJ4" s="117"/>
      <c r="AK4" s="117"/>
      <c r="AL4" s="117"/>
      <c r="AM4" s="117"/>
      <c r="AN4" s="117"/>
      <c r="AO4" s="117"/>
      <c r="AP4" s="117"/>
      <c r="AQ4" s="117"/>
      <c r="AR4" s="118"/>
      <c r="AS4" s="117"/>
      <c r="AT4" s="117"/>
      <c r="AU4" s="117"/>
      <c r="AV4" s="117"/>
      <c r="AW4" s="117"/>
      <c r="AX4" s="117"/>
      <c r="AY4" s="117"/>
    </row>
    <row r="5" spans="1:51" s="225" customFormat="1">
      <c r="E5" s="553"/>
      <c r="F5" s="554"/>
      <c r="G5" s="554"/>
      <c r="H5" s="554"/>
      <c r="I5" s="554"/>
      <c r="J5" s="554"/>
      <c r="K5" s="554"/>
      <c r="L5" s="554"/>
      <c r="M5" s="554"/>
      <c r="N5" s="554"/>
      <c r="O5" s="554"/>
      <c r="P5" s="554"/>
      <c r="Q5" s="555"/>
      <c r="S5" s="550" t="s">
        <v>417</v>
      </c>
      <c r="T5" s="551"/>
      <c r="U5" s="551"/>
      <c r="V5" s="551"/>
      <c r="W5" s="551"/>
      <c r="X5" s="551"/>
      <c r="Y5" s="551"/>
      <c r="Z5" s="551"/>
      <c r="AA5" s="551"/>
      <c r="AB5" s="551"/>
      <c r="AC5" s="551"/>
      <c r="AD5" s="551"/>
      <c r="AE5" s="552"/>
      <c r="AJ5" s="119"/>
      <c r="AK5" s="118"/>
      <c r="AL5" s="118"/>
      <c r="AM5" s="118"/>
      <c r="AN5" s="118"/>
      <c r="AO5" s="118"/>
      <c r="AP5" s="118"/>
      <c r="AQ5" s="118"/>
      <c r="AR5" s="544"/>
      <c r="AS5" s="544"/>
      <c r="AT5" s="544"/>
      <c r="AU5" s="544"/>
      <c r="AV5" s="544"/>
      <c r="AW5" s="544"/>
      <c r="AX5" s="544"/>
      <c r="AY5" s="544"/>
    </row>
    <row r="6" spans="1:51" s="225" customFormat="1">
      <c r="A6" s="403" t="s">
        <v>5</v>
      </c>
      <c r="B6" s="226"/>
      <c r="D6" s="226"/>
      <c r="E6" s="474">
        <v>2016</v>
      </c>
      <c r="F6" s="475"/>
      <c r="G6" s="476">
        <v>2017</v>
      </c>
      <c r="H6" s="476"/>
      <c r="I6" s="476">
        <f>$G$6</f>
        <v>2017</v>
      </c>
      <c r="J6" s="476"/>
      <c r="K6" s="476">
        <f>$G$6</f>
        <v>2017</v>
      </c>
      <c r="L6" s="476"/>
      <c r="M6" s="476">
        <f>$G$6</f>
        <v>2017</v>
      </c>
      <c r="N6" s="476"/>
      <c r="O6" s="476">
        <f>$G$6</f>
        <v>2017</v>
      </c>
      <c r="P6" s="475"/>
      <c r="Q6" s="477">
        <f>$G$6</f>
        <v>2017</v>
      </c>
      <c r="R6" s="226"/>
      <c r="S6" s="470">
        <f>$G$6</f>
        <v>2017</v>
      </c>
      <c r="T6" s="471"/>
      <c r="U6" s="472">
        <f>$G$6</f>
        <v>2017</v>
      </c>
      <c r="V6" s="471"/>
      <c r="W6" s="472">
        <f>$G$6</f>
        <v>2017</v>
      </c>
      <c r="X6" s="471"/>
      <c r="Y6" s="472">
        <f>$G$6</f>
        <v>2017</v>
      </c>
      <c r="Z6" s="471"/>
      <c r="AA6" s="472">
        <f>$G$6</f>
        <v>2017</v>
      </c>
      <c r="AB6" s="471"/>
      <c r="AC6" s="472">
        <f>$G$6</f>
        <v>2017</v>
      </c>
      <c r="AD6" s="471"/>
      <c r="AE6" s="473">
        <f>$G$6</f>
        <v>2017</v>
      </c>
      <c r="AF6" s="226"/>
      <c r="AG6" s="404">
        <v>2018</v>
      </c>
      <c r="AJ6" s="404"/>
      <c r="AK6" s="122"/>
      <c r="AL6" s="404"/>
      <c r="AM6" s="404"/>
      <c r="AN6" s="404"/>
      <c r="AO6" s="404"/>
      <c r="AP6" s="404"/>
      <c r="AQ6" s="404"/>
      <c r="AR6" s="404"/>
      <c r="AS6" s="404"/>
      <c r="AT6" s="404"/>
      <c r="AU6" s="122"/>
      <c r="AV6" s="404"/>
      <c r="AW6" s="404"/>
      <c r="AX6" s="404"/>
      <c r="AY6" s="404"/>
    </row>
    <row r="7" spans="1:51" s="225" customFormat="1">
      <c r="A7" s="343" t="s">
        <v>6</v>
      </c>
      <c r="B7" s="226"/>
      <c r="C7" s="343" t="s">
        <v>7</v>
      </c>
      <c r="D7" s="226"/>
      <c r="E7" s="478" t="s">
        <v>190</v>
      </c>
      <c r="F7" s="479"/>
      <c r="G7" s="480" t="s">
        <v>178</v>
      </c>
      <c r="H7" s="481"/>
      <c r="I7" s="480" t="s">
        <v>181</v>
      </c>
      <c r="J7" s="481"/>
      <c r="K7" s="480" t="s">
        <v>182</v>
      </c>
      <c r="L7" s="481"/>
      <c r="M7" s="480" t="s">
        <v>183</v>
      </c>
      <c r="N7" s="481"/>
      <c r="O7" s="480" t="s">
        <v>168</v>
      </c>
      <c r="P7" s="479"/>
      <c r="Q7" s="482" t="s">
        <v>184</v>
      </c>
      <c r="R7" s="226"/>
      <c r="S7" s="449" t="s">
        <v>185</v>
      </c>
      <c r="T7" s="273"/>
      <c r="U7" s="344" t="s">
        <v>186</v>
      </c>
      <c r="V7" s="273"/>
      <c r="W7" s="344" t="s">
        <v>187</v>
      </c>
      <c r="X7" s="273"/>
      <c r="Y7" s="344" t="s">
        <v>188</v>
      </c>
      <c r="Z7" s="273"/>
      <c r="AA7" s="344" t="s">
        <v>189</v>
      </c>
      <c r="AB7" s="273"/>
      <c r="AC7" s="344" t="s">
        <v>190</v>
      </c>
      <c r="AD7" s="273"/>
      <c r="AE7" s="450" t="s">
        <v>415</v>
      </c>
      <c r="AF7" s="226"/>
      <c r="AG7" s="344" t="s">
        <v>39</v>
      </c>
      <c r="AJ7" s="404"/>
      <c r="AK7" s="404"/>
      <c r="AL7" s="404"/>
      <c r="AM7" s="404"/>
      <c r="AN7" s="404"/>
      <c r="AO7" s="404"/>
      <c r="AP7" s="404"/>
      <c r="AQ7" s="404"/>
      <c r="AR7" s="404"/>
      <c r="AS7" s="404"/>
      <c r="AT7" s="404"/>
      <c r="AU7" s="122"/>
      <c r="AV7" s="404"/>
      <c r="AW7" s="404"/>
      <c r="AX7" s="404"/>
      <c r="AY7" s="404"/>
    </row>
    <row r="8" spans="1:51" s="225" customFormat="1">
      <c r="A8" s="403"/>
      <c r="B8" s="226"/>
      <c r="C8" s="345">
        <v>-1</v>
      </c>
      <c r="D8" s="226"/>
      <c r="E8" s="483">
        <v>-2</v>
      </c>
      <c r="F8" s="479"/>
      <c r="G8" s="484">
        <v>-3</v>
      </c>
      <c r="H8" s="479"/>
      <c r="I8" s="484">
        <v>-4</v>
      </c>
      <c r="J8" s="479"/>
      <c r="K8" s="484">
        <v>-5</v>
      </c>
      <c r="L8" s="479"/>
      <c r="M8" s="484">
        <v>-6</v>
      </c>
      <c r="N8" s="479"/>
      <c r="O8" s="484">
        <v>-7</v>
      </c>
      <c r="P8" s="479"/>
      <c r="Q8" s="485">
        <v>-8</v>
      </c>
      <c r="R8" s="226"/>
      <c r="S8" s="451">
        <v>-9</v>
      </c>
      <c r="T8" s="273"/>
      <c r="U8" s="452">
        <v>-10</v>
      </c>
      <c r="V8" s="273"/>
      <c r="W8" s="452">
        <v>-11</v>
      </c>
      <c r="X8" s="273"/>
      <c r="Y8" s="452">
        <v>-12</v>
      </c>
      <c r="Z8" s="273"/>
      <c r="AA8" s="452">
        <v>-13</v>
      </c>
      <c r="AB8" s="273"/>
      <c r="AC8" s="452">
        <v>-14</v>
      </c>
      <c r="AD8" s="273"/>
      <c r="AE8" s="453">
        <v>-15</v>
      </c>
      <c r="AF8" s="226"/>
      <c r="AG8" s="345">
        <v>-8</v>
      </c>
      <c r="AJ8" s="404"/>
      <c r="AK8" s="117"/>
      <c r="AL8" s="117"/>
      <c r="AM8" s="117"/>
      <c r="AN8" s="117"/>
      <c r="AO8" s="117"/>
      <c r="AP8" s="117"/>
      <c r="AQ8" s="117"/>
      <c r="AR8" s="117"/>
      <c r="AS8" s="117"/>
      <c r="AT8" s="117"/>
      <c r="AU8" s="117"/>
      <c r="AV8" s="117"/>
      <c r="AW8" s="117"/>
      <c r="AX8" s="117"/>
      <c r="AY8" s="117"/>
    </row>
    <row r="9" spans="1:51" s="225" customFormat="1">
      <c r="A9" s="226"/>
      <c r="B9" s="226"/>
      <c r="D9" s="226"/>
      <c r="E9" s="486"/>
      <c r="F9" s="479"/>
      <c r="G9" s="487"/>
      <c r="H9" s="479"/>
      <c r="I9" s="487"/>
      <c r="J9" s="479"/>
      <c r="K9" s="487"/>
      <c r="L9" s="479"/>
      <c r="M9" s="487"/>
      <c r="N9" s="479"/>
      <c r="O9" s="487"/>
      <c r="P9" s="479"/>
      <c r="Q9" s="488"/>
      <c r="R9" s="226"/>
      <c r="S9" s="454"/>
      <c r="T9" s="273"/>
      <c r="U9" s="117"/>
      <c r="V9" s="273"/>
      <c r="W9" s="117"/>
      <c r="X9" s="273"/>
      <c r="Y9" s="117"/>
      <c r="Z9" s="273"/>
      <c r="AA9" s="117"/>
      <c r="AB9" s="273"/>
      <c r="AC9" s="117"/>
      <c r="AD9" s="273"/>
      <c r="AE9" s="455"/>
      <c r="AF9" s="226"/>
      <c r="AJ9" s="404"/>
      <c r="AK9" s="127"/>
      <c r="AL9" s="127"/>
      <c r="AM9" s="127"/>
      <c r="AN9" s="127"/>
      <c r="AO9" s="127"/>
      <c r="AP9" s="127"/>
      <c r="AQ9" s="128"/>
      <c r="AR9" s="127"/>
      <c r="AS9" s="128"/>
      <c r="AT9" s="128"/>
      <c r="AU9" s="128"/>
      <c r="AV9" s="127"/>
      <c r="AW9" s="127"/>
      <c r="AX9" s="127"/>
      <c r="AY9" s="127"/>
    </row>
    <row r="10" spans="1:51" s="225" customFormat="1">
      <c r="A10" s="226"/>
      <c r="B10" s="346" t="s">
        <v>60</v>
      </c>
      <c r="D10" s="226"/>
      <c r="E10" s="486"/>
      <c r="F10" s="479"/>
      <c r="G10" s="487"/>
      <c r="H10" s="479"/>
      <c r="I10" s="487"/>
      <c r="J10" s="479"/>
      <c r="K10" s="487"/>
      <c r="L10" s="479"/>
      <c r="M10" s="487"/>
      <c r="N10" s="479"/>
      <c r="O10" s="487"/>
      <c r="P10" s="479"/>
      <c r="Q10" s="488"/>
      <c r="R10" s="226"/>
      <c r="S10" s="454"/>
      <c r="T10" s="273"/>
      <c r="U10" s="117"/>
      <c r="V10" s="273"/>
      <c r="W10" s="117"/>
      <c r="X10" s="273"/>
      <c r="Y10" s="117"/>
      <c r="Z10" s="273"/>
      <c r="AA10" s="117"/>
      <c r="AB10" s="273"/>
      <c r="AC10" s="117"/>
      <c r="AD10" s="273"/>
      <c r="AE10" s="455"/>
      <c r="AF10" s="226"/>
      <c r="AJ10" s="404"/>
      <c r="AK10" s="127"/>
      <c r="AL10" s="127"/>
      <c r="AM10" s="127"/>
      <c r="AN10" s="127"/>
      <c r="AO10" s="127"/>
      <c r="AP10" s="127"/>
      <c r="AQ10" s="128"/>
      <c r="AR10" s="127"/>
      <c r="AS10" s="127"/>
      <c r="AT10" s="127"/>
      <c r="AU10" s="128"/>
      <c r="AV10" s="127"/>
      <c r="AW10" s="127"/>
      <c r="AX10" s="127"/>
      <c r="AY10" s="127"/>
    </row>
    <row r="11" spans="1:51" s="225" customFormat="1">
      <c r="A11" s="226">
        <v>1</v>
      </c>
      <c r="B11" s="226"/>
      <c r="C11" s="347" t="s">
        <v>412</v>
      </c>
      <c r="D11" s="226"/>
      <c r="E11" s="489">
        <v>0</v>
      </c>
      <c r="F11" s="479"/>
      <c r="G11" s="490"/>
      <c r="H11" s="479"/>
      <c r="I11" s="490"/>
      <c r="J11" s="479"/>
      <c r="K11" s="490"/>
      <c r="L11" s="479"/>
      <c r="M11" s="490"/>
      <c r="N11" s="479"/>
      <c r="O11" s="490"/>
      <c r="P11" s="479"/>
      <c r="Q11" s="491"/>
      <c r="R11" s="226"/>
      <c r="S11" s="456">
        <f>'Cap&amp;OpEx 2017'!C11</f>
        <v>1048966.73</v>
      </c>
      <c r="T11" s="273"/>
      <c r="U11" s="247">
        <f>'Cap&amp;OpEx 2017'!D11+S11</f>
        <v>1266479.47</v>
      </c>
      <c r="V11" s="273"/>
      <c r="W11" s="247">
        <f>'Cap&amp;OpEx 2017'!E11+U11</f>
        <v>1493390.43</v>
      </c>
      <c r="X11" s="273"/>
      <c r="Y11" s="247">
        <f>'Cap&amp;OpEx 2017'!F11+W11</f>
        <v>1684404.96</v>
      </c>
      <c r="Z11" s="273"/>
      <c r="AA11" s="247">
        <f>'Cap&amp;OpEx 2017'!G11+Y11</f>
        <v>1831515.92</v>
      </c>
      <c r="AB11" s="273"/>
      <c r="AC11" s="247">
        <f>'Cap&amp;OpEx 2017'!H11+AA11</f>
        <v>2000286.88</v>
      </c>
      <c r="AD11" s="273"/>
      <c r="AE11" s="457">
        <f>SUM(S11:AC11)/7</f>
        <v>1332149.1985714287</v>
      </c>
      <c r="AF11" s="348"/>
      <c r="AG11" s="231">
        <v>234200099.77730012</v>
      </c>
      <c r="AJ11" s="404"/>
      <c r="AK11" s="127"/>
      <c r="AL11" s="127"/>
      <c r="AM11" s="127"/>
      <c r="AN11" s="127"/>
      <c r="AO11" s="127"/>
      <c r="AP11" s="127"/>
      <c r="AQ11" s="128"/>
      <c r="AR11" s="127"/>
      <c r="AS11" s="127"/>
      <c r="AT11" s="127"/>
      <c r="AU11" s="128"/>
      <c r="AV11" s="127"/>
      <c r="AW11" s="127"/>
      <c r="AX11" s="127"/>
      <c r="AY11" s="127"/>
    </row>
    <row r="12" spans="1:51" s="225" customFormat="1">
      <c r="A12" s="226">
        <v>2</v>
      </c>
      <c r="B12" s="226"/>
      <c r="C12" s="225" t="s">
        <v>23</v>
      </c>
      <c r="D12" s="226"/>
      <c r="E12" s="489">
        <v>0</v>
      </c>
      <c r="F12" s="479"/>
      <c r="G12" s="490"/>
      <c r="H12" s="479"/>
      <c r="I12" s="490"/>
      <c r="J12" s="479"/>
      <c r="K12" s="490"/>
      <c r="L12" s="479"/>
      <c r="M12" s="490"/>
      <c r="N12" s="479"/>
      <c r="O12" s="490"/>
      <c r="P12" s="479"/>
      <c r="Q12" s="491"/>
      <c r="R12" s="226"/>
      <c r="S12" s="456">
        <v>0</v>
      </c>
      <c r="T12" s="273"/>
      <c r="U12" s="247">
        <v>0</v>
      </c>
      <c r="V12" s="273"/>
      <c r="W12" s="247">
        <v>0</v>
      </c>
      <c r="X12" s="273"/>
      <c r="Y12" s="247">
        <v>0</v>
      </c>
      <c r="Z12" s="273"/>
      <c r="AA12" s="247">
        <v>0</v>
      </c>
      <c r="AB12" s="273"/>
      <c r="AC12" s="247">
        <v>0</v>
      </c>
      <c r="AD12" s="273"/>
      <c r="AE12" s="457">
        <f t="shared" ref="AE12:AE13" si="0">SUM(S12:AC12)/7</f>
        <v>0</v>
      </c>
      <c r="AF12" s="226"/>
      <c r="AG12" s="231">
        <v>12462268</v>
      </c>
      <c r="AJ12" s="404"/>
      <c r="AK12" s="127"/>
      <c r="AL12" s="127"/>
      <c r="AM12" s="127"/>
      <c r="AN12" s="127"/>
      <c r="AO12" s="127"/>
      <c r="AP12" s="127"/>
      <c r="AQ12" s="128"/>
      <c r="AR12" s="127"/>
      <c r="AS12" s="127"/>
      <c r="AT12" s="127"/>
      <c r="AU12" s="128"/>
      <c r="AV12" s="127"/>
      <c r="AW12" s="127"/>
      <c r="AX12" s="127"/>
      <c r="AY12" s="127"/>
    </row>
    <row r="13" spans="1:51" s="225" customFormat="1">
      <c r="A13" s="226">
        <v>3</v>
      </c>
      <c r="B13" s="226"/>
      <c r="C13" s="225" t="s">
        <v>62</v>
      </c>
      <c r="D13" s="226"/>
      <c r="E13" s="492">
        <v>0</v>
      </c>
      <c r="F13" s="479"/>
      <c r="G13" s="493"/>
      <c r="H13" s="494"/>
      <c r="I13" s="493"/>
      <c r="J13" s="495"/>
      <c r="K13" s="493"/>
      <c r="L13" s="495"/>
      <c r="M13" s="493"/>
      <c r="N13" s="495"/>
      <c r="O13" s="493"/>
      <c r="P13" s="495"/>
      <c r="Q13" s="496"/>
      <c r="R13" s="388"/>
      <c r="S13" s="458">
        <v>0</v>
      </c>
      <c r="T13" s="388"/>
      <c r="U13" s="232">
        <v>0</v>
      </c>
      <c r="V13" s="388"/>
      <c r="W13" s="232">
        <v>0</v>
      </c>
      <c r="X13" s="388"/>
      <c r="Y13" s="232">
        <v>0</v>
      </c>
      <c r="Z13" s="273"/>
      <c r="AA13" s="232">
        <v>0</v>
      </c>
      <c r="AB13" s="273"/>
      <c r="AC13" s="232">
        <v>0</v>
      </c>
      <c r="AD13" s="273"/>
      <c r="AE13" s="459">
        <f t="shared" si="0"/>
        <v>0</v>
      </c>
      <c r="AF13" s="226"/>
      <c r="AG13" s="232">
        <v>-3293494.20895309</v>
      </c>
      <c r="AJ13" s="404"/>
      <c r="AK13" s="127"/>
      <c r="AL13" s="127"/>
      <c r="AM13" s="127"/>
      <c r="AN13" s="127"/>
      <c r="AO13" s="127"/>
      <c r="AP13" s="127"/>
      <c r="AQ13" s="128"/>
      <c r="AR13" s="127"/>
      <c r="AS13" s="127"/>
      <c r="AT13" s="127"/>
      <c r="AU13" s="128"/>
      <c r="AV13" s="127"/>
      <c r="AW13" s="127"/>
      <c r="AX13" s="127"/>
      <c r="AY13" s="127"/>
    </row>
    <row r="14" spans="1:51" s="225" customFormat="1">
      <c r="A14" s="226">
        <v>4</v>
      </c>
      <c r="B14" s="226"/>
      <c r="C14" s="225" t="s">
        <v>63</v>
      </c>
      <c r="D14" s="226"/>
      <c r="E14" s="489">
        <f>SUM(E11:E13)</f>
        <v>0</v>
      </c>
      <c r="F14" s="479"/>
      <c r="G14" s="490">
        <f>SUM(G11:G13)</f>
        <v>0</v>
      </c>
      <c r="H14" s="479"/>
      <c r="I14" s="490">
        <f>SUM(I11:I13)</f>
        <v>0</v>
      </c>
      <c r="J14" s="479"/>
      <c r="K14" s="490">
        <f>SUM(K11:K13)</f>
        <v>0</v>
      </c>
      <c r="L14" s="479"/>
      <c r="M14" s="490">
        <f>SUM(M11:M13)</f>
        <v>0</v>
      </c>
      <c r="N14" s="479"/>
      <c r="O14" s="490">
        <f>SUM(O11:O13)</f>
        <v>0</v>
      </c>
      <c r="P14" s="479"/>
      <c r="Q14" s="491">
        <f>SUM(Q11:Q13)</f>
        <v>0</v>
      </c>
      <c r="R14" s="273"/>
      <c r="S14" s="456">
        <f>SUM(S11:S13)</f>
        <v>1048966.73</v>
      </c>
      <c r="T14" s="273"/>
      <c r="U14" s="247">
        <f>SUM(U11:U13)</f>
        <v>1266479.47</v>
      </c>
      <c r="V14" s="273"/>
      <c r="W14" s="247">
        <f>SUM(W11:W13)</f>
        <v>1493390.43</v>
      </c>
      <c r="X14" s="273"/>
      <c r="Y14" s="247">
        <f>SUM(Y11:Y13)</f>
        <v>1684404.96</v>
      </c>
      <c r="Z14" s="273"/>
      <c r="AA14" s="247">
        <f>SUM(AA11:AA13)</f>
        <v>1831515.92</v>
      </c>
      <c r="AB14" s="273"/>
      <c r="AC14" s="247">
        <f>SUM(AC11:AC13)</f>
        <v>2000286.88</v>
      </c>
      <c r="AD14" s="273"/>
      <c r="AE14" s="457">
        <f>SUM(AE11:AE13)</f>
        <v>1332149.1985714287</v>
      </c>
      <c r="AF14" s="273"/>
      <c r="AG14" s="231">
        <v>243368873.56834704</v>
      </c>
      <c r="AJ14" s="404"/>
      <c r="AK14" s="117"/>
      <c r="AL14" s="117"/>
      <c r="AM14" s="117"/>
      <c r="AN14" s="117"/>
      <c r="AO14" s="117"/>
      <c r="AP14" s="117"/>
      <c r="AQ14" s="128"/>
      <c r="AR14" s="127"/>
      <c r="AS14" s="127"/>
      <c r="AT14" s="127"/>
      <c r="AU14" s="128"/>
      <c r="AV14" s="127"/>
      <c r="AW14" s="127"/>
      <c r="AX14" s="127"/>
      <c r="AY14" s="127"/>
    </row>
    <row r="15" spans="1:51" s="225" customFormat="1">
      <c r="A15" s="226"/>
      <c r="B15" s="226"/>
      <c r="D15" s="226"/>
      <c r="E15" s="489"/>
      <c r="F15" s="479"/>
      <c r="G15" s="490"/>
      <c r="H15" s="479"/>
      <c r="I15" s="490"/>
      <c r="J15" s="479"/>
      <c r="K15" s="490"/>
      <c r="L15" s="479"/>
      <c r="M15" s="490"/>
      <c r="N15" s="479"/>
      <c r="O15" s="490"/>
      <c r="P15" s="479"/>
      <c r="Q15" s="491"/>
      <c r="R15" s="226"/>
      <c r="S15" s="456"/>
      <c r="T15" s="273"/>
      <c r="U15" s="247"/>
      <c r="V15" s="273"/>
      <c r="W15" s="247"/>
      <c r="X15" s="273"/>
      <c r="Y15" s="247"/>
      <c r="Z15" s="273"/>
      <c r="AA15" s="247"/>
      <c r="AB15" s="273"/>
      <c r="AC15" s="247"/>
      <c r="AD15" s="273"/>
      <c r="AE15" s="457"/>
      <c r="AF15" s="226"/>
      <c r="AG15" s="231"/>
      <c r="AJ15" s="404"/>
      <c r="AK15" s="117"/>
      <c r="AL15" s="117"/>
      <c r="AM15" s="117"/>
      <c r="AN15" s="117"/>
      <c r="AO15" s="117"/>
      <c r="AP15" s="117"/>
      <c r="AQ15" s="128"/>
      <c r="AR15" s="127"/>
      <c r="AS15" s="127"/>
      <c r="AT15" s="127"/>
      <c r="AU15" s="128"/>
      <c r="AV15" s="127"/>
      <c r="AW15" s="127"/>
      <c r="AX15" s="127"/>
      <c r="AY15" s="127"/>
    </row>
    <row r="16" spans="1:51" s="225" customFormat="1">
      <c r="A16" s="226">
        <v>5</v>
      </c>
      <c r="B16" s="226"/>
      <c r="C16" s="225" t="s">
        <v>64</v>
      </c>
      <c r="D16" s="226"/>
      <c r="E16" s="492">
        <v>0</v>
      </c>
      <c r="F16" s="479"/>
      <c r="G16" s="493"/>
      <c r="H16" s="494"/>
      <c r="I16" s="493"/>
      <c r="J16" s="495"/>
      <c r="K16" s="493"/>
      <c r="L16" s="495"/>
      <c r="M16" s="493"/>
      <c r="N16" s="495"/>
      <c r="O16" s="493"/>
      <c r="P16" s="495"/>
      <c r="Q16" s="496"/>
      <c r="R16" s="388"/>
      <c r="S16" s="458">
        <v>0</v>
      </c>
      <c r="T16" s="388"/>
      <c r="U16" s="232">
        <v>0</v>
      </c>
      <c r="V16" s="388"/>
      <c r="W16" s="232">
        <v>0</v>
      </c>
      <c r="X16" s="388"/>
      <c r="Y16" s="232">
        <v>0</v>
      </c>
      <c r="Z16" s="273"/>
      <c r="AA16" s="232">
        <v>0</v>
      </c>
      <c r="AB16" s="273"/>
      <c r="AC16" s="232">
        <v>0</v>
      </c>
      <c r="AD16" s="273"/>
      <c r="AE16" s="459">
        <f>SUM(S16:AC16)/7</f>
        <v>0</v>
      </c>
      <c r="AF16" s="226"/>
      <c r="AG16" s="232">
        <v>-26417679.007406868</v>
      </c>
      <c r="AJ16" s="404"/>
      <c r="AK16" s="127"/>
      <c r="AL16" s="127"/>
      <c r="AM16" s="127"/>
      <c r="AN16" s="127"/>
      <c r="AO16" s="127"/>
      <c r="AP16" s="127"/>
      <c r="AQ16" s="127"/>
      <c r="AR16" s="127"/>
      <c r="AS16" s="127"/>
      <c r="AT16" s="127"/>
      <c r="AU16" s="127"/>
      <c r="AV16" s="127"/>
      <c r="AW16" s="127"/>
      <c r="AX16" s="127"/>
      <c r="AY16" s="127"/>
    </row>
    <row r="17" spans="1:34" s="225" customFormat="1" ht="7.5" customHeight="1">
      <c r="A17" s="226"/>
      <c r="B17" s="226"/>
      <c r="D17" s="226"/>
      <c r="E17" s="489"/>
      <c r="F17" s="479"/>
      <c r="G17" s="490"/>
      <c r="H17" s="479"/>
      <c r="I17" s="490"/>
      <c r="J17" s="479"/>
      <c r="K17" s="490"/>
      <c r="L17" s="479"/>
      <c r="M17" s="490"/>
      <c r="N17" s="479"/>
      <c r="O17" s="490"/>
      <c r="P17" s="479"/>
      <c r="Q17" s="491"/>
      <c r="R17" s="226"/>
      <c r="S17" s="456"/>
      <c r="T17" s="273"/>
      <c r="U17" s="247"/>
      <c r="V17" s="273"/>
      <c r="W17" s="247"/>
      <c r="X17" s="273"/>
      <c r="Y17" s="247"/>
      <c r="Z17" s="273"/>
      <c r="AA17" s="247"/>
      <c r="AB17" s="273"/>
      <c r="AC17" s="247"/>
      <c r="AD17" s="273"/>
      <c r="AE17" s="457"/>
      <c r="AF17" s="226"/>
      <c r="AG17" s="231"/>
    </row>
    <row r="18" spans="1:34" s="225" customFormat="1">
      <c r="A18" s="226">
        <v>6</v>
      </c>
      <c r="B18" s="226"/>
      <c r="C18" s="347" t="s">
        <v>65</v>
      </c>
      <c r="D18" s="226"/>
      <c r="E18" s="489">
        <f>SUM(E14:E16)</f>
        <v>0</v>
      </c>
      <c r="F18" s="479"/>
      <c r="G18" s="490">
        <f>SUM(G14:G16)</f>
        <v>0</v>
      </c>
      <c r="H18" s="479"/>
      <c r="I18" s="490">
        <f>SUM(I14:I16)</f>
        <v>0</v>
      </c>
      <c r="J18" s="479"/>
      <c r="K18" s="490">
        <f>SUM(K14:K16)</f>
        <v>0</v>
      </c>
      <c r="L18" s="479"/>
      <c r="M18" s="490">
        <f>SUM(M14:M16)</f>
        <v>0</v>
      </c>
      <c r="N18" s="479"/>
      <c r="O18" s="490">
        <f>SUM(O14:O16)</f>
        <v>0</v>
      </c>
      <c r="P18" s="479"/>
      <c r="Q18" s="491">
        <f>SUM(Q14:Q16)</f>
        <v>0</v>
      </c>
      <c r="R18" s="226"/>
      <c r="S18" s="456">
        <f>SUM(S14:S16)</f>
        <v>1048966.73</v>
      </c>
      <c r="T18" s="273"/>
      <c r="U18" s="247">
        <f>SUM(U14:U16)</f>
        <v>1266479.47</v>
      </c>
      <c r="V18" s="273"/>
      <c r="W18" s="247">
        <f>SUM(W14:W16)</f>
        <v>1493390.43</v>
      </c>
      <c r="X18" s="273"/>
      <c r="Y18" s="247">
        <f>SUM(Y14:Y16)</f>
        <v>1684404.96</v>
      </c>
      <c r="Z18" s="273"/>
      <c r="AA18" s="247">
        <f>SUM(AA14:AA16)</f>
        <v>1831515.92</v>
      </c>
      <c r="AB18" s="273"/>
      <c r="AC18" s="247">
        <f>SUM(AC14:AC16)</f>
        <v>2000286.88</v>
      </c>
      <c r="AD18" s="273"/>
      <c r="AE18" s="457">
        <f>SUM(AE14:AE16)</f>
        <v>1332149.1985714287</v>
      </c>
      <c r="AF18" s="226"/>
      <c r="AG18" s="231">
        <v>216951194.56094018</v>
      </c>
      <c r="AH18" s="349"/>
    </row>
    <row r="19" spans="1:34" s="225" customFormat="1">
      <c r="A19" s="226"/>
      <c r="B19" s="226"/>
      <c r="D19" s="226"/>
      <c r="E19" s="486"/>
      <c r="F19" s="479"/>
      <c r="G19" s="487"/>
      <c r="H19" s="479"/>
      <c r="I19" s="487"/>
      <c r="J19" s="479"/>
      <c r="K19" s="487"/>
      <c r="L19" s="479"/>
      <c r="M19" s="487"/>
      <c r="N19" s="479"/>
      <c r="O19" s="487"/>
      <c r="P19" s="479"/>
      <c r="Q19" s="488"/>
      <c r="R19" s="226"/>
      <c r="S19" s="454"/>
      <c r="T19" s="273"/>
      <c r="U19" s="117"/>
      <c r="V19" s="273"/>
      <c r="W19" s="117"/>
      <c r="X19" s="273"/>
      <c r="Y19" s="117"/>
      <c r="Z19" s="273"/>
      <c r="AA19" s="117"/>
      <c r="AB19" s="273"/>
      <c r="AC19" s="117"/>
      <c r="AD19" s="273"/>
      <c r="AE19" s="455"/>
      <c r="AF19" s="226"/>
    </row>
    <row r="20" spans="1:34" s="225" customFormat="1">
      <c r="A20" s="226">
        <v>7</v>
      </c>
      <c r="B20" s="226"/>
      <c r="C20" s="225" t="s">
        <v>66</v>
      </c>
      <c r="D20" s="226"/>
      <c r="E20" s="497"/>
      <c r="F20" s="479"/>
      <c r="G20" s="498">
        <v>8.7039841473943429E-3</v>
      </c>
      <c r="H20" s="479"/>
      <c r="I20" s="498">
        <v>8.7039841473943429E-3</v>
      </c>
      <c r="J20" s="479"/>
      <c r="K20" s="498">
        <v>8.7039841473943429E-3</v>
      </c>
      <c r="L20" s="479"/>
      <c r="M20" s="498">
        <v>8.7039841473943429E-3</v>
      </c>
      <c r="N20" s="479"/>
      <c r="O20" s="498">
        <v>8.7039841473943429E-3</v>
      </c>
      <c r="P20" s="479"/>
      <c r="Q20" s="499">
        <v>8.7039841473943429E-3</v>
      </c>
      <c r="R20" s="226"/>
      <c r="S20" s="460">
        <f>$AE$20/6</f>
        <v>8.5794772652459435E-3</v>
      </c>
      <c r="T20" s="273"/>
      <c r="U20" s="233">
        <f>$AE$20/6</f>
        <v>8.5794772652459435E-3</v>
      </c>
      <c r="V20" s="273"/>
      <c r="W20" s="233">
        <f>$AE$20/6</f>
        <v>8.5794772652459435E-3</v>
      </c>
      <c r="X20" s="273"/>
      <c r="Y20" s="233">
        <f>$AE$20/6</f>
        <v>8.5794772652459435E-3</v>
      </c>
      <c r="Z20" s="273"/>
      <c r="AA20" s="233">
        <f>$AE$20/6</f>
        <v>8.5794772652459435E-3</v>
      </c>
      <c r="AB20" s="273"/>
      <c r="AC20" s="233">
        <f>$AE$20/6</f>
        <v>8.5794772652459435E-3</v>
      </c>
      <c r="AD20" s="273"/>
      <c r="AE20" s="461">
        <f>ROR!M14*0.5</f>
        <v>5.1476863591475665E-2</v>
      </c>
      <c r="AF20" s="226"/>
      <c r="AG20" s="233">
        <v>0.11694251757309855</v>
      </c>
    </row>
    <row r="21" spans="1:34" s="225" customFormat="1">
      <c r="A21" s="226"/>
      <c r="B21" s="226"/>
      <c r="D21" s="226"/>
      <c r="E21" s="500"/>
      <c r="F21" s="479"/>
      <c r="G21" s="487"/>
      <c r="H21" s="479"/>
      <c r="I21" s="487"/>
      <c r="J21" s="479"/>
      <c r="K21" s="487"/>
      <c r="L21" s="479"/>
      <c r="M21" s="487"/>
      <c r="N21" s="479"/>
      <c r="O21" s="487"/>
      <c r="P21" s="479"/>
      <c r="Q21" s="488"/>
      <c r="R21" s="226"/>
      <c r="S21" s="454"/>
      <c r="T21" s="273"/>
      <c r="U21" s="117"/>
      <c r="V21" s="273"/>
      <c r="W21" s="117"/>
      <c r="X21" s="273"/>
      <c r="Y21" s="117"/>
      <c r="Z21" s="273"/>
      <c r="AA21" s="117"/>
      <c r="AB21" s="273"/>
      <c r="AC21" s="117"/>
      <c r="AD21" s="273"/>
      <c r="AE21" s="455"/>
      <c r="AF21" s="226"/>
    </row>
    <row r="22" spans="1:34" s="225" customFormat="1">
      <c r="A22" s="226">
        <v>8</v>
      </c>
      <c r="B22" s="226"/>
      <c r="C22" s="225" t="s">
        <v>67</v>
      </c>
      <c r="D22" s="226"/>
      <c r="E22" s="501">
        <f>E18*E20</f>
        <v>0</v>
      </c>
      <c r="F22" s="479"/>
      <c r="G22" s="502">
        <f>G18*G20</f>
        <v>0</v>
      </c>
      <c r="H22" s="479"/>
      <c r="I22" s="502">
        <f>I18*I20</f>
        <v>0</v>
      </c>
      <c r="J22" s="479"/>
      <c r="K22" s="502">
        <f>K18*K20</f>
        <v>0</v>
      </c>
      <c r="L22" s="479"/>
      <c r="M22" s="502">
        <f>M18*M20</f>
        <v>0</v>
      </c>
      <c r="N22" s="479"/>
      <c r="O22" s="502">
        <f>O18*O20</f>
        <v>0</v>
      </c>
      <c r="P22" s="479"/>
      <c r="Q22" s="503">
        <f>Q18*Q20</f>
        <v>0</v>
      </c>
      <c r="R22" s="226"/>
      <c r="S22" s="462">
        <f>S18*S20</f>
        <v>8999.5862120343791</v>
      </c>
      <c r="T22" s="273"/>
      <c r="U22" s="234">
        <f>U18*U20</f>
        <v>10865.731819765731</v>
      </c>
      <c r="V22" s="273"/>
      <c r="W22" s="234">
        <f>W18*W20</f>
        <v>12812.509242320863</v>
      </c>
      <c r="X22" s="273"/>
      <c r="Y22" s="234">
        <f>Y18*Y20</f>
        <v>14451.314059787503</v>
      </c>
      <c r="Z22" s="273"/>
      <c r="AA22" s="234">
        <f>AA18*AA20</f>
        <v>15713.449196576008</v>
      </c>
      <c r="AB22" s="273"/>
      <c r="AC22" s="234">
        <f>AC18*AC20</f>
        <v>17161.415810929739</v>
      </c>
      <c r="AD22" s="273"/>
      <c r="AE22" s="466">
        <f>AE18*AE20</f>
        <v>68574.862578355067</v>
      </c>
      <c r="AF22" s="226"/>
      <c r="AG22" s="234">
        <v>25370818.88244747</v>
      </c>
    </row>
    <row r="23" spans="1:34" s="225" customFormat="1">
      <c r="A23" s="226"/>
      <c r="B23" s="226"/>
      <c r="D23" s="226"/>
      <c r="E23" s="500"/>
      <c r="F23" s="479"/>
      <c r="G23" s="487"/>
      <c r="H23" s="479"/>
      <c r="I23" s="487"/>
      <c r="J23" s="479"/>
      <c r="K23" s="487"/>
      <c r="L23" s="479"/>
      <c r="M23" s="487"/>
      <c r="N23" s="479"/>
      <c r="O23" s="487"/>
      <c r="P23" s="479"/>
      <c r="Q23" s="488"/>
      <c r="R23" s="226"/>
      <c r="S23" s="454"/>
      <c r="T23" s="273"/>
      <c r="U23" s="117"/>
      <c r="V23" s="273"/>
      <c r="W23" s="117"/>
      <c r="X23" s="273"/>
      <c r="Y23" s="117"/>
      <c r="Z23" s="273"/>
      <c r="AA23" s="117"/>
      <c r="AB23" s="273"/>
      <c r="AC23" s="117"/>
      <c r="AD23" s="273"/>
      <c r="AE23" s="455"/>
      <c r="AF23" s="226"/>
    </row>
    <row r="24" spans="1:34" s="225" customFormat="1">
      <c r="A24" s="226"/>
      <c r="B24" s="346" t="s">
        <v>68</v>
      </c>
      <c r="D24" s="226"/>
      <c r="E24" s="486"/>
      <c r="F24" s="479"/>
      <c r="G24" s="487"/>
      <c r="H24" s="479"/>
      <c r="I24" s="487"/>
      <c r="J24" s="479"/>
      <c r="K24" s="487"/>
      <c r="L24" s="479"/>
      <c r="M24" s="487"/>
      <c r="N24" s="479"/>
      <c r="O24" s="487"/>
      <c r="P24" s="479"/>
      <c r="Q24" s="488"/>
      <c r="R24" s="226"/>
      <c r="S24" s="454"/>
      <c r="T24" s="273"/>
      <c r="U24" s="117"/>
      <c r="V24" s="273"/>
      <c r="W24" s="117"/>
      <c r="X24" s="273"/>
      <c r="Y24" s="117"/>
      <c r="Z24" s="273"/>
      <c r="AA24" s="117"/>
      <c r="AB24" s="273"/>
      <c r="AC24" s="117"/>
      <c r="AD24" s="273"/>
      <c r="AE24" s="455"/>
      <c r="AF24" s="226"/>
    </row>
    <row r="25" spans="1:34" s="225" customFormat="1">
      <c r="A25" s="226">
        <v>9</v>
      </c>
      <c r="B25" s="226"/>
      <c r="C25" s="225" t="s">
        <v>1</v>
      </c>
      <c r="D25" s="226"/>
      <c r="E25" s="489">
        <v>0</v>
      </c>
      <c r="F25" s="479"/>
      <c r="G25" s="490"/>
      <c r="H25" s="479"/>
      <c r="I25" s="490"/>
      <c r="J25" s="479"/>
      <c r="K25" s="490"/>
      <c r="L25" s="479"/>
      <c r="M25" s="490"/>
      <c r="N25" s="479"/>
      <c r="O25" s="490"/>
      <c r="P25" s="479"/>
      <c r="Q25" s="491"/>
      <c r="R25" s="226"/>
      <c r="S25" s="456">
        <v>0</v>
      </c>
      <c r="T25" s="273"/>
      <c r="U25" s="247">
        <v>0</v>
      </c>
      <c r="V25" s="273"/>
      <c r="W25" s="247">
        <v>0</v>
      </c>
      <c r="X25" s="273"/>
      <c r="Y25" s="247">
        <v>0</v>
      </c>
      <c r="Z25" s="273"/>
      <c r="AA25" s="247">
        <v>0</v>
      </c>
      <c r="AB25" s="273"/>
      <c r="AC25" s="247">
        <v>0</v>
      </c>
      <c r="AD25" s="273"/>
      <c r="AE25" s="457">
        <f>SUM(G25:AC25)</f>
        <v>0</v>
      </c>
      <c r="AF25" s="226"/>
      <c r="AG25" s="231">
        <v>7046368.2304199561</v>
      </c>
      <c r="AH25" s="349"/>
    </row>
    <row r="26" spans="1:34" s="225" customFormat="1">
      <c r="A26" s="226">
        <v>10</v>
      </c>
      <c r="B26" s="226"/>
      <c r="C26" s="117" t="s">
        <v>69</v>
      </c>
      <c r="D26" s="273"/>
      <c r="E26" s="489">
        <v>0</v>
      </c>
      <c r="F26" s="479"/>
      <c r="G26" s="490"/>
      <c r="H26" s="479"/>
      <c r="I26" s="490"/>
      <c r="J26" s="479"/>
      <c r="K26" s="490"/>
      <c r="L26" s="479"/>
      <c r="M26" s="490"/>
      <c r="N26" s="479"/>
      <c r="O26" s="490"/>
      <c r="P26" s="479"/>
      <c r="Q26" s="491"/>
      <c r="R26" s="226"/>
      <c r="S26" s="456">
        <v>0</v>
      </c>
      <c r="T26" s="273"/>
      <c r="U26" s="247">
        <v>0</v>
      </c>
      <c r="V26" s="273"/>
      <c r="W26" s="247">
        <v>0</v>
      </c>
      <c r="X26" s="273"/>
      <c r="Y26" s="247">
        <v>0</v>
      </c>
      <c r="Z26" s="273"/>
      <c r="AA26" s="247">
        <v>0</v>
      </c>
      <c r="AB26" s="273"/>
      <c r="AC26" s="247">
        <v>0</v>
      </c>
      <c r="AD26" s="273"/>
      <c r="AE26" s="457">
        <f>SUM(G26:AC26)</f>
        <v>0</v>
      </c>
      <c r="AF26" s="226"/>
      <c r="AG26" s="232">
        <v>0</v>
      </c>
      <c r="AH26" s="349"/>
    </row>
    <row r="27" spans="1:34" s="225" customFormat="1">
      <c r="A27" s="226">
        <v>11</v>
      </c>
      <c r="B27" s="226"/>
      <c r="C27" s="225" t="s">
        <v>294</v>
      </c>
      <c r="D27" s="226"/>
      <c r="E27" s="489">
        <v>0</v>
      </c>
      <c r="F27" s="479"/>
      <c r="G27" s="490"/>
      <c r="H27" s="479"/>
      <c r="I27" s="490"/>
      <c r="J27" s="479"/>
      <c r="K27" s="490"/>
      <c r="L27" s="479"/>
      <c r="M27" s="490"/>
      <c r="N27" s="479"/>
      <c r="O27" s="490"/>
      <c r="P27" s="479"/>
      <c r="Q27" s="491"/>
      <c r="R27" s="226"/>
      <c r="S27" s="456">
        <v>0</v>
      </c>
      <c r="T27" s="273"/>
      <c r="U27" s="247">
        <v>0</v>
      </c>
      <c r="V27" s="273"/>
      <c r="W27" s="247">
        <v>0</v>
      </c>
      <c r="X27" s="273"/>
      <c r="Y27" s="247">
        <v>0</v>
      </c>
      <c r="Z27" s="273"/>
      <c r="AA27" s="247">
        <v>0</v>
      </c>
      <c r="AB27" s="273"/>
      <c r="AC27" s="247">
        <v>0</v>
      </c>
      <c r="AD27" s="273"/>
      <c r="AE27" s="457">
        <f>SUM(G27:AC27)</f>
        <v>0</v>
      </c>
      <c r="AF27" s="226"/>
      <c r="AG27" s="247"/>
      <c r="AH27" s="349"/>
    </row>
    <row r="28" spans="1:34" s="225" customFormat="1">
      <c r="A28" s="226"/>
      <c r="B28" s="226"/>
      <c r="D28" s="226"/>
      <c r="E28" s="489"/>
      <c r="F28" s="479"/>
      <c r="G28" s="490"/>
      <c r="H28" s="479"/>
      <c r="I28" s="490"/>
      <c r="J28" s="479"/>
      <c r="K28" s="490"/>
      <c r="L28" s="479"/>
      <c r="M28" s="490"/>
      <c r="N28" s="479"/>
      <c r="O28" s="490"/>
      <c r="P28" s="479"/>
      <c r="Q28" s="491"/>
      <c r="R28" s="226"/>
      <c r="S28" s="456"/>
      <c r="T28" s="273"/>
      <c r="U28" s="247"/>
      <c r="V28" s="273"/>
      <c r="W28" s="247"/>
      <c r="X28" s="273"/>
      <c r="Y28" s="247"/>
      <c r="Z28" s="273"/>
      <c r="AA28" s="247"/>
      <c r="AB28" s="273"/>
      <c r="AC28" s="247"/>
      <c r="AD28" s="273"/>
      <c r="AE28" s="457"/>
      <c r="AF28" s="226"/>
      <c r="AG28" s="231"/>
    </row>
    <row r="29" spans="1:34" s="225" customFormat="1">
      <c r="A29" s="226">
        <v>12</v>
      </c>
      <c r="B29" s="226"/>
      <c r="C29" s="225" t="s">
        <v>70</v>
      </c>
      <c r="D29" s="226"/>
      <c r="E29" s="489">
        <f>SUM(E25:E28)</f>
        <v>0</v>
      </c>
      <c r="F29" s="479"/>
      <c r="G29" s="490">
        <f>SUM(G25:G28)</f>
        <v>0</v>
      </c>
      <c r="H29" s="479"/>
      <c r="I29" s="490">
        <f>SUM(I25:I28)</f>
        <v>0</v>
      </c>
      <c r="J29" s="479"/>
      <c r="K29" s="490">
        <f>SUM(K25:K28)</f>
        <v>0</v>
      </c>
      <c r="L29" s="479"/>
      <c r="M29" s="490">
        <f>SUM(M25:M28)</f>
        <v>0</v>
      </c>
      <c r="N29" s="479"/>
      <c r="O29" s="490">
        <f>SUM(O25:O28)</f>
        <v>0</v>
      </c>
      <c r="P29" s="479"/>
      <c r="Q29" s="491">
        <f>SUM(Q25:Q28)</f>
        <v>0</v>
      </c>
      <c r="R29" s="226"/>
      <c r="S29" s="456">
        <f>SUM(S25:S28)</f>
        <v>0</v>
      </c>
      <c r="T29" s="273"/>
      <c r="U29" s="247">
        <f>SUM(U25:U28)</f>
        <v>0</v>
      </c>
      <c r="V29" s="273"/>
      <c r="W29" s="247">
        <f>SUM(W25:W28)</f>
        <v>0</v>
      </c>
      <c r="X29" s="273"/>
      <c r="Y29" s="247">
        <f>SUM(Y25:Y28)</f>
        <v>0</v>
      </c>
      <c r="Z29" s="273"/>
      <c r="AA29" s="247">
        <f>SUM(AA25:AA28)</f>
        <v>0</v>
      </c>
      <c r="AB29" s="273"/>
      <c r="AC29" s="247">
        <f>SUM(AC25:AC28)</f>
        <v>0</v>
      </c>
      <c r="AD29" s="273"/>
      <c r="AE29" s="457">
        <f>SUM(AE25:AE28)</f>
        <v>0</v>
      </c>
      <c r="AF29" s="226"/>
      <c r="AG29" s="231">
        <v>7046368.2304199561</v>
      </c>
    </row>
    <row r="30" spans="1:34" s="225" customFormat="1">
      <c r="A30" s="226"/>
      <c r="B30" s="226"/>
      <c r="D30" s="226"/>
      <c r="E30" s="486"/>
      <c r="F30" s="479"/>
      <c r="G30" s="487"/>
      <c r="H30" s="479"/>
      <c r="I30" s="487"/>
      <c r="J30" s="479"/>
      <c r="K30" s="487"/>
      <c r="L30" s="479"/>
      <c r="M30" s="487"/>
      <c r="N30" s="479"/>
      <c r="O30" s="487"/>
      <c r="P30" s="479"/>
      <c r="Q30" s="488"/>
      <c r="R30" s="226"/>
      <c r="S30" s="454"/>
      <c r="T30" s="273"/>
      <c r="U30" s="117"/>
      <c r="V30" s="273"/>
      <c r="W30" s="117"/>
      <c r="X30" s="273"/>
      <c r="Y30" s="117"/>
      <c r="Z30" s="273"/>
      <c r="AA30" s="117"/>
      <c r="AB30" s="273"/>
      <c r="AC30" s="117"/>
      <c r="AD30" s="273"/>
      <c r="AE30" s="455"/>
      <c r="AF30" s="226"/>
    </row>
    <row r="31" spans="1:34" s="225" customFormat="1" ht="21" thickBot="1">
      <c r="A31" s="226">
        <v>13</v>
      </c>
      <c r="B31" s="346" t="s">
        <v>277</v>
      </c>
      <c r="D31" s="226"/>
      <c r="E31" s="504">
        <f>E22+E29</f>
        <v>0</v>
      </c>
      <c r="F31" s="494"/>
      <c r="G31" s="505">
        <f>G22+G29</f>
        <v>0</v>
      </c>
      <c r="H31" s="494"/>
      <c r="I31" s="505">
        <f>I22+I29</f>
        <v>0</v>
      </c>
      <c r="J31" s="494"/>
      <c r="K31" s="505">
        <f>K22+K29</f>
        <v>0</v>
      </c>
      <c r="L31" s="494"/>
      <c r="M31" s="505">
        <f>M22+M29</f>
        <v>0</v>
      </c>
      <c r="N31" s="494"/>
      <c r="O31" s="505">
        <f>O22+O29</f>
        <v>0</v>
      </c>
      <c r="P31" s="494"/>
      <c r="Q31" s="506">
        <f>Q22+Q29</f>
        <v>0</v>
      </c>
      <c r="R31" s="226"/>
      <c r="S31" s="463">
        <f>S22+S29</f>
        <v>8999.5862120343791</v>
      </c>
      <c r="T31" s="274"/>
      <c r="U31" s="464">
        <f>U22+U29</f>
        <v>10865.731819765731</v>
      </c>
      <c r="V31" s="274"/>
      <c r="W31" s="464">
        <f>W22+W29</f>
        <v>12812.509242320863</v>
      </c>
      <c r="X31" s="274"/>
      <c r="Y31" s="464">
        <f>Y22+Y29</f>
        <v>14451.314059787503</v>
      </c>
      <c r="Z31" s="274"/>
      <c r="AA31" s="464">
        <f>AA22+AA29</f>
        <v>15713.449196576008</v>
      </c>
      <c r="AB31" s="274"/>
      <c r="AC31" s="464">
        <f>AC22+AC29</f>
        <v>17161.415810929739</v>
      </c>
      <c r="AD31" s="274"/>
      <c r="AE31" s="465">
        <f>AE22+AE29</f>
        <v>68574.862578355067</v>
      </c>
      <c r="AF31" s="226"/>
      <c r="AG31" s="235">
        <v>32417187.112867426</v>
      </c>
    </row>
    <row r="32" spans="1:34" s="225" customFormat="1" ht="21" thickTop="1">
      <c r="A32" s="226"/>
      <c r="B32" s="226"/>
      <c r="D32" s="226"/>
      <c r="E32" s="349"/>
      <c r="F32" s="226"/>
      <c r="H32" s="226"/>
      <c r="J32" s="226"/>
      <c r="L32" s="226"/>
      <c r="N32" s="226"/>
      <c r="P32" s="226"/>
      <c r="R32" s="226"/>
      <c r="T32" s="226"/>
      <c r="V32" s="226"/>
      <c r="X32" s="226"/>
      <c r="Z32" s="226"/>
      <c r="AB32" s="226"/>
      <c r="AC32" s="349"/>
      <c r="AD32" s="226"/>
      <c r="AF32" s="226"/>
    </row>
    <row r="33" spans="1:33" s="225" customFormat="1" hidden="1">
      <c r="A33" s="226">
        <v>13</v>
      </c>
      <c r="B33" s="346" t="s">
        <v>104</v>
      </c>
      <c r="D33" s="226"/>
      <c r="E33" s="350"/>
      <c r="F33" s="226"/>
      <c r="G33" s="350">
        <v>1.4334866894633393E-2</v>
      </c>
      <c r="H33" s="226"/>
      <c r="I33" s="350">
        <v>9.8173249221958275E-2</v>
      </c>
      <c r="J33" s="226"/>
      <c r="K33" s="350">
        <v>0.14000521098329799</v>
      </c>
      <c r="L33" s="226"/>
      <c r="M33" s="350">
        <v>0.19617787887361537</v>
      </c>
      <c r="N33" s="226"/>
      <c r="O33" s="350">
        <v>0.25439277088453749</v>
      </c>
      <c r="P33" s="226"/>
      <c r="Q33" s="350">
        <v>0.28282249062000248</v>
      </c>
      <c r="R33" s="226"/>
      <c r="S33" s="350">
        <v>0.28282249062000248</v>
      </c>
      <c r="T33" s="226"/>
      <c r="U33" s="350">
        <v>0.28282249062000248</v>
      </c>
      <c r="V33" s="226"/>
      <c r="W33" s="350">
        <v>0.28282249062000248</v>
      </c>
      <c r="X33" s="226"/>
      <c r="Y33" s="350">
        <v>0.28282249062000248</v>
      </c>
      <c r="Z33" s="226"/>
      <c r="AA33" s="350">
        <v>0.28282249062000248</v>
      </c>
      <c r="AB33" s="226"/>
      <c r="AC33" s="350"/>
      <c r="AD33" s="226"/>
      <c r="AE33" s="350">
        <v>0.28282249062000248</v>
      </c>
      <c r="AF33" s="226"/>
      <c r="AG33" s="350">
        <v>0.262971801175854</v>
      </c>
    </row>
    <row r="34" spans="1:33" s="225" customFormat="1">
      <c r="D34" s="226"/>
      <c r="E34" s="231"/>
      <c r="F34" s="226"/>
      <c r="G34" s="350"/>
      <c r="H34" s="226"/>
      <c r="I34" s="350"/>
      <c r="J34" s="226"/>
      <c r="K34" s="350"/>
      <c r="L34" s="226"/>
      <c r="M34" s="350"/>
      <c r="N34" s="226"/>
      <c r="O34" s="350"/>
      <c r="P34" s="226"/>
      <c r="Q34" s="350"/>
      <c r="R34" s="226"/>
      <c r="S34" s="350"/>
      <c r="T34" s="226"/>
      <c r="U34" s="350"/>
      <c r="V34" s="226"/>
      <c r="W34" s="350"/>
      <c r="X34" s="226"/>
      <c r="Y34" s="350"/>
      <c r="Z34" s="226"/>
      <c r="AA34" s="350"/>
      <c r="AB34" s="226"/>
      <c r="AC34" s="231"/>
      <c r="AD34" s="226"/>
      <c r="AE34" s="231"/>
      <c r="AF34" s="226"/>
      <c r="AG34" s="350"/>
    </row>
    <row r="35" spans="1:33" s="225" customFormat="1">
      <c r="A35" s="348"/>
      <c r="B35" s="224"/>
      <c r="D35" s="226"/>
      <c r="F35" s="226"/>
      <c r="H35" s="226"/>
      <c r="J35" s="226"/>
      <c r="L35" s="226"/>
      <c r="N35" s="226"/>
      <c r="P35" s="226"/>
      <c r="R35" s="226"/>
      <c r="T35" s="226"/>
      <c r="V35" s="226"/>
      <c r="X35" s="226"/>
      <c r="Z35" s="226"/>
      <c r="AB35" s="226"/>
      <c r="AD35" s="226"/>
      <c r="AE35" s="349"/>
      <c r="AF35" s="226"/>
    </row>
    <row r="36" spans="1:33" hidden="1">
      <c r="A36" s="331"/>
      <c r="B36" s="351" t="s">
        <v>81</v>
      </c>
      <c r="D36" s="331"/>
      <c r="F36" s="331"/>
      <c r="H36" s="331"/>
      <c r="J36" s="331"/>
      <c r="L36" s="331"/>
      <c r="N36" s="331"/>
      <c r="P36" s="331"/>
      <c r="R36" s="331"/>
      <c r="T36" s="331"/>
      <c r="V36" s="331"/>
      <c r="X36" s="331"/>
      <c r="Z36" s="331"/>
      <c r="AB36" s="331"/>
      <c r="AD36" s="331"/>
      <c r="AF36" s="331"/>
    </row>
    <row r="37" spans="1:33" hidden="1">
      <c r="A37" s="331">
        <v>1</v>
      </c>
      <c r="B37" s="331"/>
      <c r="C37" s="352" t="s">
        <v>75</v>
      </c>
      <c r="D37" s="331"/>
      <c r="E37" s="353">
        <v>6.7647196984275837</v>
      </c>
      <c r="F37" s="331">
        <v>0</v>
      </c>
      <c r="G37" s="353">
        <v>0.34287003216711542</v>
      </c>
      <c r="H37" s="331"/>
      <c r="I37" s="353">
        <v>2.3481672600172359</v>
      </c>
      <c r="J37" s="331">
        <v>0</v>
      </c>
      <c r="K37" s="353">
        <v>3.3487294682435094</v>
      </c>
      <c r="L37" s="331">
        <v>0</v>
      </c>
      <c r="M37" s="353">
        <v>4.692301374982053</v>
      </c>
      <c r="N37" s="331">
        <v>0</v>
      </c>
      <c r="O37" s="353">
        <v>6.0847204356614792</v>
      </c>
      <c r="P37" s="331">
        <v>0</v>
      </c>
      <c r="Q37" s="353">
        <v>6.7647196984275837</v>
      </c>
      <c r="R37" s="331">
        <v>0</v>
      </c>
      <c r="S37" s="353">
        <v>6.7647196984275837</v>
      </c>
      <c r="T37" s="331">
        <v>0</v>
      </c>
      <c r="U37" s="353">
        <v>6.7647196984275837</v>
      </c>
      <c r="V37" s="331">
        <v>0</v>
      </c>
      <c r="W37" s="353">
        <v>6.7647196984275837</v>
      </c>
      <c r="X37" s="331">
        <v>0</v>
      </c>
      <c r="Y37" s="353">
        <v>6.7647196984275837</v>
      </c>
      <c r="Z37" s="331">
        <v>0</v>
      </c>
      <c r="AA37" s="353">
        <v>6.7647196984275837</v>
      </c>
      <c r="AB37" s="331">
        <v>0</v>
      </c>
      <c r="AC37" s="353"/>
      <c r="AD37" s="331"/>
      <c r="AE37" s="353"/>
      <c r="AF37" s="331">
        <v>0</v>
      </c>
      <c r="AG37" s="353">
        <v>6.2899188803744579</v>
      </c>
    </row>
    <row r="38" spans="1:33" hidden="1">
      <c r="A38" s="331">
        <v>2</v>
      </c>
      <c r="B38" s="331"/>
      <c r="C38" s="352" t="s">
        <v>76</v>
      </c>
      <c r="D38" s="331"/>
      <c r="E38" s="353">
        <v>33.431032939854518</v>
      </c>
      <c r="F38" s="331">
        <v>0</v>
      </c>
      <c r="G38" s="353">
        <v>1.6944529633847505</v>
      </c>
      <c r="H38" s="331"/>
      <c r="I38" s="353">
        <v>11.60456907566641</v>
      </c>
      <c r="J38" s="331">
        <v>0</v>
      </c>
      <c r="K38" s="353">
        <v>16.549316180171171</v>
      </c>
      <c r="L38" s="331">
        <v>0</v>
      </c>
      <c r="M38" s="353">
        <v>23.189206474765356</v>
      </c>
      <c r="N38" s="331">
        <v>0</v>
      </c>
      <c r="O38" s="353">
        <v>30.070497874684765</v>
      </c>
      <c r="P38" s="331">
        <v>0</v>
      </c>
      <c r="Q38" s="353">
        <v>33.431032939854518</v>
      </c>
      <c r="R38" s="331">
        <v>0</v>
      </c>
      <c r="S38" s="353">
        <v>33.431032939854518</v>
      </c>
      <c r="T38" s="331">
        <v>0</v>
      </c>
      <c r="U38" s="353">
        <v>33.431032939854518</v>
      </c>
      <c r="V38" s="331">
        <v>0</v>
      </c>
      <c r="W38" s="353">
        <v>33.431032939854518</v>
      </c>
      <c r="X38" s="331">
        <v>0</v>
      </c>
      <c r="Y38" s="353">
        <v>33.431032939854518</v>
      </c>
      <c r="Z38" s="331">
        <v>0</v>
      </c>
      <c r="AA38" s="353">
        <v>33.431032939854518</v>
      </c>
      <c r="AB38" s="331">
        <v>0</v>
      </c>
      <c r="AC38" s="353"/>
      <c r="AD38" s="331"/>
      <c r="AE38" s="353"/>
      <c r="AF38" s="331">
        <v>0</v>
      </c>
      <c r="AG38" s="353">
        <v>31.084582163498848</v>
      </c>
    </row>
    <row r="39" spans="1:33" hidden="1">
      <c r="A39" s="331">
        <v>3</v>
      </c>
      <c r="B39" s="331"/>
      <c r="C39" s="352" t="s">
        <v>77</v>
      </c>
      <c r="D39" s="331"/>
      <c r="E39" s="353">
        <v>268.6376905309246</v>
      </c>
      <c r="F39" s="331">
        <v>0</v>
      </c>
      <c r="G39" s="353">
        <v>13.615909852857261</v>
      </c>
      <c r="H39" s="331"/>
      <c r="I39" s="353">
        <v>93.249426115613673</v>
      </c>
      <c r="J39" s="331">
        <v>0</v>
      </c>
      <c r="K39" s="353">
        <v>132.98332978540009</v>
      </c>
      <c r="L39" s="331">
        <v>0</v>
      </c>
      <c r="M39" s="353">
        <v>186.33868967893272</v>
      </c>
      <c r="N39" s="331">
        <v>0</v>
      </c>
      <c r="O39" s="353">
        <v>241.63384711156178</v>
      </c>
      <c r="P39" s="331">
        <v>0</v>
      </c>
      <c r="Q39" s="353">
        <v>268.6376905309246</v>
      </c>
      <c r="R39" s="331">
        <v>0</v>
      </c>
      <c r="S39" s="353">
        <v>268.6376905309246</v>
      </c>
      <c r="T39" s="331">
        <v>0</v>
      </c>
      <c r="U39" s="353">
        <v>268.6376905309246</v>
      </c>
      <c r="V39" s="331">
        <v>0</v>
      </c>
      <c r="W39" s="353">
        <v>268.6376905309246</v>
      </c>
      <c r="X39" s="331">
        <v>0</v>
      </c>
      <c r="Y39" s="353">
        <v>268.6376905309246</v>
      </c>
      <c r="Z39" s="331">
        <v>0</v>
      </c>
      <c r="AA39" s="353">
        <v>268.6376905309246</v>
      </c>
      <c r="AB39" s="331">
        <v>0</v>
      </c>
      <c r="AC39" s="353"/>
      <c r="AD39" s="331"/>
      <c r="AE39" s="353"/>
      <c r="AF39" s="331">
        <v>0</v>
      </c>
      <c r="AG39" s="353">
        <v>249.78260105047895</v>
      </c>
    </row>
    <row r="40" spans="1:33" hidden="1">
      <c r="A40" s="331">
        <v>4</v>
      </c>
      <c r="B40" s="331"/>
      <c r="C40" s="352" t="s">
        <v>78</v>
      </c>
      <c r="D40" s="331"/>
      <c r="E40" s="353">
        <v>1481.4283760512321</v>
      </c>
      <c r="F40" s="331">
        <v>0</v>
      </c>
      <c r="G40" s="353">
        <v>75.086244159980552</v>
      </c>
      <c r="H40" s="331"/>
      <c r="I40" s="353">
        <v>514.23292697738736</v>
      </c>
      <c r="J40" s="331">
        <v>0</v>
      </c>
      <c r="K40" s="353">
        <v>733.34935949053727</v>
      </c>
      <c r="L40" s="331">
        <v>0</v>
      </c>
      <c r="M40" s="353">
        <v>1027.582622159262</v>
      </c>
      <c r="N40" s="331">
        <v>0</v>
      </c>
      <c r="O40" s="353">
        <v>1332.5130848840636</v>
      </c>
      <c r="P40" s="331">
        <v>0</v>
      </c>
      <c r="Q40" s="353">
        <v>1481.4283760512321</v>
      </c>
      <c r="R40" s="331">
        <v>0</v>
      </c>
      <c r="S40" s="353">
        <v>1481.4283760512321</v>
      </c>
      <c r="T40" s="331">
        <v>0</v>
      </c>
      <c r="U40" s="353">
        <v>1481.4283760512321</v>
      </c>
      <c r="V40" s="331">
        <v>0</v>
      </c>
      <c r="W40" s="353">
        <v>1481.4283760512321</v>
      </c>
      <c r="X40" s="331">
        <v>0</v>
      </c>
      <c r="Y40" s="353">
        <v>1481.4283760512321</v>
      </c>
      <c r="Z40" s="331">
        <v>0</v>
      </c>
      <c r="AA40" s="353">
        <v>1481.4283760512321</v>
      </c>
      <c r="AB40" s="331">
        <v>0</v>
      </c>
      <c r="AC40" s="353"/>
      <c r="AD40" s="331"/>
      <c r="AE40" s="353"/>
      <c r="AF40" s="331">
        <v>0</v>
      </c>
      <c r="AG40" s="353">
        <v>1377.4501720467506</v>
      </c>
    </row>
    <row r="41" spans="1:33" hidden="1">
      <c r="C41" s="354"/>
    </row>
    <row r="42" spans="1:33" hidden="1">
      <c r="B42" s="355" t="s">
        <v>106</v>
      </c>
      <c r="C42" s="356" t="s">
        <v>116</v>
      </c>
    </row>
    <row r="43" spans="1:33" hidden="1">
      <c r="C43" s="356" t="s">
        <v>117</v>
      </c>
    </row>
    <row r="44" spans="1:33" hidden="1"/>
    <row r="46" spans="1:33">
      <c r="G46" s="357"/>
      <c r="I46" s="357"/>
      <c r="K46" s="357"/>
      <c r="M46" s="357"/>
      <c r="O46" s="357"/>
      <c r="Q46" s="357"/>
      <c r="S46" s="357"/>
      <c r="U46" s="357"/>
      <c r="W46" s="357"/>
      <c r="Y46" s="357"/>
      <c r="AA46" s="357"/>
      <c r="AC46" s="357"/>
    </row>
    <row r="47" spans="1:33" hidden="1">
      <c r="A47" s="358" t="s">
        <v>84</v>
      </c>
    </row>
    <row r="48" spans="1:33" hidden="1">
      <c r="A48" s="359" t="s">
        <v>112</v>
      </c>
    </row>
    <row r="49" spans="1:51" hidden="1">
      <c r="A49" s="359" t="s">
        <v>114</v>
      </c>
    </row>
    <row r="50" spans="1:51" hidden="1">
      <c r="A50" s="358"/>
    </row>
    <row r="51" spans="1:51" hidden="1">
      <c r="A51" s="331"/>
      <c r="B51" s="331"/>
      <c r="D51" s="331"/>
      <c r="F51" s="331"/>
      <c r="H51" s="331"/>
      <c r="J51" s="331"/>
      <c r="L51" s="331"/>
      <c r="N51" s="331"/>
      <c r="P51" s="331"/>
      <c r="R51" s="331"/>
      <c r="T51" s="331"/>
      <c r="V51" s="331"/>
      <c r="X51" s="331"/>
      <c r="Z51" s="331"/>
      <c r="AB51" s="331"/>
      <c r="AD51" s="331"/>
      <c r="AF51" s="331"/>
      <c r="AJ51" s="144"/>
      <c r="AK51" s="145"/>
      <c r="AL51" s="145"/>
      <c r="AM51" s="145"/>
      <c r="AN51" s="145"/>
      <c r="AO51" s="145"/>
      <c r="AP51" s="145"/>
      <c r="AQ51" s="145"/>
      <c r="AR51" s="545"/>
      <c r="AS51" s="545"/>
      <c r="AT51" s="545"/>
      <c r="AU51" s="545"/>
      <c r="AV51" s="545"/>
      <c r="AW51" s="545"/>
      <c r="AX51" s="545"/>
      <c r="AY51" s="545"/>
    </row>
    <row r="52" spans="1:51" hidden="1">
      <c r="A52" s="360" t="s">
        <v>5</v>
      </c>
      <c r="B52" s="331"/>
      <c r="D52" s="331"/>
      <c r="E52" s="148">
        <v>2017</v>
      </c>
      <c r="F52" s="331"/>
      <c r="G52" s="148"/>
      <c r="H52" s="148"/>
      <c r="I52" s="148"/>
      <c r="J52" s="148"/>
      <c r="K52" s="148"/>
      <c r="L52" s="148"/>
      <c r="M52" s="148"/>
      <c r="N52" s="148"/>
      <c r="O52" s="148"/>
      <c r="P52" s="331"/>
      <c r="Q52" s="148"/>
      <c r="R52" s="331"/>
      <c r="S52" s="148"/>
      <c r="T52" s="331"/>
      <c r="U52" s="148"/>
      <c r="V52" s="331"/>
      <c r="W52" s="148"/>
      <c r="X52" s="331"/>
      <c r="Y52" s="148"/>
      <c r="Z52" s="331"/>
      <c r="AA52" s="148"/>
      <c r="AB52" s="331"/>
      <c r="AC52" s="148"/>
      <c r="AD52" s="331"/>
      <c r="AE52" s="148"/>
      <c r="AF52" s="331"/>
      <c r="AG52" s="148">
        <v>2018</v>
      </c>
      <c r="AJ52" s="148"/>
      <c r="AK52" s="149"/>
      <c r="AL52" s="148"/>
      <c r="AM52" s="148"/>
      <c r="AN52" s="148"/>
      <c r="AO52" s="148"/>
      <c r="AP52" s="148"/>
      <c r="AQ52" s="148"/>
      <c r="AR52" s="148"/>
      <c r="AS52" s="148"/>
      <c r="AT52" s="148"/>
      <c r="AU52" s="148"/>
      <c r="AV52" s="148"/>
      <c r="AW52" s="148"/>
      <c r="AX52" s="148"/>
      <c r="AY52" s="148"/>
    </row>
    <row r="53" spans="1:51" hidden="1">
      <c r="A53" s="361" t="s">
        <v>6</v>
      </c>
      <c r="B53" s="331"/>
      <c r="C53" s="361" t="s">
        <v>7</v>
      </c>
      <c r="D53" s="331"/>
      <c r="E53" s="362" t="s">
        <v>38</v>
      </c>
      <c r="F53" s="331"/>
      <c r="G53" s="363"/>
      <c r="H53" s="148"/>
      <c r="I53" s="362"/>
      <c r="J53" s="148"/>
      <c r="K53" s="362"/>
      <c r="L53" s="148"/>
      <c r="M53" s="362"/>
      <c r="N53" s="148"/>
      <c r="O53" s="362"/>
      <c r="P53" s="331"/>
      <c r="Q53" s="362"/>
      <c r="R53" s="331"/>
      <c r="S53" s="362"/>
      <c r="T53" s="331"/>
      <c r="U53" s="362"/>
      <c r="V53" s="331"/>
      <c r="W53" s="362"/>
      <c r="X53" s="331"/>
      <c r="Y53" s="362"/>
      <c r="Z53" s="331"/>
      <c r="AA53" s="362"/>
      <c r="AB53" s="331"/>
      <c r="AC53" s="362"/>
      <c r="AD53" s="331"/>
      <c r="AE53" s="362"/>
      <c r="AF53" s="331"/>
      <c r="AG53" s="362" t="s">
        <v>39</v>
      </c>
      <c r="AJ53" s="148"/>
      <c r="AK53" s="148"/>
      <c r="AL53" s="148"/>
      <c r="AM53" s="148"/>
      <c r="AN53" s="148"/>
      <c r="AO53" s="148"/>
      <c r="AP53" s="148"/>
      <c r="AQ53" s="148"/>
      <c r="AR53" s="148"/>
      <c r="AS53" s="148"/>
      <c r="AT53" s="148"/>
      <c r="AU53" s="148"/>
      <c r="AV53" s="148"/>
      <c r="AW53" s="148"/>
      <c r="AX53" s="148"/>
      <c r="AY53" s="148"/>
    </row>
    <row r="54" spans="1:51" hidden="1">
      <c r="A54" s="360"/>
      <c r="B54" s="331"/>
      <c r="C54" s="364">
        <v>-1</v>
      </c>
      <c r="D54" s="331"/>
      <c r="E54" s="364">
        <v>-7</v>
      </c>
      <c r="F54" s="331"/>
      <c r="G54" s="364"/>
      <c r="H54" s="331"/>
      <c r="I54" s="364"/>
      <c r="J54" s="331"/>
      <c r="K54" s="364"/>
      <c r="L54" s="331"/>
      <c r="M54" s="364"/>
      <c r="N54" s="331"/>
      <c r="O54" s="364"/>
      <c r="P54" s="331"/>
      <c r="Q54" s="364"/>
      <c r="R54" s="331"/>
      <c r="S54" s="364"/>
      <c r="T54" s="331"/>
      <c r="U54" s="364"/>
      <c r="V54" s="331"/>
      <c r="W54" s="364"/>
      <c r="X54" s="331"/>
      <c r="Y54" s="364"/>
      <c r="Z54" s="331"/>
      <c r="AA54" s="364"/>
      <c r="AB54" s="331"/>
      <c r="AC54" s="364"/>
      <c r="AD54" s="331"/>
      <c r="AE54" s="364"/>
      <c r="AF54" s="331"/>
      <c r="AG54" s="364">
        <v>-8</v>
      </c>
      <c r="AJ54" s="148"/>
      <c r="AK54" s="154"/>
      <c r="AL54" s="154"/>
      <c r="AM54" s="154"/>
      <c r="AN54" s="154"/>
      <c r="AO54" s="154"/>
      <c r="AP54" s="154"/>
      <c r="AQ54" s="154"/>
      <c r="AR54" s="154"/>
      <c r="AS54" s="154"/>
      <c r="AT54" s="154"/>
      <c r="AU54" s="154"/>
      <c r="AV54" s="154"/>
      <c r="AW54" s="154"/>
      <c r="AX54" s="154"/>
      <c r="AY54" s="154"/>
    </row>
    <row r="55" spans="1:51" hidden="1">
      <c r="A55" s="331"/>
      <c r="B55" s="331"/>
      <c r="D55" s="331"/>
      <c r="F55" s="331"/>
      <c r="H55" s="331"/>
      <c r="J55" s="331"/>
      <c r="L55" s="331"/>
      <c r="N55" s="331"/>
      <c r="P55" s="331"/>
      <c r="R55" s="331"/>
      <c r="T55" s="331"/>
      <c r="V55" s="331"/>
      <c r="X55" s="331"/>
      <c r="Z55" s="331"/>
      <c r="AB55" s="331"/>
      <c r="AD55" s="331"/>
      <c r="AF55" s="331"/>
      <c r="AJ55" s="148"/>
      <c r="AK55" s="155"/>
      <c r="AL55" s="155"/>
      <c r="AM55" s="155"/>
      <c r="AN55" s="155"/>
      <c r="AO55" s="155"/>
      <c r="AP55" s="155"/>
      <c r="AQ55" s="156"/>
      <c r="AR55" s="155"/>
      <c r="AS55" s="156"/>
      <c r="AT55" s="156"/>
      <c r="AU55" s="156"/>
      <c r="AV55" s="155"/>
      <c r="AW55" s="155"/>
      <c r="AX55" s="155"/>
      <c r="AY55" s="155"/>
    </row>
    <row r="56" spans="1:51" hidden="1">
      <c r="A56" s="331"/>
      <c r="B56" s="365" t="s">
        <v>60</v>
      </c>
      <c r="D56" s="331"/>
      <c r="F56" s="331"/>
      <c r="H56" s="331"/>
      <c r="J56" s="331"/>
      <c r="L56" s="331"/>
      <c r="N56" s="331"/>
      <c r="P56" s="331"/>
      <c r="R56" s="331"/>
      <c r="T56" s="331"/>
      <c r="V56" s="331"/>
      <c r="X56" s="331"/>
      <c r="Z56" s="331"/>
      <c r="AB56" s="331"/>
      <c r="AD56" s="331"/>
      <c r="AF56" s="331"/>
      <c r="AJ56" s="148"/>
      <c r="AK56" s="155"/>
      <c r="AL56" s="155"/>
      <c r="AM56" s="155"/>
      <c r="AN56" s="155"/>
      <c r="AO56" s="155"/>
      <c r="AP56" s="155"/>
      <c r="AQ56" s="156"/>
      <c r="AR56" s="155"/>
      <c r="AS56" s="155"/>
      <c r="AT56" s="155"/>
      <c r="AU56" s="156"/>
      <c r="AV56" s="155"/>
      <c r="AW56" s="155"/>
      <c r="AX56" s="155"/>
      <c r="AY56" s="155"/>
    </row>
    <row r="57" spans="1:51" hidden="1">
      <c r="A57" s="331">
        <v>1</v>
      </c>
      <c r="B57" s="331"/>
      <c r="C57" s="352" t="s">
        <v>61</v>
      </c>
      <c r="D57" s="331"/>
      <c r="E57" s="366">
        <v>104265020.22730011</v>
      </c>
      <c r="F57" s="331"/>
      <c r="G57" s="366"/>
      <c r="H57" s="331"/>
      <c r="I57" s="366"/>
      <c r="J57" s="331"/>
      <c r="K57" s="366"/>
      <c r="L57" s="331"/>
      <c r="M57" s="366"/>
      <c r="N57" s="331"/>
      <c r="O57" s="366"/>
      <c r="P57" s="331"/>
      <c r="Q57" s="366"/>
      <c r="R57" s="331"/>
      <c r="S57" s="366"/>
      <c r="T57" s="331"/>
      <c r="U57" s="366"/>
      <c r="V57" s="331"/>
      <c r="W57" s="366"/>
      <c r="X57" s="331"/>
      <c r="Y57" s="366"/>
      <c r="Z57" s="331"/>
      <c r="AA57" s="366"/>
      <c r="AB57" s="331"/>
      <c r="AC57" s="366"/>
      <c r="AD57" s="331"/>
      <c r="AE57" s="366"/>
      <c r="AF57" s="331"/>
      <c r="AG57" s="366">
        <v>104265020.22730011</v>
      </c>
      <c r="AJ57" s="148"/>
      <c r="AK57" s="155"/>
      <c r="AL57" s="155"/>
      <c r="AM57" s="155"/>
      <c r="AN57" s="155"/>
      <c r="AO57" s="155"/>
      <c r="AP57" s="155"/>
      <c r="AQ57" s="156"/>
      <c r="AR57" s="155"/>
      <c r="AS57" s="155"/>
      <c r="AT57" s="155"/>
      <c r="AU57" s="156"/>
      <c r="AV57" s="155"/>
      <c r="AW57" s="155"/>
      <c r="AX57" s="155"/>
      <c r="AY57" s="155"/>
    </row>
    <row r="58" spans="1:51" hidden="1">
      <c r="A58" s="331">
        <v>2</v>
      </c>
      <c r="B58" s="331"/>
      <c r="C58" s="341" t="s">
        <v>23</v>
      </c>
      <c r="D58" s="331"/>
      <c r="E58" s="366">
        <v>6523460</v>
      </c>
      <c r="F58" s="331"/>
      <c r="G58" s="366"/>
      <c r="H58" s="331"/>
      <c r="I58" s="366"/>
      <c r="J58" s="331"/>
      <c r="K58" s="366"/>
      <c r="L58" s="331"/>
      <c r="M58" s="366"/>
      <c r="N58" s="331"/>
      <c r="O58" s="366"/>
      <c r="P58" s="331"/>
      <c r="Q58" s="366"/>
      <c r="R58" s="331"/>
      <c r="S58" s="366"/>
      <c r="T58" s="331"/>
      <c r="U58" s="366"/>
      <c r="V58" s="331"/>
      <c r="W58" s="366"/>
      <c r="X58" s="331"/>
      <c r="Y58" s="366"/>
      <c r="Z58" s="331"/>
      <c r="AA58" s="366"/>
      <c r="AB58" s="331"/>
      <c r="AC58" s="366"/>
      <c r="AD58" s="331"/>
      <c r="AE58" s="366"/>
      <c r="AF58" s="331"/>
      <c r="AG58" s="366">
        <v>6523460</v>
      </c>
      <c r="AJ58" s="148"/>
      <c r="AK58" s="155"/>
      <c r="AL58" s="155"/>
      <c r="AM58" s="155"/>
      <c r="AN58" s="155"/>
      <c r="AO58" s="155"/>
      <c r="AP58" s="155"/>
      <c r="AQ58" s="156"/>
      <c r="AR58" s="155"/>
      <c r="AS58" s="155"/>
      <c r="AT58" s="155"/>
      <c r="AU58" s="156"/>
      <c r="AV58" s="155"/>
      <c r="AW58" s="155"/>
      <c r="AX58" s="155"/>
      <c r="AY58" s="155"/>
    </row>
    <row r="59" spans="1:51" hidden="1">
      <c r="A59" s="331">
        <v>3</v>
      </c>
      <c r="B59" s="331"/>
      <c r="C59" s="341" t="s">
        <v>62</v>
      </c>
      <c r="D59" s="331"/>
      <c r="E59" s="367">
        <v>-1524927.6973706333</v>
      </c>
      <c r="F59" s="331"/>
      <c r="G59" s="367"/>
      <c r="H59" s="331"/>
      <c r="I59" s="367"/>
      <c r="J59" s="331"/>
      <c r="K59" s="367"/>
      <c r="L59" s="331"/>
      <c r="M59" s="367"/>
      <c r="N59" s="331"/>
      <c r="O59" s="367"/>
      <c r="P59" s="331"/>
      <c r="Q59" s="367"/>
      <c r="R59" s="331"/>
      <c r="S59" s="367"/>
      <c r="T59" s="331"/>
      <c r="U59" s="367"/>
      <c r="V59" s="331"/>
      <c r="W59" s="367"/>
      <c r="X59" s="331"/>
      <c r="Y59" s="367"/>
      <c r="Z59" s="331"/>
      <c r="AA59" s="367"/>
      <c r="AB59" s="331"/>
      <c r="AC59" s="367"/>
      <c r="AD59" s="331"/>
      <c r="AE59" s="367"/>
      <c r="AF59" s="331"/>
      <c r="AG59" s="367">
        <v>-3646756.4128455892</v>
      </c>
      <c r="AJ59" s="148"/>
      <c r="AK59" s="155"/>
      <c r="AL59" s="155"/>
      <c r="AM59" s="155"/>
      <c r="AN59" s="155"/>
      <c r="AO59" s="155"/>
      <c r="AP59" s="155"/>
      <c r="AQ59" s="156"/>
      <c r="AR59" s="155"/>
      <c r="AS59" s="155"/>
      <c r="AT59" s="155"/>
      <c r="AU59" s="156"/>
      <c r="AV59" s="155"/>
      <c r="AW59" s="155"/>
      <c r="AX59" s="155"/>
      <c r="AY59" s="155"/>
    </row>
    <row r="60" spans="1:51" hidden="1">
      <c r="A60" s="331">
        <v>4</v>
      </c>
      <c r="B60" s="331"/>
      <c r="C60" s="341" t="s">
        <v>63</v>
      </c>
      <c r="D60" s="331"/>
      <c r="E60" s="366">
        <v>109263552.52992947</v>
      </c>
      <c r="F60" s="331"/>
      <c r="G60" s="366"/>
      <c r="H60" s="331"/>
      <c r="I60" s="366"/>
      <c r="J60" s="331"/>
      <c r="K60" s="366"/>
      <c r="L60" s="331"/>
      <c r="M60" s="366"/>
      <c r="N60" s="331"/>
      <c r="O60" s="366"/>
      <c r="P60" s="331"/>
      <c r="Q60" s="366"/>
      <c r="R60" s="331"/>
      <c r="S60" s="366"/>
      <c r="T60" s="331"/>
      <c r="U60" s="366"/>
      <c r="V60" s="331"/>
      <c r="W60" s="366"/>
      <c r="X60" s="331"/>
      <c r="Y60" s="366"/>
      <c r="Z60" s="331"/>
      <c r="AA60" s="366"/>
      <c r="AB60" s="331"/>
      <c r="AC60" s="366"/>
      <c r="AD60" s="331"/>
      <c r="AE60" s="366"/>
      <c r="AF60" s="331"/>
      <c r="AG60" s="366">
        <v>107141723.81445453</v>
      </c>
      <c r="AJ60" s="148"/>
      <c r="AK60" s="154"/>
      <c r="AL60" s="154"/>
      <c r="AM60" s="154"/>
      <c r="AN60" s="154"/>
      <c r="AO60" s="154"/>
      <c r="AP60" s="154"/>
      <c r="AQ60" s="156"/>
      <c r="AR60" s="155"/>
      <c r="AS60" s="155"/>
      <c r="AT60" s="155"/>
      <c r="AU60" s="156"/>
      <c r="AV60" s="155"/>
      <c r="AW60" s="155"/>
      <c r="AX60" s="155"/>
      <c r="AY60" s="155"/>
    </row>
    <row r="61" spans="1:51" hidden="1">
      <c r="A61" s="331"/>
      <c r="B61" s="331"/>
      <c r="D61" s="331"/>
      <c r="E61" s="366"/>
      <c r="F61" s="331"/>
      <c r="G61" s="366"/>
      <c r="H61" s="331"/>
      <c r="I61" s="366"/>
      <c r="J61" s="331"/>
      <c r="K61" s="366"/>
      <c r="L61" s="331"/>
      <c r="M61" s="366"/>
      <c r="N61" s="331"/>
      <c r="O61" s="366"/>
      <c r="P61" s="331"/>
      <c r="Q61" s="366"/>
      <c r="R61" s="331"/>
      <c r="S61" s="366"/>
      <c r="T61" s="331"/>
      <c r="U61" s="366"/>
      <c r="V61" s="331"/>
      <c r="W61" s="366"/>
      <c r="X61" s="331"/>
      <c r="Y61" s="366"/>
      <c r="Z61" s="331"/>
      <c r="AA61" s="366"/>
      <c r="AB61" s="331"/>
      <c r="AC61" s="366"/>
      <c r="AD61" s="331"/>
      <c r="AE61" s="366"/>
      <c r="AF61" s="331"/>
      <c r="AG61" s="366"/>
      <c r="AJ61" s="148"/>
      <c r="AK61" s="154"/>
      <c r="AL61" s="154"/>
      <c r="AM61" s="154"/>
      <c r="AN61" s="154"/>
      <c r="AO61" s="154"/>
      <c r="AP61" s="154"/>
      <c r="AQ61" s="156"/>
      <c r="AR61" s="155"/>
      <c r="AS61" s="155"/>
      <c r="AT61" s="155"/>
      <c r="AU61" s="156"/>
      <c r="AV61" s="155"/>
      <c r="AW61" s="155"/>
      <c r="AX61" s="155"/>
      <c r="AY61" s="155"/>
    </row>
    <row r="62" spans="1:51" hidden="1">
      <c r="A62" s="331">
        <v>5</v>
      </c>
      <c r="B62" s="331"/>
      <c r="C62" s="341" t="s">
        <v>64</v>
      </c>
      <c r="D62" s="331"/>
      <c r="E62" s="367">
        <v>-16494398.462551236</v>
      </c>
      <c r="F62" s="331"/>
      <c r="G62" s="367"/>
      <c r="H62" s="331"/>
      <c r="I62" s="367"/>
      <c r="J62" s="331"/>
      <c r="K62" s="367"/>
      <c r="L62" s="331"/>
      <c r="M62" s="367"/>
      <c r="N62" s="331"/>
      <c r="O62" s="367"/>
      <c r="P62" s="331"/>
      <c r="Q62" s="367"/>
      <c r="R62" s="331"/>
      <c r="S62" s="367"/>
      <c r="T62" s="331"/>
      <c r="U62" s="367"/>
      <c r="V62" s="331"/>
      <c r="W62" s="367"/>
      <c r="X62" s="331"/>
      <c r="Y62" s="367"/>
      <c r="Z62" s="331"/>
      <c r="AA62" s="367"/>
      <c r="AB62" s="331"/>
      <c r="AC62" s="367"/>
      <c r="AD62" s="331"/>
      <c r="AE62" s="367"/>
      <c r="AF62" s="331"/>
      <c r="AG62" s="367">
        <v>-17619670.330218967</v>
      </c>
      <c r="AJ62" s="148"/>
      <c r="AK62" s="155"/>
      <c r="AL62" s="155"/>
      <c r="AM62" s="155"/>
      <c r="AN62" s="155"/>
      <c r="AO62" s="155"/>
      <c r="AP62" s="155"/>
      <c r="AQ62" s="155"/>
      <c r="AR62" s="155"/>
      <c r="AS62" s="155"/>
      <c r="AT62" s="155"/>
      <c r="AU62" s="155"/>
      <c r="AV62" s="155"/>
      <c r="AW62" s="155"/>
      <c r="AX62" s="155"/>
      <c r="AY62" s="155"/>
    </row>
    <row r="63" spans="1:51" hidden="1">
      <c r="A63" s="331"/>
      <c r="B63" s="331"/>
      <c r="D63" s="331"/>
      <c r="E63" s="366"/>
      <c r="F63" s="331"/>
      <c r="G63" s="366"/>
      <c r="H63" s="331"/>
      <c r="I63" s="366"/>
      <c r="J63" s="331"/>
      <c r="K63" s="366"/>
      <c r="L63" s="331"/>
      <c r="M63" s="366"/>
      <c r="N63" s="331"/>
      <c r="O63" s="366"/>
      <c r="P63" s="331"/>
      <c r="Q63" s="366"/>
      <c r="R63" s="331"/>
      <c r="S63" s="366"/>
      <c r="T63" s="331"/>
      <c r="U63" s="366"/>
      <c r="V63" s="331"/>
      <c r="W63" s="366"/>
      <c r="X63" s="331"/>
      <c r="Y63" s="366"/>
      <c r="Z63" s="331"/>
      <c r="AA63" s="366"/>
      <c r="AB63" s="331"/>
      <c r="AC63" s="366"/>
      <c r="AD63" s="331"/>
      <c r="AE63" s="366"/>
      <c r="AF63" s="331"/>
      <c r="AG63" s="366"/>
    </row>
    <row r="64" spans="1:51" hidden="1">
      <c r="A64" s="331">
        <v>6</v>
      </c>
      <c r="B64" s="331"/>
      <c r="C64" s="352" t="s">
        <v>65</v>
      </c>
      <c r="D64" s="331"/>
      <c r="E64" s="366">
        <v>92769154.067378238</v>
      </c>
      <c r="F64" s="331"/>
      <c r="G64" s="366"/>
      <c r="H64" s="331"/>
      <c r="I64" s="366"/>
      <c r="J64" s="331"/>
      <c r="K64" s="366"/>
      <c r="L64" s="331"/>
      <c r="M64" s="366"/>
      <c r="N64" s="331"/>
      <c r="O64" s="366"/>
      <c r="P64" s="331"/>
      <c r="Q64" s="366"/>
      <c r="R64" s="331"/>
      <c r="S64" s="366"/>
      <c r="T64" s="331"/>
      <c r="U64" s="366"/>
      <c r="V64" s="331"/>
      <c r="W64" s="366"/>
      <c r="X64" s="331"/>
      <c r="Y64" s="366"/>
      <c r="Z64" s="331"/>
      <c r="AA64" s="366"/>
      <c r="AB64" s="331"/>
      <c r="AC64" s="366"/>
      <c r="AD64" s="331"/>
      <c r="AE64" s="366"/>
      <c r="AF64" s="331"/>
      <c r="AG64" s="366">
        <v>89522053.484235555</v>
      </c>
    </row>
    <row r="65" spans="1:33" hidden="1">
      <c r="A65" s="331"/>
      <c r="B65" s="331"/>
      <c r="D65" s="331"/>
      <c r="F65" s="331"/>
      <c r="H65" s="331"/>
      <c r="J65" s="331"/>
      <c r="L65" s="331"/>
      <c r="N65" s="331"/>
      <c r="P65" s="331"/>
      <c r="R65" s="331"/>
      <c r="T65" s="331"/>
      <c r="V65" s="331"/>
      <c r="X65" s="331"/>
      <c r="Z65" s="331"/>
      <c r="AB65" s="331"/>
      <c r="AD65" s="331"/>
      <c r="AF65" s="331"/>
    </row>
    <row r="66" spans="1:33" hidden="1">
      <c r="A66" s="331">
        <v>7</v>
      </c>
      <c r="B66" s="331"/>
      <c r="C66" s="341" t="s">
        <v>66</v>
      </c>
      <c r="D66" s="331"/>
      <c r="E66" s="368">
        <v>0.11694251757309855</v>
      </c>
      <c r="F66" s="331"/>
      <c r="G66" s="368"/>
      <c r="H66" s="331"/>
      <c r="I66" s="368"/>
      <c r="J66" s="331"/>
      <c r="K66" s="368"/>
      <c r="L66" s="331"/>
      <c r="M66" s="368"/>
      <c r="N66" s="331"/>
      <c r="O66" s="368"/>
      <c r="P66" s="331"/>
      <c r="Q66" s="368"/>
      <c r="R66" s="331"/>
      <c r="S66" s="368"/>
      <c r="T66" s="331"/>
      <c r="U66" s="368"/>
      <c r="V66" s="331"/>
      <c r="W66" s="368"/>
      <c r="X66" s="331"/>
      <c r="Y66" s="368"/>
      <c r="Z66" s="331"/>
      <c r="AA66" s="368"/>
      <c r="AB66" s="331"/>
      <c r="AC66" s="368"/>
      <c r="AD66" s="331"/>
      <c r="AE66" s="368"/>
      <c r="AF66" s="331"/>
      <c r="AG66" s="368">
        <v>0.11694251757309855</v>
      </c>
    </row>
    <row r="67" spans="1:33" hidden="1">
      <c r="A67" s="331"/>
      <c r="B67" s="331"/>
      <c r="D67" s="331"/>
      <c r="F67" s="331"/>
      <c r="H67" s="331"/>
      <c r="J67" s="331"/>
      <c r="L67" s="331"/>
      <c r="N67" s="331"/>
      <c r="P67" s="331"/>
      <c r="R67" s="331"/>
      <c r="T67" s="331"/>
      <c r="V67" s="331"/>
      <c r="X67" s="331"/>
      <c r="Z67" s="331"/>
      <c r="AB67" s="331"/>
      <c r="AD67" s="331"/>
      <c r="AF67" s="331"/>
    </row>
    <row r="68" spans="1:33" hidden="1">
      <c r="A68" s="331">
        <v>8</v>
      </c>
      <c r="B68" s="331"/>
      <c r="C68" s="341" t="s">
        <v>67</v>
      </c>
      <c r="D68" s="331"/>
      <c r="E68" s="369">
        <v>10848658.429765867</v>
      </c>
      <c r="F68" s="331"/>
      <c r="G68" s="369"/>
      <c r="H68" s="331"/>
      <c r="I68" s="369"/>
      <c r="J68" s="331"/>
      <c r="K68" s="369"/>
      <c r="L68" s="331"/>
      <c r="M68" s="369"/>
      <c r="N68" s="331"/>
      <c r="O68" s="369"/>
      <c r="P68" s="331"/>
      <c r="Q68" s="369"/>
      <c r="R68" s="331"/>
      <c r="S68" s="369"/>
      <c r="T68" s="331"/>
      <c r="U68" s="369"/>
      <c r="V68" s="331"/>
      <c r="W68" s="369"/>
      <c r="X68" s="331"/>
      <c r="Y68" s="369"/>
      <c r="Z68" s="331"/>
      <c r="AA68" s="369"/>
      <c r="AB68" s="331"/>
      <c r="AC68" s="369"/>
      <c r="AD68" s="331"/>
      <c r="AE68" s="369"/>
      <c r="AF68" s="331"/>
      <c r="AG68" s="369">
        <v>10468934.312760085</v>
      </c>
    </row>
    <row r="69" spans="1:33" hidden="1">
      <c r="A69" s="331"/>
      <c r="B69" s="331"/>
      <c r="D69" s="331"/>
      <c r="F69" s="331"/>
      <c r="H69" s="331"/>
      <c r="J69" s="331"/>
      <c r="L69" s="331"/>
      <c r="N69" s="331"/>
      <c r="P69" s="331"/>
      <c r="R69" s="331"/>
      <c r="T69" s="331"/>
      <c r="V69" s="331"/>
      <c r="X69" s="331"/>
      <c r="Z69" s="331"/>
      <c r="AB69" s="331"/>
      <c r="AD69" s="331"/>
      <c r="AF69" s="331"/>
    </row>
    <row r="70" spans="1:33" hidden="1">
      <c r="A70" s="331"/>
      <c r="B70" s="365" t="s">
        <v>68</v>
      </c>
      <c r="D70" s="331"/>
      <c r="F70" s="331"/>
      <c r="H70" s="331"/>
      <c r="J70" s="331"/>
      <c r="L70" s="331"/>
      <c r="N70" s="331"/>
      <c r="P70" s="331"/>
      <c r="R70" s="331"/>
      <c r="T70" s="331"/>
      <c r="V70" s="331"/>
      <c r="X70" s="331"/>
      <c r="Z70" s="331"/>
      <c r="AB70" s="331"/>
      <c r="AD70" s="331"/>
      <c r="AF70" s="331"/>
    </row>
    <row r="71" spans="1:33" hidden="1">
      <c r="A71" s="331">
        <v>9</v>
      </c>
      <c r="B71" s="331"/>
      <c r="C71" s="341" t="s">
        <v>0</v>
      </c>
      <c r="D71" s="331"/>
      <c r="E71" s="366">
        <v>2121828.7154749562</v>
      </c>
      <c r="F71" s="331"/>
      <c r="G71" s="366"/>
      <c r="H71" s="331"/>
      <c r="I71" s="366"/>
      <c r="J71" s="331"/>
      <c r="K71" s="366"/>
      <c r="L71" s="331"/>
      <c r="M71" s="366"/>
      <c r="N71" s="331"/>
      <c r="O71" s="366"/>
      <c r="P71" s="331"/>
      <c r="Q71" s="366"/>
      <c r="R71" s="331"/>
      <c r="S71" s="366"/>
      <c r="T71" s="331"/>
      <c r="U71" s="366"/>
      <c r="V71" s="331"/>
      <c r="W71" s="366"/>
      <c r="X71" s="331"/>
      <c r="Y71" s="366"/>
      <c r="Z71" s="331"/>
      <c r="AA71" s="366"/>
      <c r="AB71" s="331"/>
      <c r="AC71" s="366"/>
      <c r="AD71" s="331"/>
      <c r="AE71" s="366"/>
      <c r="AF71" s="331"/>
      <c r="AG71" s="366">
        <v>2121828.7154749562</v>
      </c>
    </row>
    <row r="72" spans="1:33" hidden="1">
      <c r="A72" s="331">
        <v>10</v>
      </c>
      <c r="B72" s="331"/>
      <c r="C72" s="341" t="s">
        <v>69</v>
      </c>
      <c r="D72" s="331"/>
      <c r="E72" s="367">
        <v>0</v>
      </c>
      <c r="F72" s="331"/>
      <c r="G72" s="367"/>
      <c r="H72" s="331"/>
      <c r="I72" s="367"/>
      <c r="J72" s="331"/>
      <c r="K72" s="367"/>
      <c r="L72" s="331"/>
      <c r="M72" s="367"/>
      <c r="N72" s="331"/>
      <c r="O72" s="367"/>
      <c r="P72" s="331"/>
      <c r="Q72" s="367"/>
      <c r="R72" s="331"/>
      <c r="S72" s="367"/>
      <c r="T72" s="331"/>
      <c r="U72" s="367"/>
      <c r="V72" s="331"/>
      <c r="W72" s="367"/>
      <c r="X72" s="331"/>
      <c r="Y72" s="367"/>
      <c r="Z72" s="331"/>
      <c r="AA72" s="367"/>
      <c r="AB72" s="331"/>
      <c r="AC72" s="367"/>
      <c r="AD72" s="331"/>
      <c r="AE72" s="367"/>
      <c r="AF72" s="331"/>
      <c r="AG72" s="367">
        <v>0</v>
      </c>
    </row>
    <row r="73" spans="1:33" hidden="1">
      <c r="A73" s="331"/>
      <c r="B73" s="331"/>
      <c r="D73" s="331"/>
      <c r="E73" s="366"/>
      <c r="F73" s="331"/>
      <c r="G73" s="366"/>
      <c r="H73" s="331"/>
      <c r="I73" s="366"/>
      <c r="J73" s="331"/>
      <c r="K73" s="366"/>
      <c r="L73" s="331"/>
      <c r="M73" s="366"/>
      <c r="N73" s="331"/>
      <c r="O73" s="366"/>
      <c r="P73" s="331"/>
      <c r="Q73" s="366"/>
      <c r="R73" s="331"/>
      <c r="S73" s="366"/>
      <c r="T73" s="331"/>
      <c r="U73" s="366"/>
      <c r="V73" s="331"/>
      <c r="W73" s="366"/>
      <c r="X73" s="331"/>
      <c r="Y73" s="366"/>
      <c r="Z73" s="331"/>
      <c r="AA73" s="366"/>
      <c r="AB73" s="331"/>
      <c r="AC73" s="366"/>
      <c r="AD73" s="331"/>
      <c r="AE73" s="366"/>
      <c r="AF73" s="331"/>
      <c r="AG73" s="366"/>
    </row>
    <row r="74" spans="1:33" hidden="1">
      <c r="A74" s="331">
        <v>11</v>
      </c>
      <c r="B74" s="331"/>
      <c r="C74" s="341" t="s">
        <v>70</v>
      </c>
      <c r="D74" s="331"/>
      <c r="E74" s="366">
        <v>2121828.7154749562</v>
      </c>
      <c r="F74" s="331"/>
      <c r="G74" s="366"/>
      <c r="H74" s="331"/>
      <c r="I74" s="366"/>
      <c r="J74" s="331"/>
      <c r="K74" s="366"/>
      <c r="L74" s="331"/>
      <c r="M74" s="366"/>
      <c r="N74" s="331"/>
      <c r="O74" s="366"/>
      <c r="P74" s="331"/>
      <c r="Q74" s="366"/>
      <c r="R74" s="331"/>
      <c r="S74" s="366"/>
      <c r="T74" s="331"/>
      <c r="U74" s="366"/>
      <c r="V74" s="331"/>
      <c r="W74" s="366"/>
      <c r="X74" s="331"/>
      <c r="Y74" s="366"/>
      <c r="Z74" s="331"/>
      <c r="AA74" s="366"/>
      <c r="AB74" s="331"/>
      <c r="AC74" s="366"/>
      <c r="AD74" s="331"/>
      <c r="AE74" s="366"/>
      <c r="AF74" s="331"/>
      <c r="AG74" s="366">
        <v>2121828.7154749562</v>
      </c>
    </row>
    <row r="75" spans="1:33" hidden="1">
      <c r="A75" s="331"/>
      <c r="B75" s="331"/>
      <c r="D75" s="331"/>
      <c r="F75" s="331"/>
      <c r="H75" s="331"/>
      <c r="J75" s="331"/>
      <c r="L75" s="331"/>
      <c r="N75" s="331"/>
      <c r="P75" s="331"/>
      <c r="R75" s="331"/>
      <c r="T75" s="331"/>
      <c r="V75" s="331"/>
      <c r="X75" s="331"/>
      <c r="Z75" s="331"/>
      <c r="AB75" s="331"/>
      <c r="AD75" s="331"/>
      <c r="AF75" s="331"/>
    </row>
    <row r="76" spans="1:33" ht="21" hidden="1" thickBot="1">
      <c r="A76" s="331">
        <v>12</v>
      </c>
      <c r="B76" s="365" t="s">
        <v>71</v>
      </c>
      <c r="D76" s="331"/>
      <c r="E76" s="370">
        <v>12970487.145240823</v>
      </c>
      <c r="F76" s="331"/>
      <c r="G76" s="370"/>
      <c r="H76" s="331"/>
      <c r="I76" s="370"/>
      <c r="J76" s="331"/>
      <c r="K76" s="370"/>
      <c r="L76" s="331"/>
      <c r="M76" s="370"/>
      <c r="N76" s="331"/>
      <c r="O76" s="370"/>
      <c r="P76" s="331"/>
      <c r="Q76" s="370"/>
      <c r="R76" s="331"/>
      <c r="S76" s="370"/>
      <c r="T76" s="331"/>
      <c r="U76" s="370"/>
      <c r="V76" s="331"/>
      <c r="W76" s="370"/>
      <c r="X76" s="331"/>
      <c r="Y76" s="370"/>
      <c r="Z76" s="331"/>
      <c r="AA76" s="370"/>
      <c r="AB76" s="331"/>
      <c r="AC76" s="370"/>
      <c r="AD76" s="331"/>
      <c r="AE76" s="370"/>
      <c r="AF76" s="331"/>
      <c r="AG76" s="370">
        <v>12590763.028235041</v>
      </c>
    </row>
    <row r="77" spans="1:33" hidden="1">
      <c r="A77" s="331"/>
      <c r="B77" s="331"/>
      <c r="D77" s="331"/>
      <c r="F77" s="331"/>
      <c r="H77" s="331"/>
      <c r="J77" s="331"/>
      <c r="L77" s="331"/>
      <c r="N77" s="331"/>
      <c r="P77" s="331"/>
      <c r="R77" s="331"/>
      <c r="T77" s="331"/>
      <c r="V77" s="331"/>
      <c r="X77" s="331"/>
      <c r="Z77" s="331"/>
      <c r="AB77" s="331"/>
      <c r="AD77" s="331"/>
      <c r="AF77" s="331"/>
    </row>
    <row r="78" spans="1:33" hidden="1">
      <c r="A78" s="331">
        <v>13</v>
      </c>
      <c r="B78" s="365" t="s">
        <v>104</v>
      </c>
      <c r="D78" s="331"/>
      <c r="E78" s="371">
        <v>0.10521802384755199</v>
      </c>
      <c r="F78" s="331"/>
      <c r="G78" s="371"/>
      <c r="H78" s="331"/>
      <c r="I78" s="371"/>
      <c r="J78" s="331"/>
      <c r="K78" s="371"/>
      <c r="L78" s="331"/>
      <c r="M78" s="371"/>
      <c r="N78" s="331"/>
      <c r="O78" s="371"/>
      <c r="P78" s="331"/>
      <c r="Q78" s="371"/>
      <c r="R78" s="331"/>
      <c r="S78" s="371"/>
      <c r="T78" s="331"/>
      <c r="U78" s="371"/>
      <c r="V78" s="331"/>
      <c r="W78" s="371"/>
      <c r="X78" s="331"/>
      <c r="Y78" s="371"/>
      <c r="Z78" s="331"/>
      <c r="AA78" s="371"/>
      <c r="AB78" s="331"/>
      <c r="AC78" s="371"/>
      <c r="AD78" s="331"/>
      <c r="AE78" s="371"/>
      <c r="AF78" s="331"/>
      <c r="AG78" s="371">
        <v>0.10213765988348415</v>
      </c>
    </row>
    <row r="79" spans="1:33" hidden="1">
      <c r="A79" s="331"/>
      <c r="B79" s="365"/>
      <c r="D79" s="331"/>
      <c r="E79" s="371"/>
      <c r="F79" s="331"/>
      <c r="G79" s="371"/>
      <c r="H79" s="331"/>
      <c r="I79" s="371"/>
      <c r="J79" s="331"/>
      <c r="K79" s="371"/>
      <c r="L79" s="331"/>
      <c r="M79" s="371"/>
      <c r="N79" s="331"/>
      <c r="O79" s="371"/>
      <c r="P79" s="331"/>
      <c r="Q79" s="371"/>
      <c r="R79" s="331"/>
      <c r="S79" s="371"/>
      <c r="T79" s="331"/>
      <c r="U79" s="371"/>
      <c r="V79" s="331"/>
      <c r="W79" s="371"/>
      <c r="X79" s="331"/>
      <c r="Y79" s="371"/>
      <c r="Z79" s="331"/>
      <c r="AA79" s="371"/>
      <c r="AB79" s="331"/>
      <c r="AC79" s="371"/>
      <c r="AD79" s="331"/>
      <c r="AE79" s="371"/>
      <c r="AF79" s="331"/>
      <c r="AG79" s="371"/>
    </row>
    <row r="80" spans="1:33" hidden="1">
      <c r="A80" s="331"/>
      <c r="B80" s="331"/>
      <c r="D80" s="331"/>
      <c r="F80" s="331"/>
      <c r="H80" s="331"/>
      <c r="J80" s="331"/>
      <c r="L80" s="331"/>
      <c r="N80" s="331"/>
      <c r="P80" s="331"/>
      <c r="R80" s="331"/>
      <c r="T80" s="331"/>
      <c r="V80" s="331"/>
      <c r="X80" s="331"/>
      <c r="Z80" s="331"/>
      <c r="AB80" s="331"/>
      <c r="AD80" s="331"/>
      <c r="AF80" s="331"/>
    </row>
    <row r="81" spans="1:33" hidden="1">
      <c r="A81" s="331"/>
      <c r="B81" s="351" t="s">
        <v>81</v>
      </c>
      <c r="D81" s="331"/>
      <c r="F81" s="331"/>
      <c r="H81" s="331"/>
      <c r="J81" s="331"/>
      <c r="L81" s="331"/>
      <c r="N81" s="331"/>
      <c r="P81" s="331"/>
      <c r="R81" s="331"/>
      <c r="T81" s="331"/>
      <c r="V81" s="331"/>
      <c r="X81" s="331"/>
      <c r="Z81" s="331"/>
      <c r="AB81" s="331"/>
      <c r="AD81" s="331"/>
      <c r="AF81" s="331"/>
    </row>
    <row r="82" spans="1:33" hidden="1">
      <c r="A82" s="331">
        <v>1</v>
      </c>
      <c r="B82" s="331"/>
      <c r="C82" s="352" t="s">
        <v>75</v>
      </c>
      <c r="D82" s="331"/>
      <c r="E82" s="353">
        <v>2.516668448081401</v>
      </c>
      <c r="F82" s="331">
        <v>0</v>
      </c>
      <c r="G82" s="353"/>
      <c r="H82" s="331"/>
      <c r="I82" s="353"/>
      <c r="J82" s="331"/>
      <c r="K82" s="353"/>
      <c r="L82" s="331"/>
      <c r="M82" s="353"/>
      <c r="N82" s="331"/>
      <c r="O82" s="353"/>
      <c r="P82" s="331"/>
      <c r="Q82" s="353"/>
      <c r="R82" s="331"/>
      <c r="S82" s="353"/>
      <c r="T82" s="331"/>
      <c r="U82" s="353"/>
      <c r="V82" s="331"/>
      <c r="W82" s="353"/>
      <c r="X82" s="331"/>
      <c r="Y82" s="353"/>
      <c r="Z82" s="331"/>
      <c r="AA82" s="353"/>
      <c r="AB82" s="331"/>
      <c r="AC82" s="353"/>
      <c r="AD82" s="331"/>
      <c r="AE82" s="353"/>
      <c r="AF82" s="331">
        <v>0</v>
      </c>
      <c r="AG82" s="353">
        <v>2.4429904363349668</v>
      </c>
    </row>
    <row r="83" spans="1:33" hidden="1">
      <c r="A83" s="331">
        <v>2</v>
      </c>
      <c r="B83" s="331"/>
      <c r="C83" s="352" t="s">
        <v>76</v>
      </c>
      <c r="D83" s="331"/>
      <c r="E83" s="353">
        <v>12.437296671147879</v>
      </c>
      <c r="F83" s="331">
        <v>0</v>
      </c>
      <c r="G83" s="353"/>
      <c r="H83" s="331"/>
      <c r="I83" s="353"/>
      <c r="J83" s="331"/>
      <c r="K83" s="353"/>
      <c r="L83" s="331"/>
      <c r="M83" s="353"/>
      <c r="N83" s="331"/>
      <c r="O83" s="353"/>
      <c r="P83" s="331"/>
      <c r="Q83" s="353"/>
      <c r="R83" s="331"/>
      <c r="S83" s="353"/>
      <c r="T83" s="331"/>
      <c r="U83" s="353"/>
      <c r="V83" s="331"/>
      <c r="W83" s="353"/>
      <c r="X83" s="331"/>
      <c r="Y83" s="353"/>
      <c r="Z83" s="331"/>
      <c r="AA83" s="353"/>
      <c r="AB83" s="331"/>
      <c r="AC83" s="353"/>
      <c r="AD83" s="331"/>
      <c r="AE83" s="353"/>
      <c r="AF83" s="331">
        <v>0</v>
      </c>
      <c r="AG83" s="353">
        <v>12.073182244025265</v>
      </c>
    </row>
    <row r="84" spans="1:33" hidden="1">
      <c r="A84" s="331">
        <v>3</v>
      </c>
      <c r="B84" s="331"/>
      <c r="C84" s="352" t="s">
        <v>77</v>
      </c>
      <c r="D84" s="331"/>
      <c r="E84" s="353">
        <v>99.940874103295414</v>
      </c>
      <c r="F84" s="331">
        <v>0</v>
      </c>
      <c r="G84" s="353"/>
      <c r="H84" s="331"/>
      <c r="I84" s="353"/>
      <c r="J84" s="331"/>
      <c r="K84" s="353"/>
      <c r="L84" s="331"/>
      <c r="M84" s="353"/>
      <c r="N84" s="331"/>
      <c r="O84" s="353"/>
      <c r="P84" s="331"/>
      <c r="Q84" s="353"/>
      <c r="R84" s="331"/>
      <c r="S84" s="353"/>
      <c r="T84" s="331"/>
      <c r="U84" s="353"/>
      <c r="V84" s="331"/>
      <c r="W84" s="353"/>
      <c r="X84" s="331"/>
      <c r="Y84" s="353"/>
      <c r="Z84" s="331"/>
      <c r="AA84" s="353"/>
      <c r="AB84" s="331"/>
      <c r="AC84" s="353"/>
      <c r="AD84" s="331"/>
      <c r="AE84" s="353"/>
      <c r="AF84" s="331">
        <v>0</v>
      </c>
      <c r="AG84" s="353">
        <v>97.015004030205318</v>
      </c>
    </row>
    <row r="85" spans="1:33" hidden="1">
      <c r="A85" s="331">
        <v>4</v>
      </c>
      <c r="B85" s="331"/>
      <c r="C85" s="352" t="s">
        <v>78</v>
      </c>
      <c r="D85" s="331"/>
      <c r="E85" s="353">
        <v>551.13356034060303</v>
      </c>
      <c r="F85" s="331">
        <v>0</v>
      </c>
      <c r="G85" s="353"/>
      <c r="H85" s="331"/>
      <c r="I85" s="353"/>
      <c r="J85" s="331"/>
      <c r="K85" s="353"/>
      <c r="L85" s="331"/>
      <c r="M85" s="353"/>
      <c r="N85" s="331"/>
      <c r="O85" s="353"/>
      <c r="P85" s="331"/>
      <c r="Q85" s="353"/>
      <c r="R85" s="331"/>
      <c r="S85" s="353"/>
      <c r="T85" s="331"/>
      <c r="U85" s="353"/>
      <c r="V85" s="331"/>
      <c r="W85" s="353"/>
      <c r="X85" s="331"/>
      <c r="Y85" s="353"/>
      <c r="Z85" s="331"/>
      <c r="AA85" s="353"/>
      <c r="AB85" s="331"/>
      <c r="AC85" s="353"/>
      <c r="AD85" s="331"/>
      <c r="AE85" s="353"/>
      <c r="AF85" s="331">
        <v>0</v>
      </c>
      <c r="AG85" s="353">
        <v>534.99856847721901</v>
      </c>
    </row>
    <row r="86" spans="1:33" hidden="1">
      <c r="A86" s="331"/>
      <c r="B86" s="331"/>
      <c r="C86" s="372"/>
      <c r="D86" s="331"/>
      <c r="F86" s="331"/>
      <c r="H86" s="331"/>
      <c r="J86" s="331"/>
      <c r="L86" s="331"/>
      <c r="N86" s="331"/>
      <c r="P86" s="331"/>
      <c r="R86" s="331"/>
      <c r="T86" s="331"/>
      <c r="V86" s="331"/>
      <c r="X86" s="331"/>
      <c r="Z86" s="331"/>
      <c r="AB86" s="331"/>
      <c r="AD86" s="331"/>
      <c r="AF86" s="331"/>
    </row>
    <row r="87" spans="1:33" hidden="1">
      <c r="A87" s="331"/>
      <c r="B87" s="355" t="s">
        <v>106</v>
      </c>
      <c r="C87" s="356" t="s">
        <v>116</v>
      </c>
      <c r="D87" s="331"/>
      <c r="F87" s="331"/>
      <c r="H87" s="331"/>
      <c r="J87" s="331"/>
      <c r="L87" s="331"/>
      <c r="N87" s="331"/>
      <c r="P87" s="331"/>
      <c r="R87" s="331"/>
      <c r="T87" s="331"/>
      <c r="V87" s="331"/>
      <c r="X87" s="331"/>
      <c r="Z87" s="331"/>
      <c r="AB87" s="331"/>
      <c r="AD87" s="331"/>
      <c r="AF87" s="331"/>
    </row>
    <row r="88" spans="1:33" hidden="1">
      <c r="A88" s="331"/>
      <c r="B88" s="331"/>
      <c r="C88" s="356" t="s">
        <v>117</v>
      </c>
      <c r="D88" s="331"/>
      <c r="F88" s="331"/>
      <c r="H88" s="331"/>
      <c r="J88" s="331"/>
      <c r="L88" s="331"/>
      <c r="N88" s="331"/>
      <c r="P88" s="331"/>
      <c r="R88" s="331"/>
      <c r="T88" s="331"/>
      <c r="V88" s="331"/>
      <c r="X88" s="331"/>
      <c r="Z88" s="331"/>
      <c r="AB88" s="331"/>
      <c r="AD88" s="331"/>
      <c r="AF88" s="331"/>
    </row>
    <row r="89" spans="1:33" hidden="1"/>
    <row r="90" spans="1:33" hidden="1"/>
    <row r="91" spans="1:33" hidden="1"/>
    <row r="92" spans="1:33" hidden="1"/>
    <row r="93" spans="1:33" hidden="1"/>
    <row r="94" spans="1:33" hidden="1"/>
    <row r="95" spans="1:33" hidden="1"/>
    <row r="96" spans="1:33" hidden="1"/>
    <row r="97" spans="7:31" hidden="1"/>
    <row r="98" spans="7:31" hidden="1"/>
    <row r="99" spans="7:31" hidden="1"/>
    <row r="100" spans="7:31" hidden="1"/>
    <row r="101" spans="7:31" hidden="1"/>
    <row r="102" spans="7:31" hidden="1"/>
    <row r="103" spans="7:31" hidden="1"/>
    <row r="104" spans="7:31" hidden="1"/>
    <row r="105" spans="7:31" hidden="1"/>
    <row r="106" spans="7:31" hidden="1"/>
    <row r="107" spans="7:31" hidden="1"/>
    <row r="108" spans="7:31" hidden="1"/>
    <row r="109" spans="7:31" hidden="1"/>
    <row r="110" spans="7:31" hidden="1"/>
    <row r="111" spans="7:31">
      <c r="G111" s="354"/>
      <c r="I111" s="354"/>
      <c r="K111" s="354"/>
      <c r="M111" s="354"/>
      <c r="O111" s="354"/>
      <c r="Q111" s="354"/>
      <c r="S111" s="354"/>
      <c r="U111" s="354"/>
      <c r="W111" s="354"/>
      <c r="Y111" s="354"/>
      <c r="AA111" s="354"/>
      <c r="AC111" s="354"/>
      <c r="AE111" s="354"/>
    </row>
    <row r="112" spans="7:31">
      <c r="AE112" s="405"/>
    </row>
    <row r="113" spans="31:31">
      <c r="AE113" s="405"/>
    </row>
    <row r="116" spans="31:31">
      <c r="AE116" s="354"/>
    </row>
    <row r="117" spans="31:31">
      <c r="AE117" s="405"/>
    </row>
    <row r="1048576" spans="34:34">
      <c r="AH1048576" s="349">
        <f>SUM(E1048576:AC1048576)</f>
        <v>0</v>
      </c>
    </row>
  </sheetData>
  <mergeCells count="7">
    <mergeCell ref="A1:AF1"/>
    <mergeCell ref="A3:AF3"/>
    <mergeCell ref="AR5:AY5"/>
    <mergeCell ref="AR51:AY51"/>
    <mergeCell ref="S5:AE5"/>
    <mergeCell ref="E5:Q5"/>
    <mergeCell ref="A2:AE2"/>
  </mergeCells>
  <pageMargins left="0.7" right="0.7" top="0.75" bottom="0.75" header="0.3" footer="0.3"/>
  <pageSetup scale="30" orientation="landscape" r:id="rId1"/>
  <headerFooter scaleWithDoc="0">
    <oddFooter>&amp;R&amp;"Arial,Bold"Attachment to PSC Post Hearing Data Request Question No. 3
Revised Exhibit RMC-1
Page 3 of 12</oddFooter>
  </headerFooter>
  <rowBreaks count="1" manualBreakCount="1">
    <brk id="31" max="16383" man="1"/>
  </rowBreaks>
  <colBreaks count="1" manualBreakCount="1">
    <brk id="3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
  <sheetViews>
    <sheetView zoomScaleNormal="100" workbookViewId="0">
      <selection activeCell="G13" sqref="G13"/>
    </sheetView>
  </sheetViews>
  <sheetFormatPr defaultRowHeight="12.75"/>
  <cols>
    <col min="1" max="1" width="5.140625" style="237" customWidth="1"/>
    <col min="2" max="2" width="2.85546875" style="237" customWidth="1"/>
    <col min="3" max="3" width="23" style="222" customWidth="1"/>
    <col min="4" max="4" width="1.28515625" style="237" customWidth="1"/>
    <col min="5" max="5" width="12.7109375" style="222" customWidth="1"/>
    <col min="6" max="6" width="1.28515625" style="237" customWidth="1"/>
    <col min="7" max="7" width="9.85546875" style="222" customWidth="1"/>
    <col min="8" max="8" width="1.28515625" style="237" customWidth="1"/>
    <col min="9" max="9" width="12.140625" style="222" customWidth="1"/>
    <col min="10" max="10" width="1.28515625" style="237" customWidth="1"/>
    <col min="11" max="11" width="14.140625" style="222" customWidth="1"/>
    <col min="12" max="12" width="1.28515625" style="237" customWidth="1"/>
    <col min="13" max="13" width="14.140625" style="222" customWidth="1"/>
    <col min="14" max="14" width="1.28515625" style="237" customWidth="1"/>
    <col min="15" max="15" width="13.85546875" style="222" hidden="1" customWidth="1"/>
    <col min="16" max="16" width="1.28515625" style="237" hidden="1" customWidth="1"/>
    <col min="17" max="17" width="13.28515625" style="222" hidden="1" customWidth="1"/>
    <col min="18" max="18" width="1.28515625" style="237" hidden="1" customWidth="1"/>
    <col min="19" max="19" width="15.85546875" style="222" hidden="1" customWidth="1"/>
    <col min="20" max="20" width="13.42578125" style="222" hidden="1" customWidth="1"/>
    <col min="21" max="23" width="0" style="222" hidden="1" customWidth="1"/>
    <col min="24" max="16384" width="9.140625" style="222"/>
  </cols>
  <sheetData>
    <row r="1" spans="1:31" ht="18.75">
      <c r="A1" s="540" t="s">
        <v>84</v>
      </c>
      <c r="B1" s="540"/>
      <c r="C1" s="540"/>
      <c r="D1" s="540"/>
      <c r="E1" s="540"/>
      <c r="F1" s="540"/>
      <c r="G1" s="540"/>
      <c r="H1" s="540"/>
      <c r="I1" s="540"/>
      <c r="J1" s="540"/>
      <c r="K1" s="540"/>
      <c r="L1" s="540"/>
      <c r="M1" s="540"/>
      <c r="N1" s="240"/>
      <c r="O1" s="240"/>
      <c r="P1" s="240"/>
      <c r="Q1" s="240"/>
      <c r="R1" s="240"/>
      <c r="S1" s="240"/>
    </row>
    <row r="2" spans="1:31" ht="20.25">
      <c r="A2" s="540" t="s">
        <v>431</v>
      </c>
      <c r="B2" s="540"/>
      <c r="C2" s="540"/>
      <c r="D2" s="540"/>
      <c r="E2" s="540"/>
      <c r="F2" s="540"/>
      <c r="G2" s="540"/>
      <c r="H2" s="540"/>
      <c r="I2" s="540"/>
      <c r="J2" s="540"/>
      <c r="K2" s="540"/>
      <c r="L2" s="540"/>
      <c r="M2" s="540"/>
      <c r="N2" s="238"/>
      <c r="O2" s="238"/>
      <c r="P2" s="530"/>
      <c r="Q2" s="530"/>
      <c r="R2" s="530"/>
      <c r="S2" s="530"/>
      <c r="T2" s="530"/>
      <c r="U2" s="530"/>
      <c r="V2" s="530"/>
      <c r="W2" s="530"/>
      <c r="X2" s="530"/>
      <c r="Y2" s="530"/>
      <c r="Z2" s="530"/>
      <c r="AA2" s="530"/>
      <c r="AB2" s="530"/>
      <c r="AC2" s="530"/>
      <c r="AD2" s="530"/>
      <c r="AE2" s="530"/>
    </row>
    <row r="3" spans="1:31" ht="18.75">
      <c r="A3" s="540" t="s">
        <v>86</v>
      </c>
      <c r="B3" s="540"/>
      <c r="C3" s="540"/>
      <c r="D3" s="540"/>
      <c r="E3" s="540"/>
      <c r="F3" s="540"/>
      <c r="G3" s="540"/>
      <c r="H3" s="540"/>
      <c r="I3" s="540"/>
      <c r="J3" s="540"/>
      <c r="K3" s="540"/>
      <c r="L3" s="540"/>
      <c r="M3" s="540"/>
      <c r="N3" s="240"/>
      <c r="O3" s="240"/>
      <c r="P3" s="240"/>
      <c r="Q3" s="240"/>
      <c r="R3" s="240"/>
      <c r="S3" s="240"/>
    </row>
    <row r="4" spans="1:31" ht="15.75">
      <c r="A4" s="275"/>
      <c r="B4" s="275"/>
      <c r="C4" s="218"/>
      <c r="D4" s="275"/>
      <c r="E4" s="218"/>
      <c r="F4" s="275"/>
      <c r="G4" s="218"/>
      <c r="H4" s="275"/>
      <c r="I4" s="218"/>
      <c r="J4" s="275"/>
      <c r="K4" s="218"/>
      <c r="L4" s="275"/>
      <c r="M4" s="218"/>
    </row>
    <row r="5" spans="1:31" ht="15.75">
      <c r="A5" s="275"/>
      <c r="B5" s="275"/>
      <c r="C5" s="218"/>
      <c r="D5" s="275"/>
      <c r="E5" s="218"/>
      <c r="F5" s="275"/>
      <c r="G5" s="218"/>
      <c r="H5" s="275"/>
      <c r="I5" s="218"/>
      <c r="J5" s="275"/>
      <c r="K5" s="218"/>
      <c r="L5" s="275"/>
      <c r="M5" s="243" t="s">
        <v>66</v>
      </c>
    </row>
    <row r="6" spans="1:31" ht="15.75">
      <c r="A6" s="243" t="s">
        <v>5</v>
      </c>
      <c r="B6" s="275"/>
      <c r="C6" s="218"/>
      <c r="D6" s="275"/>
      <c r="E6" s="218"/>
      <c r="F6" s="275"/>
      <c r="G6" s="218"/>
      <c r="H6" s="275"/>
      <c r="I6" s="243" t="s">
        <v>55</v>
      </c>
      <c r="J6" s="275"/>
      <c r="K6" s="243" t="s">
        <v>56</v>
      </c>
      <c r="L6" s="275"/>
      <c r="M6" s="332" t="s">
        <v>143</v>
      </c>
    </row>
    <row r="7" spans="1:31" ht="15.75">
      <c r="A7" s="333" t="s">
        <v>6</v>
      </c>
      <c r="B7" s="275"/>
      <c r="C7" s="333" t="s">
        <v>53</v>
      </c>
      <c r="D7" s="275"/>
      <c r="E7" s="333" t="s">
        <v>54</v>
      </c>
      <c r="F7" s="275"/>
      <c r="G7" s="333" t="s">
        <v>42</v>
      </c>
      <c r="H7" s="275"/>
      <c r="I7" s="333" t="s">
        <v>42</v>
      </c>
      <c r="J7" s="275"/>
      <c r="K7" s="333" t="s">
        <v>48</v>
      </c>
      <c r="L7" s="275"/>
      <c r="M7" s="333" t="s">
        <v>144</v>
      </c>
    </row>
    <row r="8" spans="1:31" ht="15.75">
      <c r="A8" s="243"/>
      <c r="B8" s="275"/>
      <c r="C8" s="334">
        <v>-1</v>
      </c>
      <c r="D8" s="275"/>
      <c r="E8" s="334">
        <v>-2</v>
      </c>
      <c r="F8" s="275"/>
      <c r="G8" s="334">
        <v>-3</v>
      </c>
      <c r="H8" s="275"/>
      <c r="I8" s="334">
        <v>-4</v>
      </c>
      <c r="J8" s="275"/>
      <c r="K8" s="334">
        <v>-5</v>
      </c>
      <c r="L8" s="275"/>
      <c r="M8" s="334">
        <v>-6</v>
      </c>
    </row>
    <row r="9" spans="1:31" ht="15.75">
      <c r="A9" s="275"/>
      <c r="B9" s="275"/>
      <c r="C9" s="218"/>
      <c r="D9" s="275"/>
      <c r="E9" s="218"/>
      <c r="F9" s="275"/>
      <c r="G9" s="218"/>
      <c r="H9" s="275"/>
      <c r="I9" s="218"/>
      <c r="J9" s="275"/>
      <c r="K9" s="218"/>
      <c r="L9" s="275"/>
      <c r="M9" s="218"/>
      <c r="T9" s="335" t="s">
        <v>129</v>
      </c>
    </row>
    <row r="10" spans="1:31" ht="15.75">
      <c r="A10" s="275">
        <v>1</v>
      </c>
      <c r="B10" s="275"/>
      <c r="C10" s="218" t="s">
        <v>57</v>
      </c>
      <c r="D10" s="275"/>
      <c r="E10" s="336">
        <v>3.8219320965742265E-2</v>
      </c>
      <c r="F10" s="275"/>
      <c r="G10" s="337">
        <v>7.1999999999999998E-3</v>
      </c>
      <c r="H10" s="275"/>
      <c r="I10" s="337">
        <f>E10*G10</f>
        <v>2.7517911095334429E-4</v>
      </c>
      <c r="J10" s="275"/>
      <c r="K10" s="336"/>
      <c r="L10" s="275"/>
      <c r="M10" s="336">
        <f>I10</f>
        <v>2.7517911095334429E-4</v>
      </c>
      <c r="T10" s="5">
        <v>0</v>
      </c>
      <c r="U10" s="6">
        <f>T10/$T$14</f>
        <v>0</v>
      </c>
      <c r="V10" s="7"/>
    </row>
    <row r="11" spans="1:31" ht="15.75">
      <c r="A11" s="275">
        <v>2</v>
      </c>
      <c r="B11" s="275"/>
      <c r="C11" s="338" t="s">
        <v>59</v>
      </c>
      <c r="D11" s="275"/>
      <c r="E11" s="336">
        <v>0.429122031305814</v>
      </c>
      <c r="F11" s="275"/>
      <c r="G11" s="337">
        <v>4.1200000000000001E-2</v>
      </c>
      <c r="H11" s="275"/>
      <c r="I11" s="337">
        <f>E11*G11</f>
        <v>1.7679827689799536E-2</v>
      </c>
      <c r="J11" s="275"/>
      <c r="K11" s="336"/>
      <c r="L11" s="275"/>
      <c r="M11" s="336">
        <f>I11</f>
        <v>1.7679827689799536E-2</v>
      </c>
      <c r="T11" s="5">
        <v>1105705507</v>
      </c>
      <c r="U11" s="6">
        <f>T11/$T$14</f>
        <v>0.44357029652003921</v>
      </c>
      <c r="V11" s="7"/>
    </row>
    <row r="12" spans="1:31" ht="15.75">
      <c r="A12" s="275">
        <v>3</v>
      </c>
      <c r="B12" s="275"/>
      <c r="C12" s="218" t="s">
        <v>58</v>
      </c>
      <c r="D12" s="275"/>
      <c r="E12" s="339">
        <v>0.53265864772844362</v>
      </c>
      <c r="F12" s="275"/>
      <c r="G12" s="337">
        <v>9.7500000000000003E-2</v>
      </c>
      <c r="H12" s="275"/>
      <c r="I12" s="340">
        <f>E12*G12</f>
        <v>5.1934218153523254E-2</v>
      </c>
      <c r="J12" s="275"/>
      <c r="K12" s="339">
        <f>I12*(0.389/(1-0.389))</f>
        <v>3.3064502228675199E-2</v>
      </c>
      <c r="L12" s="275"/>
      <c r="M12" s="339">
        <f>I12/(1-0.389)</f>
        <v>8.4998720382198453E-2</v>
      </c>
      <c r="T12" s="5">
        <v>1387034687</v>
      </c>
      <c r="U12" s="6">
        <f>T12/$T$14</f>
        <v>0.55642970347996079</v>
      </c>
      <c r="V12" s="7"/>
    </row>
    <row r="13" spans="1:31" ht="15.75">
      <c r="A13" s="275"/>
      <c r="B13" s="275"/>
      <c r="C13" s="218"/>
      <c r="D13" s="275"/>
      <c r="E13" s="218"/>
      <c r="F13" s="275"/>
      <c r="G13" s="218"/>
      <c r="H13" s="275"/>
      <c r="I13" s="218"/>
      <c r="J13" s="275"/>
      <c r="K13" s="218"/>
      <c r="L13" s="275"/>
      <c r="M13" s="218"/>
      <c r="T13" s="5"/>
      <c r="U13" s="6">
        <f>T13/$T$14</f>
        <v>0</v>
      </c>
      <c r="V13" s="7"/>
    </row>
    <row r="14" spans="1:31" ht="15.75">
      <c r="A14" s="275">
        <v>4</v>
      </c>
      <c r="B14" s="275"/>
      <c r="C14" s="218" t="s">
        <v>4</v>
      </c>
      <c r="D14" s="275"/>
      <c r="E14" s="336">
        <f>SUM(E10:E13)</f>
        <v>0.99999999999999989</v>
      </c>
      <c r="F14" s="275"/>
      <c r="G14" s="218"/>
      <c r="H14" s="275"/>
      <c r="I14" s="336">
        <f>SUM(I10:I13)</f>
        <v>6.988922495427613E-2</v>
      </c>
      <c r="J14" s="275"/>
      <c r="K14" s="336">
        <f>SUM(K10:K13)</f>
        <v>3.3064502228675199E-2</v>
      </c>
      <c r="L14" s="275"/>
      <c r="M14" s="336">
        <f>SUM(M10:M13)</f>
        <v>0.10295372718295133</v>
      </c>
      <c r="T14" s="8">
        <f>SUM(T10:T13)</f>
        <v>2492740194</v>
      </c>
      <c r="U14" s="6">
        <f>SUM(U10:U13)</f>
        <v>1</v>
      </c>
      <c r="V14" s="6"/>
    </row>
    <row r="15" spans="1:31" ht="15.75">
      <c r="A15" s="275"/>
      <c r="B15" s="275"/>
      <c r="C15" s="218"/>
      <c r="D15" s="275"/>
      <c r="E15" s="336"/>
      <c r="F15" s="275"/>
      <c r="G15" s="218"/>
      <c r="H15" s="275"/>
      <c r="I15" s="336"/>
      <c r="J15" s="275"/>
      <c r="K15" s="336"/>
      <c r="L15" s="275"/>
      <c r="M15" s="336"/>
      <c r="T15" s="8"/>
      <c r="U15" s="6"/>
      <c r="V15" s="6"/>
    </row>
    <row r="16" spans="1:31" ht="15.75">
      <c r="A16" s="275"/>
      <c r="B16" s="275"/>
      <c r="C16" s="218"/>
      <c r="D16" s="275"/>
      <c r="E16" s="218"/>
      <c r="F16" s="275"/>
      <c r="G16" s="218"/>
      <c r="H16" s="275"/>
      <c r="I16" s="218"/>
      <c r="J16" s="275"/>
      <c r="K16" s="218"/>
      <c r="L16" s="275"/>
      <c r="M16" s="218"/>
    </row>
    <row r="17" spans="1:13" ht="15.75">
      <c r="A17" s="275" t="s">
        <v>276</v>
      </c>
      <c r="B17" s="275"/>
      <c r="C17" s="218" t="s">
        <v>437</v>
      </c>
      <c r="D17" s="275"/>
      <c r="E17" s="218"/>
      <c r="F17" s="275"/>
      <c r="G17" s="218"/>
      <c r="H17" s="275"/>
      <c r="I17" s="218"/>
      <c r="J17" s="275"/>
      <c r="K17" s="218"/>
      <c r="L17" s="275"/>
      <c r="M17" s="218"/>
    </row>
    <row r="18" spans="1:13" ht="15.75">
      <c r="D18" s="275"/>
      <c r="E18" s="218"/>
      <c r="F18" s="275"/>
      <c r="G18" s="218"/>
      <c r="H18" s="275"/>
      <c r="I18" s="218"/>
      <c r="J18" s="275"/>
      <c r="K18" s="218"/>
      <c r="L18" s="275"/>
      <c r="M18" s="218"/>
    </row>
    <row r="19" spans="1:13" ht="15.75">
      <c r="A19" s="275"/>
      <c r="B19" s="275"/>
      <c r="C19" s="218"/>
      <c r="D19" s="275"/>
      <c r="E19" s="218"/>
      <c r="F19" s="275"/>
      <c r="G19" s="218"/>
      <c r="H19" s="275"/>
      <c r="I19" s="218"/>
      <c r="J19" s="275"/>
      <c r="K19" s="218"/>
      <c r="L19" s="275"/>
      <c r="M19" s="218"/>
    </row>
    <row r="20" spans="1:13" ht="15.75">
      <c r="A20" s="275"/>
      <c r="B20" s="275"/>
      <c r="C20" s="218"/>
      <c r="D20" s="275"/>
      <c r="E20" s="218"/>
      <c r="F20" s="275"/>
      <c r="G20" s="218"/>
      <c r="H20" s="275"/>
      <c r="I20" s="218"/>
      <c r="J20" s="275"/>
      <c r="K20" s="218"/>
      <c r="L20" s="275"/>
      <c r="M20" s="218"/>
    </row>
    <row r="21" spans="1:13">
      <c r="G21" s="223"/>
    </row>
  </sheetData>
  <mergeCells count="3">
    <mergeCell ref="A1:M1"/>
    <mergeCell ref="A2:M2"/>
    <mergeCell ref="A3:M3"/>
  </mergeCells>
  <hyperlinks>
    <hyperlink ref="K7" r:id="rId1" display="^@ 38.9%"/>
    <hyperlink ref="M7" r:id="rId2" display="^@ 38.9%"/>
  </hyperlinks>
  <printOptions horizontalCentered="1"/>
  <pageMargins left="0.5" right="0.62187499999999996" top="1" bottom="0.75" header="0.3" footer="0.3"/>
  <pageSetup orientation="landscape" r:id="rId3"/>
  <headerFooter>
    <oddFooter>&amp;R&amp;"Times New Roman,Bold"&amp;12Attachment to PSC Post Hearing Data Request Question No. 3
Revised Exhibit RMC-1
Page 4 of 12</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9"/>
  <sheetViews>
    <sheetView topLeftCell="A18" workbookViewId="0">
      <selection activeCell="N33" sqref="N33"/>
    </sheetView>
  </sheetViews>
  <sheetFormatPr defaultRowHeight="12.75"/>
  <cols>
    <col min="1" max="1" width="12.42578125" bestFit="1" customWidth="1"/>
    <col min="2" max="2" width="16.140625" bestFit="1" customWidth="1"/>
    <col min="3" max="3" width="8.140625" bestFit="1" customWidth="1"/>
    <col min="4" max="4" width="17" bestFit="1" customWidth="1"/>
    <col min="5" max="5" width="12" bestFit="1" customWidth="1"/>
    <col min="6" max="6" width="16.42578125" bestFit="1" customWidth="1"/>
    <col min="7" max="7" width="5" bestFit="1" customWidth="1"/>
    <col min="8" max="19" width="11.7109375" bestFit="1" customWidth="1"/>
    <col min="20" max="20" width="12.7109375" bestFit="1" customWidth="1"/>
    <col min="21" max="21" width="14.5703125" customWidth="1"/>
  </cols>
  <sheetData>
    <row r="1" spans="1:21">
      <c r="A1" s="221" t="s">
        <v>225</v>
      </c>
      <c r="B1" s="221" t="s">
        <v>226</v>
      </c>
      <c r="C1" s="221" t="s">
        <v>227</v>
      </c>
      <c r="D1" s="221" t="s">
        <v>228</v>
      </c>
      <c r="E1" s="221" t="s">
        <v>229</v>
      </c>
      <c r="F1" s="221" t="s">
        <v>230</v>
      </c>
      <c r="G1" s="221" t="s">
        <v>231</v>
      </c>
      <c r="H1" s="376" t="s">
        <v>164</v>
      </c>
      <c r="I1" s="376" t="s">
        <v>165</v>
      </c>
      <c r="J1" s="376" t="s">
        <v>182</v>
      </c>
      <c r="K1" s="376" t="s">
        <v>183</v>
      </c>
      <c r="L1" s="376" t="s">
        <v>168</v>
      </c>
      <c r="M1" s="376" t="s">
        <v>184</v>
      </c>
      <c r="N1" s="376" t="s">
        <v>185</v>
      </c>
      <c r="O1" s="376" t="s">
        <v>186</v>
      </c>
      <c r="P1" s="376" t="s">
        <v>196</v>
      </c>
      <c r="Q1" s="376" t="s">
        <v>173</v>
      </c>
      <c r="R1" s="376" t="s">
        <v>232</v>
      </c>
      <c r="S1" s="376" t="s">
        <v>175</v>
      </c>
      <c r="T1" s="376" t="s">
        <v>233</v>
      </c>
      <c r="U1" s="221"/>
    </row>
    <row r="2" spans="1:21">
      <c r="A2" t="s">
        <v>234</v>
      </c>
      <c r="B2" t="s">
        <v>234</v>
      </c>
      <c r="C2" t="s">
        <v>235</v>
      </c>
      <c r="D2" t="s">
        <v>328</v>
      </c>
      <c r="E2" s="39" t="s">
        <v>237</v>
      </c>
      <c r="F2" s="39" t="s">
        <v>238</v>
      </c>
      <c r="G2" s="39" t="s">
        <v>251</v>
      </c>
      <c r="H2" s="39">
        <v>6000</v>
      </c>
      <c r="I2" s="39">
        <v>6000</v>
      </c>
      <c r="J2" s="39">
        <v>8000</v>
      </c>
      <c r="K2" s="39">
        <v>11000</v>
      </c>
      <c r="L2" s="39">
        <v>12000</v>
      </c>
      <c r="M2" s="39">
        <v>11000</v>
      </c>
      <c r="N2" s="39">
        <v>11000</v>
      </c>
      <c r="O2" s="39">
        <v>14000</v>
      </c>
      <c r="P2" s="39">
        <v>11000</v>
      </c>
      <c r="Q2" s="39">
        <v>11000</v>
      </c>
      <c r="R2" s="39">
        <v>11000</v>
      </c>
      <c r="S2" s="39">
        <v>9000</v>
      </c>
      <c r="T2" s="39">
        <f>SUM(H2:S2)</f>
        <v>121000</v>
      </c>
    </row>
    <row r="3" spans="1:21">
      <c r="A3" t="s">
        <v>239</v>
      </c>
      <c r="B3" t="s">
        <v>239</v>
      </c>
      <c r="C3" t="s">
        <v>235</v>
      </c>
      <c r="D3" t="s">
        <v>329</v>
      </c>
      <c r="E3" s="39" t="s">
        <v>285</v>
      </c>
      <c r="F3" s="39" t="s">
        <v>330</v>
      </c>
      <c r="G3" s="39" t="s">
        <v>251</v>
      </c>
      <c r="H3" s="39">
        <v>-2801.84</v>
      </c>
      <c r="I3" s="39">
        <v>-1718.2</v>
      </c>
      <c r="J3" s="39">
        <v>-488.71</v>
      </c>
      <c r="K3" s="39">
        <v>-2129.1999999999998</v>
      </c>
      <c r="L3" s="39">
        <v>-1650.47</v>
      </c>
      <c r="M3" s="39">
        <v>-152.6</v>
      </c>
      <c r="N3" s="39">
        <v>-424.03</v>
      </c>
      <c r="O3" s="39">
        <v>-1173.05</v>
      </c>
      <c r="P3" s="39">
        <v>-1172.8</v>
      </c>
      <c r="Q3" s="39">
        <v>-1172.8399999999999</v>
      </c>
      <c r="R3" s="39">
        <v>-1172.9000000000001</v>
      </c>
      <c r="S3" s="39">
        <v>-1173.3599999999999</v>
      </c>
      <c r="T3" s="39">
        <f t="shared" ref="T3:T32" si="0">SUM(H3:S3)</f>
        <v>-15230</v>
      </c>
    </row>
    <row r="4" spans="1:21">
      <c r="A4" t="s">
        <v>239</v>
      </c>
      <c r="B4" t="s">
        <v>239</v>
      </c>
      <c r="C4" t="s">
        <v>284</v>
      </c>
      <c r="D4" t="s">
        <v>329</v>
      </c>
      <c r="E4" s="39" t="s">
        <v>285</v>
      </c>
      <c r="F4" s="39" t="s">
        <v>286</v>
      </c>
      <c r="G4" s="39" t="s">
        <v>251</v>
      </c>
      <c r="H4" s="39">
        <v>6118</v>
      </c>
      <c r="I4" s="39">
        <v>-16035</v>
      </c>
      <c r="J4" s="39">
        <v>-10678</v>
      </c>
      <c r="K4" s="39">
        <v>-60903</v>
      </c>
      <c r="L4" s="39">
        <v>-1368</v>
      </c>
      <c r="M4" s="39">
        <v>-9915</v>
      </c>
      <c r="N4" s="39">
        <v>-9213</v>
      </c>
      <c r="O4" s="39">
        <v>-5942</v>
      </c>
      <c r="P4" s="39">
        <v>3169</v>
      </c>
      <c r="Q4" s="39">
        <v>19808</v>
      </c>
      <c r="R4" s="39">
        <v>-5942</v>
      </c>
      <c r="S4" s="39">
        <v>5943</v>
      </c>
      <c r="T4" s="39">
        <f t="shared" si="0"/>
        <v>-84958</v>
      </c>
    </row>
    <row r="5" spans="1:21">
      <c r="A5" t="s">
        <v>239</v>
      </c>
      <c r="B5" t="s">
        <v>239</v>
      </c>
      <c r="C5" t="s">
        <v>240</v>
      </c>
      <c r="D5" t="s">
        <v>289</v>
      </c>
      <c r="E5" s="39" t="s">
        <v>241</v>
      </c>
      <c r="F5" s="39" t="s">
        <v>242</v>
      </c>
      <c r="G5" s="39" t="s">
        <v>251</v>
      </c>
      <c r="H5" s="39">
        <v>13846.11</v>
      </c>
      <c r="I5" s="39">
        <v>12350.53</v>
      </c>
      <c r="J5" s="39">
        <v>14521.53</v>
      </c>
      <c r="K5" s="39">
        <v>12350.53</v>
      </c>
      <c r="L5" s="39">
        <v>13894.35</v>
      </c>
      <c r="M5" s="39">
        <v>13218.93</v>
      </c>
      <c r="N5" s="39">
        <v>12109.31</v>
      </c>
      <c r="O5" s="39">
        <v>15003.97</v>
      </c>
      <c r="P5" s="39">
        <v>12929.47</v>
      </c>
      <c r="Q5" s="39">
        <v>13846.11</v>
      </c>
      <c r="R5" s="39">
        <v>12784.73</v>
      </c>
      <c r="S5" s="39">
        <v>11144.43</v>
      </c>
      <c r="T5" s="39">
        <f t="shared" si="0"/>
        <v>158000.00000000003</v>
      </c>
    </row>
    <row r="6" spans="1:21">
      <c r="A6" t="s">
        <v>239</v>
      </c>
      <c r="B6" t="s">
        <v>239</v>
      </c>
      <c r="C6" t="s">
        <v>240</v>
      </c>
      <c r="D6" t="s">
        <v>289</v>
      </c>
      <c r="E6" s="39" t="s">
        <v>247</v>
      </c>
      <c r="F6" s="39" t="s">
        <v>242</v>
      </c>
      <c r="G6" s="39" t="s">
        <v>251</v>
      </c>
      <c r="H6" s="39">
        <v>2891.91</v>
      </c>
      <c r="I6" s="39">
        <v>2579.54</v>
      </c>
      <c r="J6" s="39">
        <v>3032.98</v>
      </c>
      <c r="K6" s="39">
        <v>2579.54</v>
      </c>
      <c r="L6" s="39">
        <v>2901.98</v>
      </c>
      <c r="M6" s="39">
        <v>2760.92</v>
      </c>
      <c r="N6" s="39">
        <v>2529.16</v>
      </c>
      <c r="O6" s="39">
        <v>3133.74</v>
      </c>
      <c r="P6" s="39">
        <v>2700.46</v>
      </c>
      <c r="Q6" s="39">
        <v>2891.91</v>
      </c>
      <c r="R6" s="39">
        <v>2670.23</v>
      </c>
      <c r="S6" s="39">
        <v>2327.63</v>
      </c>
      <c r="T6" s="39">
        <f t="shared" si="0"/>
        <v>33000</v>
      </c>
    </row>
    <row r="7" spans="1:21">
      <c r="A7" t="s">
        <v>239</v>
      </c>
      <c r="B7" t="s">
        <v>239</v>
      </c>
      <c r="C7" t="s">
        <v>240</v>
      </c>
      <c r="D7" t="s">
        <v>288</v>
      </c>
      <c r="E7" s="39" t="s">
        <v>241</v>
      </c>
      <c r="F7" s="39" t="s">
        <v>242</v>
      </c>
      <c r="G7" s="39" t="s">
        <v>251</v>
      </c>
      <c r="H7" s="39">
        <v>6660.15</v>
      </c>
      <c r="I7" s="39">
        <v>5940.76</v>
      </c>
      <c r="J7" s="39">
        <v>6985.04</v>
      </c>
      <c r="K7" s="39">
        <v>5940.76</v>
      </c>
      <c r="L7" s="39">
        <v>6683.36</v>
      </c>
      <c r="M7" s="39">
        <v>6358.47</v>
      </c>
      <c r="N7" s="39">
        <v>5824.73</v>
      </c>
      <c r="O7" s="39">
        <v>7217.1</v>
      </c>
      <c r="P7" s="39">
        <v>6219.24</v>
      </c>
      <c r="Q7" s="39">
        <v>6660.15</v>
      </c>
      <c r="R7" s="39">
        <v>6149.62</v>
      </c>
      <c r="S7" s="39">
        <v>5360.61</v>
      </c>
      <c r="T7" s="39">
        <f t="shared" si="0"/>
        <v>75999.990000000005</v>
      </c>
    </row>
    <row r="8" spans="1:21">
      <c r="A8" t="s">
        <v>239</v>
      </c>
      <c r="B8" t="s">
        <v>239</v>
      </c>
      <c r="C8" t="s">
        <v>240</v>
      </c>
      <c r="D8" t="s">
        <v>288</v>
      </c>
      <c r="E8" s="39" t="s">
        <v>247</v>
      </c>
      <c r="F8" s="39" t="s">
        <v>242</v>
      </c>
      <c r="G8" s="39" t="s">
        <v>251</v>
      </c>
      <c r="H8" s="39">
        <v>525.79999999999995</v>
      </c>
      <c r="I8" s="39">
        <v>469.01</v>
      </c>
      <c r="J8" s="39">
        <v>551.45000000000005</v>
      </c>
      <c r="K8" s="39">
        <v>469.01</v>
      </c>
      <c r="L8" s="39">
        <v>527.63</v>
      </c>
      <c r="M8" s="39">
        <v>501.98</v>
      </c>
      <c r="N8" s="39">
        <v>459.85</v>
      </c>
      <c r="O8" s="39">
        <v>569.77</v>
      </c>
      <c r="P8" s="39">
        <v>490.99</v>
      </c>
      <c r="Q8" s="39">
        <v>525.79999999999995</v>
      </c>
      <c r="R8" s="39">
        <v>485.5</v>
      </c>
      <c r="S8" s="39">
        <v>423.21</v>
      </c>
      <c r="T8" s="39">
        <f t="shared" si="0"/>
        <v>6000</v>
      </c>
    </row>
    <row r="9" spans="1:21">
      <c r="A9" t="s">
        <v>239</v>
      </c>
      <c r="B9" t="s">
        <v>239</v>
      </c>
      <c r="C9" t="s">
        <v>240</v>
      </c>
      <c r="D9" t="s">
        <v>249</v>
      </c>
      <c r="E9" s="39" t="s">
        <v>241</v>
      </c>
      <c r="F9" s="39" t="s">
        <v>242</v>
      </c>
      <c r="G9" s="39" t="s">
        <v>251</v>
      </c>
      <c r="H9" s="39">
        <v>4700.5200000000004</v>
      </c>
      <c r="I9" s="39">
        <v>4060.04</v>
      </c>
      <c r="J9" s="39">
        <v>4625.3999999999996</v>
      </c>
      <c r="K9" s="39">
        <v>3951.51</v>
      </c>
      <c r="L9" s="39">
        <v>4396.3999999999996</v>
      </c>
      <c r="M9" s="39">
        <v>4262.8100000000004</v>
      </c>
      <c r="N9" s="39">
        <v>3986.09</v>
      </c>
      <c r="O9" s="39">
        <v>4890.18</v>
      </c>
      <c r="P9" s="39">
        <v>4492.9799999999996</v>
      </c>
      <c r="Q9" s="39">
        <v>4416.68</v>
      </c>
      <c r="R9" s="39">
        <v>4269.95</v>
      </c>
      <c r="S9" s="39">
        <v>3890.65</v>
      </c>
      <c r="T9" s="39">
        <f t="shared" si="0"/>
        <v>51943.210000000006</v>
      </c>
    </row>
    <row r="10" spans="1:21">
      <c r="A10" t="s">
        <v>239</v>
      </c>
      <c r="B10" t="s">
        <v>239</v>
      </c>
      <c r="C10" t="s">
        <v>240</v>
      </c>
      <c r="D10" t="s">
        <v>249</v>
      </c>
      <c r="E10" s="39" t="s">
        <v>247</v>
      </c>
      <c r="F10" s="39" t="s">
        <v>242</v>
      </c>
      <c r="G10" s="39" t="s">
        <v>251</v>
      </c>
      <c r="H10" s="39">
        <v>1239.81</v>
      </c>
      <c r="I10" s="39">
        <v>1041.52</v>
      </c>
      <c r="J10" s="39">
        <v>1152.69</v>
      </c>
      <c r="K10" s="39">
        <v>988.9</v>
      </c>
      <c r="L10" s="39">
        <v>1088.74</v>
      </c>
      <c r="M10" s="39">
        <v>1074.6600000000001</v>
      </c>
      <c r="N10" s="39">
        <v>1023.77</v>
      </c>
      <c r="O10" s="39">
        <v>1244.8599999999999</v>
      </c>
      <c r="P10" s="39">
        <v>1207.98</v>
      </c>
      <c r="Q10" s="39">
        <v>1102.19</v>
      </c>
      <c r="R10" s="39">
        <v>1110.71</v>
      </c>
      <c r="S10" s="39">
        <v>1049.92</v>
      </c>
      <c r="T10" s="39">
        <f t="shared" si="0"/>
        <v>13325.750000000002</v>
      </c>
    </row>
    <row r="11" spans="1:21">
      <c r="A11" t="s">
        <v>239</v>
      </c>
      <c r="B11" t="s">
        <v>239</v>
      </c>
      <c r="C11" t="s">
        <v>240</v>
      </c>
      <c r="D11" t="s">
        <v>290</v>
      </c>
      <c r="E11" s="39" t="s">
        <v>241</v>
      </c>
      <c r="F11" s="39" t="s">
        <v>242</v>
      </c>
      <c r="G11" s="39" t="s">
        <v>251</v>
      </c>
      <c r="H11" s="39">
        <v>3688.05</v>
      </c>
      <c r="I11" s="39">
        <v>3289.69</v>
      </c>
      <c r="J11" s="39">
        <v>3867.96</v>
      </c>
      <c r="K11" s="39">
        <v>3289.69</v>
      </c>
      <c r="L11" s="39">
        <v>3700.89</v>
      </c>
      <c r="M11" s="39">
        <v>3520.99</v>
      </c>
      <c r="N11" s="39">
        <v>3225.43</v>
      </c>
      <c r="O11" s="39">
        <v>3996.45</v>
      </c>
      <c r="P11" s="39">
        <v>3443.89</v>
      </c>
      <c r="Q11" s="39">
        <v>3688.05</v>
      </c>
      <c r="R11" s="39">
        <v>3405.35</v>
      </c>
      <c r="S11" s="39">
        <v>2968.43</v>
      </c>
      <c r="T11" s="39">
        <f t="shared" si="0"/>
        <v>42084.87</v>
      </c>
    </row>
    <row r="12" spans="1:21">
      <c r="A12" t="s">
        <v>239</v>
      </c>
      <c r="B12" t="s">
        <v>239</v>
      </c>
      <c r="C12" t="s">
        <v>240</v>
      </c>
      <c r="D12" t="s">
        <v>290</v>
      </c>
      <c r="E12" s="39" t="s">
        <v>247</v>
      </c>
      <c r="F12" s="39" t="s">
        <v>242</v>
      </c>
      <c r="G12" s="39" t="s">
        <v>251</v>
      </c>
      <c r="H12" s="39">
        <v>770.29</v>
      </c>
      <c r="I12" s="39">
        <v>687.09</v>
      </c>
      <c r="J12" s="39">
        <v>807.87</v>
      </c>
      <c r="K12" s="39">
        <v>687.09</v>
      </c>
      <c r="L12" s="39">
        <v>772.97</v>
      </c>
      <c r="M12" s="39">
        <v>735.4</v>
      </c>
      <c r="N12" s="39">
        <v>673.67</v>
      </c>
      <c r="O12" s="39">
        <v>834.7</v>
      </c>
      <c r="P12" s="39">
        <v>719.29</v>
      </c>
      <c r="Q12" s="39">
        <v>770.29</v>
      </c>
      <c r="R12" s="39">
        <v>711.24</v>
      </c>
      <c r="S12" s="39">
        <v>619.99</v>
      </c>
      <c r="T12" s="39">
        <f t="shared" si="0"/>
        <v>8789.89</v>
      </c>
    </row>
    <row r="13" spans="1:21">
      <c r="A13" t="s">
        <v>239</v>
      </c>
      <c r="B13" t="s">
        <v>239</v>
      </c>
      <c r="C13" t="s">
        <v>240</v>
      </c>
      <c r="D13" t="s">
        <v>328</v>
      </c>
      <c r="E13" s="39" t="s">
        <v>241</v>
      </c>
      <c r="F13" s="39" t="s">
        <v>242</v>
      </c>
      <c r="G13" s="39" t="s">
        <v>251</v>
      </c>
      <c r="H13" s="39">
        <v>60379.54</v>
      </c>
      <c r="I13" s="39">
        <v>53857.71</v>
      </c>
      <c r="J13" s="39">
        <v>63324.89</v>
      </c>
      <c r="K13" s="39">
        <v>53857.71</v>
      </c>
      <c r="L13" s="39">
        <v>60589.919999999998</v>
      </c>
      <c r="M13" s="39">
        <v>57644.58</v>
      </c>
      <c r="N13" s="39">
        <v>52805.8</v>
      </c>
      <c r="O13" s="39">
        <v>65428.7</v>
      </c>
      <c r="P13" s="39">
        <v>56382.29</v>
      </c>
      <c r="Q13" s="39">
        <v>60379.54</v>
      </c>
      <c r="R13" s="39">
        <v>55751.15</v>
      </c>
      <c r="S13" s="39">
        <v>48598.17</v>
      </c>
      <c r="T13" s="39">
        <f t="shared" si="0"/>
        <v>689000.00000000012</v>
      </c>
    </row>
    <row r="14" spans="1:21">
      <c r="A14" t="s">
        <v>239</v>
      </c>
      <c r="B14" t="s">
        <v>239</v>
      </c>
      <c r="C14" t="s">
        <v>240</v>
      </c>
      <c r="D14" t="s">
        <v>328</v>
      </c>
      <c r="E14" s="39" t="s">
        <v>247</v>
      </c>
      <c r="F14" s="39" t="s">
        <v>242</v>
      </c>
      <c r="G14" s="39" t="s">
        <v>251</v>
      </c>
      <c r="H14" s="39">
        <v>10340.76</v>
      </c>
      <c r="I14" s="39">
        <v>9223.82</v>
      </c>
      <c r="J14" s="39">
        <v>10845.19</v>
      </c>
      <c r="K14" s="39">
        <v>9223.82</v>
      </c>
      <c r="L14" s="39">
        <v>10376.790000000001</v>
      </c>
      <c r="M14" s="39">
        <v>9872.3700000000008</v>
      </c>
      <c r="N14" s="39">
        <v>9043.66</v>
      </c>
      <c r="O14" s="39">
        <v>11205.5</v>
      </c>
      <c r="P14" s="39">
        <v>9656.18</v>
      </c>
      <c r="Q14" s="39">
        <v>10340.76</v>
      </c>
      <c r="R14" s="39">
        <v>9548.09</v>
      </c>
      <c r="S14" s="39">
        <v>8323.0499999999993</v>
      </c>
      <c r="T14" s="39">
        <f t="shared" si="0"/>
        <v>117999.98999999999</v>
      </c>
    </row>
    <row r="15" spans="1:21">
      <c r="A15" t="s">
        <v>239</v>
      </c>
      <c r="B15" t="s">
        <v>239</v>
      </c>
      <c r="C15" t="s">
        <v>240</v>
      </c>
      <c r="D15" t="s">
        <v>329</v>
      </c>
      <c r="E15" s="39" t="s">
        <v>285</v>
      </c>
      <c r="F15" s="39" t="s">
        <v>331</v>
      </c>
      <c r="G15" s="39" t="s">
        <v>251</v>
      </c>
      <c r="H15" s="39">
        <v>-9854.7199999999993</v>
      </c>
      <c r="I15" s="39">
        <v>-27357.59</v>
      </c>
      <c r="J15" s="39">
        <v>-19901.68</v>
      </c>
      <c r="K15" s="39">
        <v>-14002.59</v>
      </c>
      <c r="L15" s="39">
        <v>-6670.79</v>
      </c>
      <c r="M15" s="39">
        <v>-10417.82</v>
      </c>
      <c r="N15" s="39">
        <v>-8062.24</v>
      </c>
      <c r="O15" s="39">
        <v>-11885.37</v>
      </c>
      <c r="P15" s="39">
        <v>-11885.41</v>
      </c>
      <c r="Q15" s="39">
        <v>-11884.72</v>
      </c>
      <c r="R15" s="39">
        <v>-11885.21</v>
      </c>
      <c r="S15" s="39">
        <v>-11884.87</v>
      </c>
      <c r="T15" s="39">
        <f t="shared" si="0"/>
        <v>-155693.00999999998</v>
      </c>
    </row>
    <row r="16" spans="1:21">
      <c r="A16" t="s">
        <v>239</v>
      </c>
      <c r="B16" t="s">
        <v>239</v>
      </c>
      <c r="C16" t="s">
        <v>240</v>
      </c>
      <c r="D16" t="s">
        <v>248</v>
      </c>
      <c r="E16" s="39" t="s">
        <v>241</v>
      </c>
      <c r="F16" s="39" t="s">
        <v>242</v>
      </c>
      <c r="G16" s="39" t="s">
        <v>251</v>
      </c>
      <c r="H16" s="39">
        <v>3438.14</v>
      </c>
      <c r="I16" s="39">
        <v>2578.6</v>
      </c>
      <c r="J16" s="39">
        <v>2486.5100000000002</v>
      </c>
      <c r="K16" s="39">
        <v>2179.5300000000002</v>
      </c>
      <c r="L16" s="39">
        <v>2271.63</v>
      </c>
      <c r="M16" s="39">
        <v>2455.81</v>
      </c>
      <c r="N16" s="39">
        <v>2547.91</v>
      </c>
      <c r="O16" s="39">
        <v>2977.67</v>
      </c>
      <c r="P16" s="39">
        <v>3591.63</v>
      </c>
      <c r="Q16" s="39">
        <v>2394.42</v>
      </c>
      <c r="R16" s="39">
        <v>2916.28</v>
      </c>
      <c r="S16" s="39">
        <v>3161.86</v>
      </c>
      <c r="T16" s="39">
        <f t="shared" si="0"/>
        <v>32999.99</v>
      </c>
    </row>
    <row r="17" spans="1:21">
      <c r="A17" t="s">
        <v>239</v>
      </c>
      <c r="B17" t="s">
        <v>239</v>
      </c>
      <c r="C17" t="s">
        <v>240</v>
      </c>
      <c r="D17" t="s">
        <v>248</v>
      </c>
      <c r="E17" s="39" t="s">
        <v>247</v>
      </c>
      <c r="F17" s="39" t="s">
        <v>242</v>
      </c>
      <c r="G17" s="39" t="s">
        <v>251</v>
      </c>
      <c r="H17" s="39">
        <v>1666.98</v>
      </c>
      <c r="I17" s="39">
        <v>1250.23</v>
      </c>
      <c r="J17" s="39">
        <v>1205.58</v>
      </c>
      <c r="K17" s="39">
        <v>1056.74</v>
      </c>
      <c r="L17" s="39">
        <v>1101.4000000000001</v>
      </c>
      <c r="M17" s="39">
        <v>1190.7</v>
      </c>
      <c r="N17" s="39">
        <v>1235.3499999999999</v>
      </c>
      <c r="O17" s="39">
        <v>1443.72</v>
      </c>
      <c r="P17" s="39">
        <v>1741.4</v>
      </c>
      <c r="Q17" s="39">
        <v>1160.93</v>
      </c>
      <c r="R17" s="39">
        <v>1413.95</v>
      </c>
      <c r="S17" s="39">
        <v>1533.02</v>
      </c>
      <c r="T17" s="39">
        <f t="shared" si="0"/>
        <v>16000</v>
      </c>
    </row>
    <row r="18" spans="1:21">
      <c r="A18" t="s">
        <v>239</v>
      </c>
      <c r="B18" t="s">
        <v>239</v>
      </c>
      <c r="C18" t="s">
        <v>240</v>
      </c>
      <c r="D18" t="s">
        <v>250</v>
      </c>
      <c r="E18" s="39" t="s">
        <v>241</v>
      </c>
      <c r="F18" s="39" t="s">
        <v>242</v>
      </c>
      <c r="G18" s="39" t="s">
        <v>251</v>
      </c>
      <c r="H18" s="39">
        <v>306.41000000000003</v>
      </c>
      <c r="I18" s="39">
        <v>229.8</v>
      </c>
      <c r="J18" s="39">
        <v>221.6</v>
      </c>
      <c r="K18" s="39">
        <v>194.24</v>
      </c>
      <c r="L18" s="39">
        <v>202.45</v>
      </c>
      <c r="M18" s="39">
        <v>218.86</v>
      </c>
      <c r="N18" s="39">
        <v>227.07</v>
      </c>
      <c r="O18" s="39">
        <v>265.37</v>
      </c>
      <c r="P18" s="39">
        <v>320.08999999999997</v>
      </c>
      <c r="Q18" s="39">
        <v>213.39</v>
      </c>
      <c r="R18" s="39">
        <v>259.89999999999998</v>
      </c>
      <c r="S18" s="39">
        <v>281.77999999999997</v>
      </c>
      <c r="T18" s="39">
        <f t="shared" si="0"/>
        <v>2940.96</v>
      </c>
    </row>
    <row r="19" spans="1:21">
      <c r="A19" t="s">
        <v>239</v>
      </c>
      <c r="B19" t="s">
        <v>239</v>
      </c>
      <c r="C19" t="s">
        <v>240</v>
      </c>
      <c r="D19" t="s">
        <v>250</v>
      </c>
      <c r="E19" s="39" t="s">
        <v>247</v>
      </c>
      <c r="F19" s="39" t="s">
        <v>242</v>
      </c>
      <c r="G19" s="39" t="s">
        <v>251</v>
      </c>
      <c r="H19" s="39">
        <v>148.56</v>
      </c>
      <c r="I19" s="39">
        <v>111.42</v>
      </c>
      <c r="J19" s="39">
        <v>107.44</v>
      </c>
      <c r="K19" s="39">
        <v>94.18</v>
      </c>
      <c r="L19" s="39">
        <v>98.16</v>
      </c>
      <c r="M19" s="39">
        <v>106.12</v>
      </c>
      <c r="N19" s="39">
        <v>110.09</v>
      </c>
      <c r="O19" s="39">
        <v>128.66</v>
      </c>
      <c r="P19" s="39">
        <v>155.19</v>
      </c>
      <c r="Q19" s="39">
        <v>103.46</v>
      </c>
      <c r="R19" s="39">
        <v>126.01</v>
      </c>
      <c r="S19" s="39">
        <v>136.62</v>
      </c>
      <c r="T19" s="39">
        <f t="shared" si="0"/>
        <v>1425.9099999999999</v>
      </c>
    </row>
    <row r="20" spans="1:21">
      <c r="A20" t="s">
        <v>239</v>
      </c>
      <c r="B20" t="s">
        <v>239</v>
      </c>
      <c r="C20" t="s">
        <v>291</v>
      </c>
      <c r="D20" t="s">
        <v>329</v>
      </c>
      <c r="E20" s="39" t="s">
        <v>285</v>
      </c>
      <c r="F20" s="39" t="s">
        <v>332</v>
      </c>
      <c r="G20" s="39" t="s">
        <v>251</v>
      </c>
      <c r="H20" s="39">
        <v>25.5</v>
      </c>
      <c r="I20" s="39">
        <v>-1618.48</v>
      </c>
      <c r="J20" s="39">
        <v>-0.37</v>
      </c>
      <c r="K20" s="39">
        <v>-4314.4799999999996</v>
      </c>
      <c r="L20" s="39">
        <v>-272.92</v>
      </c>
      <c r="M20" s="39">
        <v>-14.04</v>
      </c>
      <c r="N20" s="39">
        <v>-242.38</v>
      </c>
      <c r="O20" s="39">
        <v>0.43</v>
      </c>
      <c r="P20" s="39">
        <v>0.48</v>
      </c>
      <c r="Q20" s="39">
        <v>-0.5</v>
      </c>
      <c r="R20" s="39">
        <v>-0.26</v>
      </c>
      <c r="S20" s="39">
        <v>0.02</v>
      </c>
      <c r="T20" s="39">
        <f t="shared" si="0"/>
        <v>-6437</v>
      </c>
    </row>
    <row r="21" spans="1:21">
      <c r="A21" t="s">
        <v>239</v>
      </c>
      <c r="B21" t="s">
        <v>239</v>
      </c>
      <c r="C21" t="s">
        <v>333</v>
      </c>
      <c r="D21" t="s">
        <v>329</v>
      </c>
      <c r="E21" s="39" t="s">
        <v>285</v>
      </c>
      <c r="F21" s="39" t="s">
        <v>334</v>
      </c>
      <c r="G21" s="39" t="s">
        <v>251</v>
      </c>
      <c r="H21" s="39">
        <v>25994</v>
      </c>
      <c r="I21" s="39">
        <v>15919</v>
      </c>
      <c r="J21" s="39">
        <v>24757</v>
      </c>
      <c r="K21" s="39">
        <v>19995</v>
      </c>
      <c r="L21" s="39">
        <v>30652</v>
      </c>
      <c r="M21" s="39">
        <v>24733</v>
      </c>
      <c r="N21" s="39">
        <v>11558</v>
      </c>
      <c r="O21" s="39">
        <v>23374</v>
      </c>
      <c r="P21" s="39">
        <v>23374</v>
      </c>
      <c r="Q21" s="39">
        <v>23374</v>
      </c>
      <c r="R21" s="39">
        <v>23374</v>
      </c>
      <c r="S21" s="39">
        <v>23374</v>
      </c>
      <c r="T21" s="39">
        <f t="shared" si="0"/>
        <v>270478</v>
      </c>
    </row>
    <row r="22" spans="1:21">
      <c r="A22" t="s">
        <v>239</v>
      </c>
      <c r="B22" t="s">
        <v>239</v>
      </c>
      <c r="C22" t="s">
        <v>335</v>
      </c>
      <c r="D22" t="s">
        <v>329</v>
      </c>
      <c r="E22" s="39" t="s">
        <v>285</v>
      </c>
      <c r="F22" s="39" t="s">
        <v>336</v>
      </c>
      <c r="G22" s="39" t="s">
        <v>251</v>
      </c>
      <c r="H22" s="39">
        <v>-3334.02</v>
      </c>
      <c r="I22" s="39">
        <v>-5299.08</v>
      </c>
      <c r="J22" s="39">
        <v>-9894.5</v>
      </c>
      <c r="K22" s="39">
        <v>-7071.08</v>
      </c>
      <c r="L22" s="39">
        <v>-6777.34</v>
      </c>
      <c r="M22" s="39">
        <v>-5960.85</v>
      </c>
      <c r="N22" s="39">
        <v>-3111.47</v>
      </c>
      <c r="O22" s="39">
        <v>-5941.71</v>
      </c>
      <c r="P22" s="39">
        <v>-5942.92</v>
      </c>
      <c r="Q22" s="39">
        <v>-5943.02</v>
      </c>
      <c r="R22" s="39">
        <v>-5941.96</v>
      </c>
      <c r="S22" s="39">
        <v>-5943.06</v>
      </c>
      <c r="T22" s="39">
        <f t="shared" si="0"/>
        <v>-71161.010000000009</v>
      </c>
    </row>
    <row r="23" spans="1:21">
      <c r="A23" t="s">
        <v>243</v>
      </c>
      <c r="B23" t="s">
        <v>287</v>
      </c>
      <c r="C23" t="s">
        <v>240</v>
      </c>
      <c r="D23" t="s">
        <v>289</v>
      </c>
      <c r="E23" s="39" t="s">
        <v>244</v>
      </c>
      <c r="F23" s="39" t="s">
        <v>242</v>
      </c>
      <c r="G23" s="39" t="s">
        <v>251</v>
      </c>
      <c r="H23" s="39">
        <v>1000</v>
      </c>
      <c r="I23" s="39">
        <v>1000</v>
      </c>
      <c r="J23" s="39">
        <v>1000</v>
      </c>
      <c r="K23" s="39">
        <v>1000</v>
      </c>
      <c r="L23" s="39">
        <v>1000</v>
      </c>
      <c r="M23" s="39">
        <v>1000</v>
      </c>
      <c r="N23" s="39">
        <v>1000</v>
      </c>
      <c r="O23" s="39">
        <v>1000</v>
      </c>
      <c r="P23" s="39">
        <v>1000</v>
      </c>
      <c r="Q23" s="39">
        <v>1000</v>
      </c>
      <c r="R23" s="39">
        <v>1000</v>
      </c>
      <c r="S23" s="39">
        <v>1000</v>
      </c>
      <c r="T23" s="39">
        <f t="shared" si="0"/>
        <v>12000</v>
      </c>
    </row>
    <row r="24" spans="1:21">
      <c r="A24" t="s">
        <v>243</v>
      </c>
      <c r="B24" t="s">
        <v>287</v>
      </c>
      <c r="C24" t="s">
        <v>240</v>
      </c>
      <c r="D24" t="s">
        <v>236</v>
      </c>
      <c r="E24" s="39" t="s">
        <v>244</v>
      </c>
      <c r="F24" s="39" t="s">
        <v>242</v>
      </c>
      <c r="G24" s="39" t="s">
        <v>251</v>
      </c>
      <c r="H24" s="39">
        <v>3000</v>
      </c>
      <c r="I24" s="39">
        <v>3000</v>
      </c>
      <c r="J24" s="39">
        <v>1000</v>
      </c>
      <c r="K24" s="39">
        <v>3000</v>
      </c>
      <c r="L24" s="39">
        <v>3000</v>
      </c>
      <c r="M24" s="39">
        <v>3000</v>
      </c>
      <c r="N24" s="39">
        <v>1000</v>
      </c>
      <c r="O24" s="39">
        <v>3000</v>
      </c>
      <c r="P24" s="39">
        <v>3000</v>
      </c>
      <c r="Q24" s="39">
        <v>1000</v>
      </c>
      <c r="R24" s="39">
        <v>3000</v>
      </c>
      <c r="S24" s="39">
        <v>3000</v>
      </c>
      <c r="T24" s="39">
        <f t="shared" si="0"/>
        <v>30000</v>
      </c>
    </row>
    <row r="25" spans="1:21">
      <c r="A25" t="s">
        <v>243</v>
      </c>
      <c r="B25" t="s">
        <v>287</v>
      </c>
      <c r="C25" t="s">
        <v>240</v>
      </c>
      <c r="D25" t="s">
        <v>288</v>
      </c>
      <c r="E25" s="39" t="s">
        <v>244</v>
      </c>
      <c r="F25" s="39" t="s">
        <v>242</v>
      </c>
      <c r="G25" s="39" t="s">
        <v>251</v>
      </c>
      <c r="H25" s="39">
        <v>1000</v>
      </c>
      <c r="I25" s="39">
        <v>0</v>
      </c>
      <c r="J25" s="39">
        <v>1000</v>
      </c>
      <c r="K25" s="39">
        <v>0</v>
      </c>
      <c r="L25" s="39">
        <v>0</v>
      </c>
      <c r="M25" s="39">
        <v>1000</v>
      </c>
      <c r="N25" s="39">
        <v>1000</v>
      </c>
      <c r="O25" s="39">
        <v>0</v>
      </c>
      <c r="P25" s="39">
        <v>0</v>
      </c>
      <c r="Q25" s="39">
        <v>1000</v>
      </c>
      <c r="R25" s="39">
        <v>0</v>
      </c>
      <c r="S25" s="39">
        <v>0</v>
      </c>
      <c r="T25" s="39">
        <f t="shared" si="0"/>
        <v>5000</v>
      </c>
    </row>
    <row r="26" spans="1:21">
      <c r="A26" t="s">
        <v>243</v>
      </c>
      <c r="B26" t="s">
        <v>287</v>
      </c>
      <c r="C26" t="s">
        <v>240</v>
      </c>
      <c r="D26" t="s">
        <v>249</v>
      </c>
      <c r="E26" s="39" t="s">
        <v>244</v>
      </c>
      <c r="F26" s="39" t="s">
        <v>242</v>
      </c>
      <c r="G26" s="39" t="s">
        <v>251</v>
      </c>
      <c r="H26" s="39">
        <v>111</v>
      </c>
      <c r="I26" s="39">
        <v>111</v>
      </c>
      <c r="J26" s="39">
        <v>111</v>
      </c>
      <c r="K26" s="39">
        <v>111</v>
      </c>
      <c r="L26" s="39">
        <v>111</v>
      </c>
      <c r="M26" s="39">
        <v>111</v>
      </c>
      <c r="N26" s="39">
        <v>111</v>
      </c>
      <c r="O26" s="39">
        <v>111</v>
      </c>
      <c r="P26" s="39">
        <v>111</v>
      </c>
      <c r="Q26" s="39">
        <v>111</v>
      </c>
      <c r="R26" s="39">
        <v>111</v>
      </c>
      <c r="S26" s="39">
        <v>111</v>
      </c>
      <c r="T26" s="39">
        <f t="shared" si="0"/>
        <v>1332</v>
      </c>
    </row>
    <row r="27" spans="1:21">
      <c r="A27" t="s">
        <v>243</v>
      </c>
      <c r="B27" t="s">
        <v>287</v>
      </c>
      <c r="C27" t="s">
        <v>240</v>
      </c>
      <c r="D27" t="s">
        <v>290</v>
      </c>
      <c r="E27" s="39" t="s">
        <v>244</v>
      </c>
      <c r="F27" s="39" t="s">
        <v>242</v>
      </c>
      <c r="G27" s="39" t="s">
        <v>251</v>
      </c>
      <c r="H27" s="39">
        <v>266.36</v>
      </c>
      <c r="I27" s="39">
        <v>266.36</v>
      </c>
      <c r="J27" s="39">
        <v>266.36</v>
      </c>
      <c r="K27" s="39">
        <v>266.36</v>
      </c>
      <c r="L27" s="39">
        <v>266.36</v>
      </c>
      <c r="M27" s="39">
        <v>266.36</v>
      </c>
      <c r="N27" s="39">
        <v>266.36</v>
      </c>
      <c r="O27" s="39">
        <v>266.36</v>
      </c>
      <c r="P27" s="39">
        <v>266.36</v>
      </c>
      <c r="Q27" s="39">
        <v>266.36</v>
      </c>
      <c r="R27" s="39">
        <v>266.36</v>
      </c>
      <c r="S27" s="39">
        <v>266.36</v>
      </c>
      <c r="T27" s="39">
        <f t="shared" si="0"/>
        <v>3196.3200000000011</v>
      </c>
    </row>
    <row r="28" spans="1:21">
      <c r="A28" t="s">
        <v>245</v>
      </c>
      <c r="B28" t="s">
        <v>337</v>
      </c>
      <c r="C28" t="s">
        <v>240</v>
      </c>
      <c r="D28" t="s">
        <v>289</v>
      </c>
      <c r="E28" s="39" t="s">
        <v>246</v>
      </c>
      <c r="F28" s="39" t="s">
        <v>242</v>
      </c>
      <c r="G28" s="39" t="s">
        <v>251</v>
      </c>
      <c r="H28" s="39">
        <v>1000</v>
      </c>
      <c r="I28" s="39">
        <v>1000</v>
      </c>
      <c r="J28" s="39">
        <v>1000</v>
      </c>
      <c r="K28" s="39">
        <v>1000</v>
      </c>
      <c r="L28" s="39">
        <v>1000</v>
      </c>
      <c r="M28" s="39">
        <v>1000</v>
      </c>
      <c r="N28" s="39">
        <v>1000</v>
      </c>
      <c r="O28" s="39">
        <v>1000</v>
      </c>
      <c r="P28" s="39">
        <v>1000</v>
      </c>
      <c r="Q28" s="39">
        <v>1000</v>
      </c>
      <c r="R28" s="39">
        <v>1000</v>
      </c>
      <c r="S28" s="39">
        <v>1000</v>
      </c>
      <c r="T28" s="39">
        <f t="shared" si="0"/>
        <v>12000</v>
      </c>
    </row>
    <row r="29" spans="1:21">
      <c r="A29" t="s">
        <v>245</v>
      </c>
      <c r="B29" t="s">
        <v>337</v>
      </c>
      <c r="C29" t="s">
        <v>240</v>
      </c>
      <c r="D29" t="s">
        <v>288</v>
      </c>
      <c r="E29" s="39" t="s">
        <v>246</v>
      </c>
      <c r="F29" s="39" t="s">
        <v>242</v>
      </c>
      <c r="G29" s="39" t="s">
        <v>251</v>
      </c>
      <c r="H29" s="39">
        <v>0</v>
      </c>
      <c r="I29" s="39">
        <v>0</v>
      </c>
      <c r="J29" s="39">
        <v>1000</v>
      </c>
      <c r="K29" s="39">
        <v>0</v>
      </c>
      <c r="L29" s="39">
        <v>0</v>
      </c>
      <c r="M29" s="39">
        <v>1000</v>
      </c>
      <c r="N29" s="39">
        <v>0</v>
      </c>
      <c r="O29" s="39">
        <v>0</v>
      </c>
      <c r="P29" s="39">
        <v>1000</v>
      </c>
      <c r="Q29" s="39">
        <v>0</v>
      </c>
      <c r="R29" s="39">
        <v>0</v>
      </c>
      <c r="S29" s="39">
        <v>1000</v>
      </c>
      <c r="T29" s="39">
        <f t="shared" si="0"/>
        <v>4000</v>
      </c>
    </row>
    <row r="30" spans="1:21">
      <c r="A30" t="s">
        <v>245</v>
      </c>
      <c r="B30" t="s">
        <v>337</v>
      </c>
      <c r="C30" t="s">
        <v>240</v>
      </c>
      <c r="D30" t="s">
        <v>249</v>
      </c>
      <c r="E30" s="39" t="s">
        <v>246</v>
      </c>
      <c r="F30" s="39" t="s">
        <v>242</v>
      </c>
      <c r="G30" s="39" t="s">
        <v>251</v>
      </c>
      <c r="H30" s="39">
        <v>116.85</v>
      </c>
      <c r="I30" s="39">
        <v>116.85</v>
      </c>
      <c r="J30" s="39">
        <v>116.85</v>
      </c>
      <c r="K30" s="39">
        <v>116.85</v>
      </c>
      <c r="L30" s="39">
        <v>116.85</v>
      </c>
      <c r="M30" s="39">
        <v>116.85</v>
      </c>
      <c r="N30" s="39">
        <v>116.85</v>
      </c>
      <c r="O30" s="39">
        <v>116.85</v>
      </c>
      <c r="P30" s="39">
        <v>116.85</v>
      </c>
      <c r="Q30" s="39">
        <v>116.85</v>
      </c>
      <c r="R30" s="39">
        <v>116.85</v>
      </c>
      <c r="S30" s="39">
        <v>116.85</v>
      </c>
      <c r="T30" s="39">
        <f t="shared" si="0"/>
        <v>1402.1999999999998</v>
      </c>
    </row>
    <row r="31" spans="1:21">
      <c r="A31" t="s">
        <v>245</v>
      </c>
      <c r="B31" t="s">
        <v>337</v>
      </c>
      <c r="C31" t="s">
        <v>240</v>
      </c>
      <c r="D31" t="s">
        <v>290</v>
      </c>
      <c r="E31" s="39" t="s">
        <v>246</v>
      </c>
      <c r="F31" s="39" t="s">
        <v>242</v>
      </c>
      <c r="G31" s="39" t="s">
        <v>251</v>
      </c>
      <c r="H31" s="39">
        <v>266.36</v>
      </c>
      <c r="I31" s="39">
        <v>266.36</v>
      </c>
      <c r="J31" s="39">
        <v>266.36</v>
      </c>
      <c r="K31" s="39">
        <v>266.36</v>
      </c>
      <c r="L31" s="39">
        <v>266.36</v>
      </c>
      <c r="M31" s="39">
        <v>266.36</v>
      </c>
      <c r="N31" s="39">
        <v>266.36</v>
      </c>
      <c r="O31" s="39">
        <v>266.36</v>
      </c>
      <c r="P31" s="39">
        <v>266.36</v>
      </c>
      <c r="Q31" s="39">
        <v>266.36</v>
      </c>
      <c r="R31" s="39">
        <v>266.36</v>
      </c>
      <c r="S31" s="39">
        <v>266.36</v>
      </c>
      <c r="T31" s="39">
        <f t="shared" si="0"/>
        <v>3196.3200000000011</v>
      </c>
      <c r="U31" s="39">
        <f>T33-T32</f>
        <v>1379636.38</v>
      </c>
    </row>
    <row r="32" spans="1:21">
      <c r="A32" t="s">
        <v>338</v>
      </c>
      <c r="B32" t="s">
        <v>338</v>
      </c>
      <c r="C32" t="s">
        <v>339</v>
      </c>
      <c r="D32" t="s">
        <v>329</v>
      </c>
      <c r="E32" s="39" t="s">
        <v>340</v>
      </c>
      <c r="F32" s="227" t="s">
        <v>341</v>
      </c>
      <c r="G32" s="227" t="s">
        <v>251</v>
      </c>
      <c r="H32" s="378">
        <v>237772.03</v>
      </c>
      <c r="I32" s="378">
        <v>237772.03</v>
      </c>
      <c r="J32" s="378">
        <v>237772.03</v>
      </c>
      <c r="K32" s="378">
        <v>237772.03</v>
      </c>
      <c r="L32" s="378">
        <v>237772.03</v>
      </c>
      <c r="M32" s="378">
        <v>237772.03</v>
      </c>
      <c r="N32" s="378">
        <v>237772.03</v>
      </c>
      <c r="O32" s="378">
        <v>237772.03</v>
      </c>
      <c r="P32" s="378">
        <v>237772.03</v>
      </c>
      <c r="Q32" s="378">
        <v>237772.03</v>
      </c>
      <c r="R32" s="378">
        <v>237772.03</v>
      </c>
      <c r="S32" s="378">
        <v>237772.03</v>
      </c>
      <c r="T32" s="378">
        <f t="shared" si="0"/>
        <v>2853264.3599999994</v>
      </c>
    </row>
    <row r="33" spans="1:20">
      <c r="C33" s="4"/>
      <c r="D33" s="4" t="s">
        <v>252</v>
      </c>
      <c r="E33" s="196"/>
      <c r="F33" s="196"/>
      <c r="G33" s="196"/>
      <c r="H33" s="196">
        <f t="shared" ref="H33:T33" si="1">SUM(H2:H32)</f>
        <v>377282.55</v>
      </c>
      <c r="I33" s="196">
        <f t="shared" si="1"/>
        <v>311093.01</v>
      </c>
      <c r="J33" s="196">
        <f t="shared" si="1"/>
        <v>349062.47000000003</v>
      </c>
      <c r="K33" s="196">
        <f t="shared" si="1"/>
        <v>282970.5</v>
      </c>
      <c r="L33" s="196">
        <f t="shared" si="1"/>
        <v>378051.75</v>
      </c>
      <c r="M33" s="196">
        <f t="shared" si="1"/>
        <v>358727.89</v>
      </c>
      <c r="N33" s="196">
        <f t="shared" si="1"/>
        <v>339839.37</v>
      </c>
      <c r="O33" s="196">
        <f t="shared" si="1"/>
        <v>374305.28999999992</v>
      </c>
      <c r="P33" s="196">
        <f t="shared" si="1"/>
        <v>367126.03</v>
      </c>
      <c r="Q33" s="196">
        <f t="shared" si="1"/>
        <v>386207.19999999995</v>
      </c>
      <c r="R33" s="196">
        <f t="shared" si="1"/>
        <v>354566.98</v>
      </c>
      <c r="S33" s="196">
        <f t="shared" si="1"/>
        <v>353667.7</v>
      </c>
      <c r="T33" s="196">
        <f t="shared" si="1"/>
        <v>4232900.7399999993</v>
      </c>
    </row>
    <row r="35" spans="1:20">
      <c r="A35" t="s">
        <v>234</v>
      </c>
      <c r="B35" t="s">
        <v>234</v>
      </c>
      <c r="C35" t="s">
        <v>235</v>
      </c>
      <c r="D35" t="s">
        <v>328</v>
      </c>
      <c r="E35" s="39" t="s">
        <v>237</v>
      </c>
      <c r="F35" s="39" t="s">
        <v>238</v>
      </c>
      <c r="G35" s="39" t="s">
        <v>377</v>
      </c>
      <c r="H35" s="39">
        <v>6000</v>
      </c>
      <c r="I35" s="39">
        <v>6000</v>
      </c>
      <c r="J35" s="39">
        <v>8000</v>
      </c>
      <c r="K35" s="39">
        <v>11000</v>
      </c>
      <c r="L35" s="39">
        <v>12000</v>
      </c>
      <c r="M35" s="39">
        <v>13000</v>
      </c>
      <c r="N35" s="39">
        <v>12000</v>
      </c>
      <c r="O35" s="39">
        <v>14000</v>
      </c>
      <c r="P35" s="39">
        <v>11000</v>
      </c>
      <c r="Q35" s="39">
        <v>11000</v>
      </c>
      <c r="R35" s="39">
        <v>11000</v>
      </c>
      <c r="S35" s="39">
        <v>9000</v>
      </c>
      <c r="T35" s="39">
        <f>SUM(H35:S35)</f>
        <v>124000</v>
      </c>
    </row>
    <row r="36" spans="1:20">
      <c r="A36" t="s">
        <v>239</v>
      </c>
      <c r="B36" t="s">
        <v>239</v>
      </c>
      <c r="C36" t="s">
        <v>235</v>
      </c>
      <c r="D36" t="s">
        <v>329</v>
      </c>
      <c r="E36" s="39" t="s">
        <v>285</v>
      </c>
      <c r="F36" s="39" t="s">
        <v>330</v>
      </c>
      <c r="G36" s="39" t="s">
        <v>377</v>
      </c>
      <c r="H36" s="39">
        <v>-2980.23</v>
      </c>
      <c r="I36" s="39">
        <v>-1827.63</v>
      </c>
      <c r="J36" s="39">
        <v>-519.54</v>
      </c>
      <c r="K36" s="39">
        <v>-2264.37</v>
      </c>
      <c r="L36" s="39">
        <v>-1754.8</v>
      </c>
      <c r="M36" s="39">
        <v>-163.28</v>
      </c>
      <c r="N36" s="39">
        <v>-450.85</v>
      </c>
      <c r="O36" s="39">
        <v>-1247.54</v>
      </c>
      <c r="P36" s="39">
        <v>-1247.17</v>
      </c>
      <c r="Q36" s="39">
        <v>-1246.8800000000001</v>
      </c>
      <c r="R36" s="39">
        <v>-1247.8499999999999</v>
      </c>
      <c r="S36" s="39">
        <v>-1246.8599999999999</v>
      </c>
      <c r="T36" s="39">
        <f t="shared" ref="T36:T65" si="2">SUM(H36:S36)</f>
        <v>-16197.000000000002</v>
      </c>
    </row>
    <row r="37" spans="1:20">
      <c r="A37" t="s">
        <v>239</v>
      </c>
      <c r="B37" t="s">
        <v>239</v>
      </c>
      <c r="C37" t="s">
        <v>284</v>
      </c>
      <c r="D37" t="s">
        <v>329</v>
      </c>
      <c r="E37" s="39" t="s">
        <v>285</v>
      </c>
      <c r="F37" s="39" t="s">
        <v>286</v>
      </c>
      <c r="G37" s="39" t="s">
        <v>377</v>
      </c>
      <c r="H37" s="39">
        <v>6507</v>
      </c>
      <c r="I37" s="39">
        <v>-17053</v>
      </c>
      <c r="J37" s="39">
        <v>-11356</v>
      </c>
      <c r="K37" s="39">
        <v>-64770</v>
      </c>
      <c r="L37" s="39">
        <v>-1455</v>
      </c>
      <c r="M37" s="39">
        <v>-10546</v>
      </c>
      <c r="N37" s="39">
        <v>-9797</v>
      </c>
      <c r="O37" s="39">
        <v>-6321</v>
      </c>
      <c r="P37" s="39">
        <v>3371</v>
      </c>
      <c r="Q37" s="39">
        <v>21067</v>
      </c>
      <c r="R37" s="39">
        <v>-6321</v>
      </c>
      <c r="S37" s="39">
        <v>6320</v>
      </c>
      <c r="T37" s="39">
        <f t="shared" si="2"/>
        <v>-90354</v>
      </c>
    </row>
    <row r="38" spans="1:20">
      <c r="A38" t="s">
        <v>239</v>
      </c>
      <c r="B38" t="s">
        <v>239</v>
      </c>
      <c r="C38" t="s">
        <v>240</v>
      </c>
      <c r="D38" t="s">
        <v>289</v>
      </c>
      <c r="E38" s="39" t="s">
        <v>241</v>
      </c>
      <c r="F38" s="39" t="s">
        <v>242</v>
      </c>
      <c r="G38" s="39" t="s">
        <v>377</v>
      </c>
      <c r="H38" s="39">
        <v>14324.02</v>
      </c>
      <c r="I38" s="39">
        <v>12291.55</v>
      </c>
      <c r="J38" s="39">
        <v>13694.92</v>
      </c>
      <c r="K38" s="39">
        <v>13114.22</v>
      </c>
      <c r="L38" s="39">
        <v>14565.98</v>
      </c>
      <c r="M38" s="39">
        <v>12823.87</v>
      </c>
      <c r="N38" s="39">
        <v>13065.83</v>
      </c>
      <c r="O38" s="39">
        <v>15388.64</v>
      </c>
      <c r="P38" s="39">
        <v>12436.73</v>
      </c>
      <c r="Q38" s="39">
        <v>14856.33</v>
      </c>
      <c r="R38" s="39">
        <v>13065.83</v>
      </c>
      <c r="S38" s="39">
        <v>11372.11</v>
      </c>
      <c r="T38" s="39">
        <f t="shared" si="2"/>
        <v>161000.02999999997</v>
      </c>
    </row>
    <row r="39" spans="1:20">
      <c r="A39" t="s">
        <v>239</v>
      </c>
      <c r="B39" t="s">
        <v>239</v>
      </c>
      <c r="C39" t="s">
        <v>240</v>
      </c>
      <c r="D39" t="s">
        <v>289</v>
      </c>
      <c r="E39" s="39" t="s">
        <v>247</v>
      </c>
      <c r="F39" s="39" t="s">
        <v>242</v>
      </c>
      <c r="G39" s="39" t="s">
        <v>377</v>
      </c>
      <c r="H39" s="39">
        <v>3113.92</v>
      </c>
      <c r="I39" s="39">
        <v>2672.08</v>
      </c>
      <c r="J39" s="39">
        <v>2977.16</v>
      </c>
      <c r="K39" s="39">
        <v>2850.92</v>
      </c>
      <c r="L39" s="39">
        <v>3166.52</v>
      </c>
      <c r="M39" s="39">
        <v>2787.8</v>
      </c>
      <c r="N39" s="39">
        <v>2840.4</v>
      </c>
      <c r="O39" s="39">
        <v>3345.36</v>
      </c>
      <c r="P39" s="39">
        <v>2703.64</v>
      </c>
      <c r="Q39" s="39">
        <v>3229.64</v>
      </c>
      <c r="R39" s="39">
        <v>2840.4</v>
      </c>
      <c r="S39" s="39">
        <v>2472.1999999999998</v>
      </c>
      <c r="T39" s="39">
        <f t="shared" si="2"/>
        <v>35000.04</v>
      </c>
    </row>
    <row r="40" spans="1:20">
      <c r="A40" t="s">
        <v>239</v>
      </c>
      <c r="B40" t="s">
        <v>239</v>
      </c>
      <c r="C40" t="s">
        <v>240</v>
      </c>
      <c r="D40" t="s">
        <v>288</v>
      </c>
      <c r="E40" s="39" t="s">
        <v>241</v>
      </c>
      <c r="F40" s="39" t="s">
        <v>242</v>
      </c>
      <c r="G40" s="39" t="s">
        <v>377</v>
      </c>
      <c r="H40" s="39">
        <v>6850.62</v>
      </c>
      <c r="I40" s="39">
        <v>5878.57</v>
      </c>
      <c r="J40" s="39">
        <v>6549.74</v>
      </c>
      <c r="K40" s="39">
        <v>6272.02</v>
      </c>
      <c r="L40" s="39">
        <v>6966.34</v>
      </c>
      <c r="M40" s="39">
        <v>6133.15</v>
      </c>
      <c r="N40" s="39">
        <v>6248.87</v>
      </c>
      <c r="O40" s="39">
        <v>7359.78</v>
      </c>
      <c r="P40" s="39">
        <v>5948</v>
      </c>
      <c r="Q40" s="39">
        <v>7105.2</v>
      </c>
      <c r="R40" s="39">
        <v>6248.87</v>
      </c>
      <c r="S40" s="39">
        <v>5438.83</v>
      </c>
      <c r="T40" s="39">
        <f t="shared" si="2"/>
        <v>76999.990000000005</v>
      </c>
    </row>
    <row r="41" spans="1:20">
      <c r="A41" t="s">
        <v>239</v>
      </c>
      <c r="B41" t="s">
        <v>239</v>
      </c>
      <c r="C41" t="s">
        <v>240</v>
      </c>
      <c r="D41" t="s">
        <v>288</v>
      </c>
      <c r="E41" s="39" t="s">
        <v>247</v>
      </c>
      <c r="F41" s="39" t="s">
        <v>242</v>
      </c>
      <c r="G41" s="39" t="s">
        <v>377</v>
      </c>
      <c r="H41" s="39">
        <v>533.80999999999995</v>
      </c>
      <c r="I41" s="39">
        <v>458.07</v>
      </c>
      <c r="J41" s="39">
        <v>510.37</v>
      </c>
      <c r="K41" s="39">
        <v>488.73</v>
      </c>
      <c r="L41" s="39">
        <v>542.83000000000004</v>
      </c>
      <c r="M41" s="39">
        <v>477.91</v>
      </c>
      <c r="N41" s="39">
        <v>486.93</v>
      </c>
      <c r="O41" s="39">
        <v>573.49</v>
      </c>
      <c r="P41" s="39">
        <v>463.48</v>
      </c>
      <c r="Q41" s="39">
        <v>553.65</v>
      </c>
      <c r="R41" s="39">
        <v>486.93</v>
      </c>
      <c r="S41" s="39">
        <v>423.81</v>
      </c>
      <c r="T41" s="39">
        <f t="shared" si="2"/>
        <v>6000.0099999999993</v>
      </c>
    </row>
    <row r="42" spans="1:20">
      <c r="A42" t="s">
        <v>239</v>
      </c>
      <c r="B42" t="s">
        <v>239</v>
      </c>
      <c r="C42" t="s">
        <v>240</v>
      </c>
      <c r="D42" t="s">
        <v>249</v>
      </c>
      <c r="E42" s="39" t="s">
        <v>241</v>
      </c>
      <c r="F42" s="39" t="s">
        <v>242</v>
      </c>
      <c r="G42" s="39" t="s">
        <v>377</v>
      </c>
      <c r="H42" s="39">
        <v>4867.08</v>
      </c>
      <c r="I42" s="39">
        <v>4071.75</v>
      </c>
      <c r="J42" s="39">
        <v>4420.2700000000004</v>
      </c>
      <c r="K42" s="39">
        <v>4178.72</v>
      </c>
      <c r="L42" s="39">
        <v>4598.88</v>
      </c>
      <c r="M42" s="39">
        <v>4183.21</v>
      </c>
      <c r="N42" s="39">
        <v>4265.7700000000004</v>
      </c>
      <c r="O42" s="39">
        <v>5023.2</v>
      </c>
      <c r="P42" s="39">
        <v>4395.2</v>
      </c>
      <c r="Q42" s="39">
        <v>4711.3</v>
      </c>
      <c r="R42" s="39">
        <v>4374.33</v>
      </c>
      <c r="S42" s="39">
        <v>3980.19</v>
      </c>
      <c r="T42" s="39">
        <f t="shared" si="2"/>
        <v>53069.9</v>
      </c>
    </row>
    <row r="43" spans="1:20">
      <c r="A43" t="s">
        <v>239</v>
      </c>
      <c r="B43" t="s">
        <v>239</v>
      </c>
      <c r="C43" t="s">
        <v>240</v>
      </c>
      <c r="D43" t="s">
        <v>249</v>
      </c>
      <c r="E43" s="39" t="s">
        <v>247</v>
      </c>
      <c r="F43" s="39" t="s">
        <v>242</v>
      </c>
      <c r="G43" s="39" t="s">
        <v>377</v>
      </c>
      <c r="H43" s="39">
        <v>1303.3399999999999</v>
      </c>
      <c r="I43" s="39">
        <v>1069.1300000000001</v>
      </c>
      <c r="J43" s="39">
        <v>1136.43</v>
      </c>
      <c r="K43" s="39">
        <v>1062.78</v>
      </c>
      <c r="L43" s="39">
        <v>1160.46</v>
      </c>
      <c r="M43" s="39">
        <v>1084.9000000000001</v>
      </c>
      <c r="N43" s="39">
        <v>1107.07</v>
      </c>
      <c r="O43" s="39">
        <v>1303.45</v>
      </c>
      <c r="P43" s="39">
        <v>1211.3399999999999</v>
      </c>
      <c r="Q43" s="39">
        <v>1193.3599999999999</v>
      </c>
      <c r="R43" s="39">
        <v>1158.1600000000001</v>
      </c>
      <c r="S43" s="39">
        <v>1089.4000000000001</v>
      </c>
      <c r="T43" s="39">
        <f t="shared" si="2"/>
        <v>13879.820000000002</v>
      </c>
    </row>
    <row r="44" spans="1:20">
      <c r="A44" t="s">
        <v>239</v>
      </c>
      <c r="B44" t="s">
        <v>239</v>
      </c>
      <c r="C44" t="s">
        <v>240</v>
      </c>
      <c r="D44" t="s">
        <v>290</v>
      </c>
      <c r="E44" s="39" t="s">
        <v>241</v>
      </c>
      <c r="F44" s="39" t="s">
        <v>242</v>
      </c>
      <c r="G44" s="39" t="s">
        <v>377</v>
      </c>
      <c r="H44" s="39">
        <v>3815.35</v>
      </c>
      <c r="I44" s="39">
        <v>3273.97</v>
      </c>
      <c r="J44" s="39">
        <v>3647.78</v>
      </c>
      <c r="K44" s="39">
        <v>3493.1</v>
      </c>
      <c r="L44" s="39">
        <v>3879.79</v>
      </c>
      <c r="M44" s="39">
        <v>3415.76</v>
      </c>
      <c r="N44" s="39">
        <v>3480.22</v>
      </c>
      <c r="O44" s="39">
        <v>4098.92</v>
      </c>
      <c r="P44" s="39">
        <v>3312.65</v>
      </c>
      <c r="Q44" s="39">
        <v>3957.14</v>
      </c>
      <c r="R44" s="39">
        <v>3480.22</v>
      </c>
      <c r="S44" s="39">
        <v>3029.07</v>
      </c>
      <c r="T44" s="39">
        <f t="shared" si="2"/>
        <v>42883.97</v>
      </c>
    </row>
    <row r="45" spans="1:20">
      <c r="A45" t="s">
        <v>239</v>
      </c>
      <c r="B45" t="s">
        <v>239</v>
      </c>
      <c r="C45" t="s">
        <v>240</v>
      </c>
      <c r="D45" t="s">
        <v>290</v>
      </c>
      <c r="E45" s="39" t="s">
        <v>247</v>
      </c>
      <c r="F45" s="39" t="s">
        <v>242</v>
      </c>
      <c r="G45" s="39" t="s">
        <v>377</v>
      </c>
      <c r="H45" s="39">
        <v>829.42</v>
      </c>
      <c r="I45" s="39">
        <v>711.74</v>
      </c>
      <c r="J45" s="39">
        <v>792.99</v>
      </c>
      <c r="K45" s="39">
        <v>759.37</v>
      </c>
      <c r="L45" s="39">
        <v>843.43</v>
      </c>
      <c r="M45" s="39">
        <v>742.56</v>
      </c>
      <c r="N45" s="39">
        <v>756.57</v>
      </c>
      <c r="O45" s="39">
        <v>891.07</v>
      </c>
      <c r="P45" s="39">
        <v>720.14</v>
      </c>
      <c r="Q45" s="39">
        <v>860.25</v>
      </c>
      <c r="R45" s="39">
        <v>756.57</v>
      </c>
      <c r="S45" s="39">
        <v>658.49</v>
      </c>
      <c r="T45" s="39">
        <f t="shared" si="2"/>
        <v>9322.5999999999985</v>
      </c>
    </row>
    <row r="46" spans="1:20">
      <c r="A46" t="s">
        <v>239</v>
      </c>
      <c r="B46" t="s">
        <v>239</v>
      </c>
      <c r="C46" t="s">
        <v>240</v>
      </c>
      <c r="D46" t="s">
        <v>328</v>
      </c>
      <c r="E46" s="39" t="s">
        <v>241</v>
      </c>
      <c r="F46" s="39" t="s">
        <v>242</v>
      </c>
      <c r="G46" s="39" t="s">
        <v>377</v>
      </c>
      <c r="H46" s="39">
        <v>57474</v>
      </c>
      <c r="I46" s="39">
        <v>49318.91</v>
      </c>
      <c r="J46" s="39">
        <v>54949.8</v>
      </c>
      <c r="K46" s="39">
        <v>52619.78</v>
      </c>
      <c r="L46" s="39">
        <v>58444.85</v>
      </c>
      <c r="M46" s="39">
        <v>51454.76</v>
      </c>
      <c r="N46" s="39">
        <v>52425.61</v>
      </c>
      <c r="O46" s="39">
        <v>61745.72</v>
      </c>
      <c r="P46" s="39">
        <v>49901.41</v>
      </c>
      <c r="Q46" s="39">
        <v>59609.86</v>
      </c>
      <c r="R46" s="39">
        <v>52425.61</v>
      </c>
      <c r="S46" s="39">
        <v>45629.7</v>
      </c>
      <c r="T46" s="39">
        <f t="shared" si="2"/>
        <v>646000.01</v>
      </c>
    </row>
    <row r="47" spans="1:20">
      <c r="A47" t="s">
        <v>239</v>
      </c>
      <c r="B47" t="s">
        <v>239</v>
      </c>
      <c r="C47" t="s">
        <v>240</v>
      </c>
      <c r="D47" t="s">
        <v>328</v>
      </c>
      <c r="E47" s="39" t="s">
        <v>247</v>
      </c>
      <c r="F47" s="39" t="s">
        <v>242</v>
      </c>
      <c r="G47" s="39" t="s">
        <v>377</v>
      </c>
      <c r="H47" s="39">
        <v>10676.28</v>
      </c>
      <c r="I47" s="39">
        <v>9161.41</v>
      </c>
      <c r="J47" s="39">
        <v>10207.39</v>
      </c>
      <c r="K47" s="39">
        <v>9774.57</v>
      </c>
      <c r="L47" s="39">
        <v>10856.63</v>
      </c>
      <c r="M47" s="39">
        <v>9558.16</v>
      </c>
      <c r="N47" s="39">
        <v>9738.5</v>
      </c>
      <c r="O47" s="39">
        <v>11469.79</v>
      </c>
      <c r="P47" s="39">
        <v>9269.61</v>
      </c>
      <c r="Q47" s="39">
        <v>11073.04</v>
      </c>
      <c r="R47" s="39">
        <v>9738.5</v>
      </c>
      <c r="S47" s="39">
        <v>8476.1</v>
      </c>
      <c r="T47" s="39">
        <f t="shared" si="2"/>
        <v>119999.98000000001</v>
      </c>
    </row>
    <row r="48" spans="1:20">
      <c r="A48" t="s">
        <v>239</v>
      </c>
      <c r="B48" t="s">
        <v>239</v>
      </c>
      <c r="C48" t="s">
        <v>240</v>
      </c>
      <c r="D48" t="s">
        <v>329</v>
      </c>
      <c r="E48" s="39" t="s">
        <v>285</v>
      </c>
      <c r="F48" s="39" t="s">
        <v>331</v>
      </c>
      <c r="G48" s="39" t="s">
        <v>377</v>
      </c>
      <c r="H48" s="39">
        <v>-10480.950000000001</v>
      </c>
      <c r="I48" s="39">
        <v>-29094.26</v>
      </c>
      <c r="J48" s="39">
        <v>-21165.119999999999</v>
      </c>
      <c r="K48" s="39">
        <v>-14892.35</v>
      </c>
      <c r="L48" s="39">
        <v>-7095.27</v>
      </c>
      <c r="M48" s="39">
        <v>-11080.97</v>
      </c>
      <c r="N48" s="39">
        <v>-8573.2900000000009</v>
      </c>
      <c r="O48" s="39">
        <v>-12642.36</v>
      </c>
      <c r="P48" s="39">
        <v>-12640.45</v>
      </c>
      <c r="Q48" s="39">
        <v>-12639.65</v>
      </c>
      <c r="R48" s="39">
        <v>-12642.29</v>
      </c>
      <c r="S48" s="39">
        <v>-12640.05</v>
      </c>
      <c r="T48" s="39">
        <f t="shared" si="2"/>
        <v>-165587.01</v>
      </c>
    </row>
    <row r="49" spans="1:20">
      <c r="A49" t="s">
        <v>239</v>
      </c>
      <c r="B49" t="s">
        <v>239</v>
      </c>
      <c r="C49" t="s">
        <v>240</v>
      </c>
      <c r="D49" t="s">
        <v>248</v>
      </c>
      <c r="E49" s="39" t="s">
        <v>241</v>
      </c>
      <c r="F49" s="39" t="s">
        <v>242</v>
      </c>
      <c r="G49" s="39" t="s">
        <v>377</v>
      </c>
      <c r="H49" s="39">
        <v>3559.57</v>
      </c>
      <c r="I49" s="39">
        <v>2669.68</v>
      </c>
      <c r="J49" s="39">
        <v>2546.9299999999998</v>
      </c>
      <c r="K49" s="39">
        <v>2240.0700000000002</v>
      </c>
      <c r="L49" s="39">
        <v>2332.13</v>
      </c>
      <c r="M49" s="39">
        <v>2546.9299999999998</v>
      </c>
      <c r="N49" s="39">
        <v>2608.3000000000002</v>
      </c>
      <c r="O49" s="39">
        <v>3068.59</v>
      </c>
      <c r="P49" s="39">
        <v>3713</v>
      </c>
      <c r="Q49" s="39">
        <v>2454.87</v>
      </c>
      <c r="R49" s="39">
        <v>3007.22</v>
      </c>
      <c r="S49" s="39">
        <v>3252.71</v>
      </c>
      <c r="T49" s="39">
        <f t="shared" si="2"/>
        <v>34000</v>
      </c>
    </row>
    <row r="50" spans="1:20">
      <c r="A50" t="s">
        <v>239</v>
      </c>
      <c r="B50" t="s">
        <v>239</v>
      </c>
      <c r="C50" t="s">
        <v>240</v>
      </c>
      <c r="D50" t="s">
        <v>248</v>
      </c>
      <c r="E50" s="39" t="s">
        <v>247</v>
      </c>
      <c r="F50" s="39" t="s">
        <v>242</v>
      </c>
      <c r="G50" s="39" t="s">
        <v>377</v>
      </c>
      <c r="H50" s="39">
        <v>1675.09</v>
      </c>
      <c r="I50" s="39">
        <v>1256.32</v>
      </c>
      <c r="J50" s="39">
        <v>1198.56</v>
      </c>
      <c r="K50" s="39">
        <v>1054.1500000000001</v>
      </c>
      <c r="L50" s="39">
        <v>1097.47</v>
      </c>
      <c r="M50" s="39">
        <v>1198.56</v>
      </c>
      <c r="N50" s="39">
        <v>1227.44</v>
      </c>
      <c r="O50" s="39">
        <v>1444.04</v>
      </c>
      <c r="P50" s="39">
        <v>1747.29</v>
      </c>
      <c r="Q50" s="39">
        <v>1155.23</v>
      </c>
      <c r="R50" s="39">
        <v>1415.16</v>
      </c>
      <c r="S50" s="39">
        <v>1530.69</v>
      </c>
      <c r="T50" s="39">
        <f t="shared" si="2"/>
        <v>16000.000000000002</v>
      </c>
    </row>
    <row r="51" spans="1:20">
      <c r="A51" t="s">
        <v>239</v>
      </c>
      <c r="B51" t="s">
        <v>239</v>
      </c>
      <c r="C51" t="s">
        <v>240</v>
      </c>
      <c r="D51" t="s">
        <v>250</v>
      </c>
      <c r="E51" s="39" t="s">
        <v>241</v>
      </c>
      <c r="F51" s="39" t="s">
        <v>242</v>
      </c>
      <c r="G51" s="39" t="s">
        <v>377</v>
      </c>
      <c r="H51" s="39">
        <v>317.23</v>
      </c>
      <c r="I51" s="39">
        <v>237.92</v>
      </c>
      <c r="J51" s="39">
        <v>226.98</v>
      </c>
      <c r="K51" s="39">
        <v>199.64</v>
      </c>
      <c r="L51" s="39">
        <v>207.84</v>
      </c>
      <c r="M51" s="39">
        <v>226.98</v>
      </c>
      <c r="N51" s="39">
        <v>232.45</v>
      </c>
      <c r="O51" s="39">
        <v>273.47000000000003</v>
      </c>
      <c r="P51" s="39">
        <v>330.9</v>
      </c>
      <c r="Q51" s="39">
        <v>218.78</v>
      </c>
      <c r="R51" s="39">
        <v>268</v>
      </c>
      <c r="S51" s="39">
        <v>289.88</v>
      </c>
      <c r="T51" s="39">
        <f t="shared" si="2"/>
        <v>3030.07</v>
      </c>
    </row>
    <row r="52" spans="1:20">
      <c r="A52" t="s">
        <v>239</v>
      </c>
      <c r="B52" t="s">
        <v>239</v>
      </c>
      <c r="C52" t="s">
        <v>240</v>
      </c>
      <c r="D52" t="s">
        <v>250</v>
      </c>
      <c r="E52" s="39" t="s">
        <v>247</v>
      </c>
      <c r="F52" s="39" t="s">
        <v>242</v>
      </c>
      <c r="G52" s="39" t="s">
        <v>377</v>
      </c>
      <c r="H52" s="39">
        <v>149.28</v>
      </c>
      <c r="I52" s="39">
        <v>111.96</v>
      </c>
      <c r="J52" s="39">
        <v>106.82</v>
      </c>
      <c r="K52" s="39">
        <v>93.95</v>
      </c>
      <c r="L52" s="39">
        <v>97.81</v>
      </c>
      <c r="M52" s="39">
        <v>106.82</v>
      </c>
      <c r="N52" s="39">
        <v>109.39</v>
      </c>
      <c r="O52" s="39">
        <v>128.69</v>
      </c>
      <c r="P52" s="39">
        <v>155.72</v>
      </c>
      <c r="Q52" s="39">
        <v>102.95</v>
      </c>
      <c r="R52" s="39">
        <v>126.12</v>
      </c>
      <c r="S52" s="39">
        <v>136.41999999999999</v>
      </c>
      <c r="T52" s="39">
        <f t="shared" si="2"/>
        <v>1425.9299999999998</v>
      </c>
    </row>
    <row r="53" spans="1:20">
      <c r="A53" t="s">
        <v>239</v>
      </c>
      <c r="B53" t="s">
        <v>239</v>
      </c>
      <c r="C53" t="s">
        <v>291</v>
      </c>
      <c r="D53" t="s">
        <v>329</v>
      </c>
      <c r="E53" s="39" t="s">
        <v>285</v>
      </c>
      <c r="F53" s="39" t="s">
        <v>332</v>
      </c>
      <c r="G53" s="39" t="s">
        <v>377</v>
      </c>
      <c r="H53" s="39">
        <v>26.54</v>
      </c>
      <c r="I53" s="39">
        <v>-1720.82</v>
      </c>
      <c r="J53" s="39">
        <v>-0.08</v>
      </c>
      <c r="K53" s="39">
        <v>-4588.18</v>
      </c>
      <c r="L53" s="39">
        <v>-289.92</v>
      </c>
      <c r="M53" s="39">
        <v>-15.23</v>
      </c>
      <c r="N53" s="39">
        <v>-256.69</v>
      </c>
      <c r="O53" s="39">
        <v>-0.28000000000000003</v>
      </c>
      <c r="P53" s="39">
        <v>-0.3</v>
      </c>
      <c r="Q53" s="39">
        <v>0.13</v>
      </c>
      <c r="R53" s="39">
        <v>0.31</v>
      </c>
      <c r="S53" s="39">
        <v>-0.49</v>
      </c>
      <c r="T53" s="39">
        <f t="shared" si="2"/>
        <v>-6845.0099999999984</v>
      </c>
    </row>
    <row r="54" spans="1:20">
      <c r="A54" t="s">
        <v>239</v>
      </c>
      <c r="B54" t="s">
        <v>239</v>
      </c>
      <c r="C54" t="s">
        <v>333</v>
      </c>
      <c r="D54" t="s">
        <v>329</v>
      </c>
      <c r="E54" s="39" t="s">
        <v>285</v>
      </c>
      <c r="F54" s="39" t="s">
        <v>334</v>
      </c>
      <c r="G54" s="39" t="s">
        <v>377</v>
      </c>
      <c r="H54" s="39">
        <v>27645</v>
      </c>
      <c r="I54" s="39">
        <v>16929</v>
      </c>
      <c r="J54" s="39">
        <v>26328</v>
      </c>
      <c r="K54" s="39">
        <v>21264</v>
      </c>
      <c r="L54" s="39">
        <v>32600</v>
      </c>
      <c r="M54" s="39">
        <v>26306</v>
      </c>
      <c r="N54" s="39">
        <v>12291</v>
      </c>
      <c r="O54" s="39">
        <v>24863</v>
      </c>
      <c r="P54" s="39">
        <v>24859</v>
      </c>
      <c r="Q54" s="39">
        <v>24859</v>
      </c>
      <c r="R54" s="39">
        <v>24863</v>
      </c>
      <c r="S54" s="39">
        <v>24858</v>
      </c>
      <c r="T54" s="39">
        <f t="shared" si="2"/>
        <v>287665</v>
      </c>
    </row>
    <row r="55" spans="1:20">
      <c r="A55" t="s">
        <v>239</v>
      </c>
      <c r="B55" t="s">
        <v>239</v>
      </c>
      <c r="C55" t="s">
        <v>335</v>
      </c>
      <c r="D55" t="s">
        <v>329</v>
      </c>
      <c r="E55" s="39" t="s">
        <v>285</v>
      </c>
      <c r="F55" s="39" t="s">
        <v>336</v>
      </c>
      <c r="G55" s="39" t="s">
        <v>377</v>
      </c>
      <c r="H55" s="39">
        <v>-3546.02</v>
      </c>
      <c r="I55" s="39">
        <v>-5635.08</v>
      </c>
      <c r="J55" s="39">
        <v>-10522.94</v>
      </c>
      <c r="K55" s="39">
        <v>-7520.1</v>
      </c>
      <c r="L55" s="39">
        <v>-7208.2</v>
      </c>
      <c r="M55" s="39">
        <v>-6340.69</v>
      </c>
      <c r="N55" s="39">
        <v>-3307.87</v>
      </c>
      <c r="O55" s="39">
        <v>-6321.22</v>
      </c>
      <c r="P55" s="39">
        <v>-6319.79</v>
      </c>
      <c r="Q55" s="39">
        <v>-6319.62</v>
      </c>
      <c r="R55" s="39">
        <v>-6320.87</v>
      </c>
      <c r="S55" s="39">
        <v>-6319.59</v>
      </c>
      <c r="T55" s="39">
        <f t="shared" si="2"/>
        <v>-75681.990000000005</v>
      </c>
    </row>
    <row r="56" spans="1:20">
      <c r="A56" t="s">
        <v>243</v>
      </c>
      <c r="B56" t="s">
        <v>287</v>
      </c>
      <c r="C56" t="s">
        <v>240</v>
      </c>
      <c r="D56" t="s">
        <v>289</v>
      </c>
      <c r="E56" s="39" t="s">
        <v>244</v>
      </c>
      <c r="F56" s="39" t="s">
        <v>242</v>
      </c>
      <c r="G56" s="39" t="s">
        <v>377</v>
      </c>
      <c r="H56" s="39">
        <v>3000</v>
      </c>
      <c r="I56" s="39">
        <v>1000</v>
      </c>
      <c r="J56" s="39">
        <v>2000</v>
      </c>
      <c r="K56" s="39">
        <v>1000</v>
      </c>
      <c r="L56" s="39">
        <v>1000</v>
      </c>
      <c r="M56" s="39">
        <v>0</v>
      </c>
      <c r="N56" s="39">
        <v>1000</v>
      </c>
      <c r="O56" s="39">
        <v>0</v>
      </c>
      <c r="P56" s="39">
        <v>1000</v>
      </c>
      <c r="Q56" s="39">
        <v>1000</v>
      </c>
      <c r="R56" s="39">
        <v>1000</v>
      </c>
      <c r="S56" s="39">
        <v>1000</v>
      </c>
      <c r="T56" s="39">
        <f t="shared" si="2"/>
        <v>13000</v>
      </c>
    </row>
    <row r="57" spans="1:20">
      <c r="A57" t="s">
        <v>243</v>
      </c>
      <c r="B57" t="s">
        <v>287</v>
      </c>
      <c r="C57" t="s">
        <v>240</v>
      </c>
      <c r="D57" t="s">
        <v>236</v>
      </c>
      <c r="E57" s="39" t="s">
        <v>244</v>
      </c>
      <c r="F57" s="39" t="s">
        <v>242</v>
      </c>
      <c r="G57" s="39" t="s">
        <v>377</v>
      </c>
      <c r="H57" s="39">
        <v>3000</v>
      </c>
      <c r="I57" s="39">
        <v>3000</v>
      </c>
      <c r="J57" s="39">
        <v>1000</v>
      </c>
      <c r="K57" s="39">
        <v>3000</v>
      </c>
      <c r="L57" s="39">
        <v>3000</v>
      </c>
      <c r="M57" s="39">
        <v>3000</v>
      </c>
      <c r="N57" s="39">
        <v>1000</v>
      </c>
      <c r="O57" s="39">
        <v>3000</v>
      </c>
      <c r="P57" s="39">
        <v>3000</v>
      </c>
      <c r="Q57" s="39">
        <v>1000</v>
      </c>
      <c r="R57" s="39">
        <v>3000</v>
      </c>
      <c r="S57" s="39">
        <v>3000</v>
      </c>
      <c r="T57" s="39">
        <f t="shared" si="2"/>
        <v>30000</v>
      </c>
    </row>
    <row r="58" spans="1:20">
      <c r="A58" t="s">
        <v>243</v>
      </c>
      <c r="B58" t="s">
        <v>287</v>
      </c>
      <c r="C58" t="s">
        <v>240</v>
      </c>
      <c r="D58" t="s">
        <v>288</v>
      </c>
      <c r="E58" s="39" t="s">
        <v>244</v>
      </c>
      <c r="F58" s="39" t="s">
        <v>242</v>
      </c>
      <c r="G58" s="39" t="s">
        <v>377</v>
      </c>
      <c r="H58" s="39">
        <v>1000</v>
      </c>
      <c r="I58" s="39">
        <v>0</v>
      </c>
      <c r="J58" s="39">
        <v>1000</v>
      </c>
      <c r="K58" s="39">
        <v>0</v>
      </c>
      <c r="L58" s="39">
        <v>0</v>
      </c>
      <c r="M58" s="39">
        <v>1000</v>
      </c>
      <c r="N58" s="39">
        <v>1000</v>
      </c>
      <c r="O58" s="39">
        <v>0</v>
      </c>
      <c r="P58" s="39">
        <v>0</v>
      </c>
      <c r="Q58" s="39">
        <v>1000</v>
      </c>
      <c r="R58" s="39">
        <v>0</v>
      </c>
      <c r="S58" s="39">
        <v>0</v>
      </c>
      <c r="T58" s="39">
        <f t="shared" si="2"/>
        <v>5000</v>
      </c>
    </row>
    <row r="59" spans="1:20">
      <c r="A59" t="s">
        <v>243</v>
      </c>
      <c r="B59" t="s">
        <v>287</v>
      </c>
      <c r="C59" t="s">
        <v>240</v>
      </c>
      <c r="D59" t="s">
        <v>249</v>
      </c>
      <c r="E59" s="39" t="s">
        <v>244</v>
      </c>
      <c r="F59" s="39" t="s">
        <v>242</v>
      </c>
      <c r="G59" s="39" t="s">
        <v>377</v>
      </c>
      <c r="H59" s="39">
        <v>358</v>
      </c>
      <c r="I59" s="39">
        <v>119</v>
      </c>
      <c r="J59" s="39">
        <v>239</v>
      </c>
      <c r="K59" s="39">
        <v>119</v>
      </c>
      <c r="L59" s="39">
        <v>119</v>
      </c>
      <c r="M59" s="39">
        <v>0</v>
      </c>
      <c r="N59" s="39">
        <v>119</v>
      </c>
      <c r="O59" s="39">
        <v>0</v>
      </c>
      <c r="P59" s="39">
        <v>119</v>
      </c>
      <c r="Q59" s="39">
        <v>119</v>
      </c>
      <c r="R59" s="39">
        <v>119</v>
      </c>
      <c r="S59" s="39">
        <v>119</v>
      </c>
      <c r="T59" s="39">
        <f t="shared" si="2"/>
        <v>1549</v>
      </c>
    </row>
    <row r="60" spans="1:20">
      <c r="A60" t="s">
        <v>243</v>
      </c>
      <c r="B60" t="s">
        <v>287</v>
      </c>
      <c r="C60" t="s">
        <v>240</v>
      </c>
      <c r="D60" t="s">
        <v>290</v>
      </c>
      <c r="E60" s="39" t="s">
        <v>244</v>
      </c>
      <c r="F60" s="39" t="s">
        <v>242</v>
      </c>
      <c r="G60" s="39" t="s">
        <v>377</v>
      </c>
      <c r="H60" s="39">
        <v>799.08</v>
      </c>
      <c r="I60" s="39">
        <v>266.36</v>
      </c>
      <c r="J60" s="39">
        <v>532.72</v>
      </c>
      <c r="K60" s="39">
        <v>266.36</v>
      </c>
      <c r="L60" s="39">
        <v>266.36</v>
      </c>
      <c r="M60" s="39">
        <v>0</v>
      </c>
      <c r="N60" s="39">
        <v>266.36</v>
      </c>
      <c r="O60" s="39">
        <v>0</v>
      </c>
      <c r="P60" s="39">
        <v>266.36</v>
      </c>
      <c r="Q60" s="39">
        <v>266.36</v>
      </c>
      <c r="R60" s="39">
        <v>266.36</v>
      </c>
      <c r="S60" s="39">
        <v>266.36</v>
      </c>
      <c r="T60" s="39">
        <f t="shared" si="2"/>
        <v>3462.6800000000007</v>
      </c>
    </row>
    <row r="61" spans="1:20">
      <c r="A61" t="s">
        <v>245</v>
      </c>
      <c r="B61" t="s">
        <v>337</v>
      </c>
      <c r="C61" t="s">
        <v>240</v>
      </c>
      <c r="D61" t="s">
        <v>289</v>
      </c>
      <c r="E61" s="39" t="s">
        <v>246</v>
      </c>
      <c r="F61" s="39" t="s">
        <v>242</v>
      </c>
      <c r="G61" s="39" t="s">
        <v>377</v>
      </c>
      <c r="H61" s="39">
        <v>1000</v>
      </c>
      <c r="I61" s="39">
        <v>1000</v>
      </c>
      <c r="J61" s="39">
        <v>1000</v>
      </c>
      <c r="K61" s="39">
        <v>1000</v>
      </c>
      <c r="L61" s="39">
        <v>1000</v>
      </c>
      <c r="M61" s="39">
        <v>1000</v>
      </c>
      <c r="N61" s="39">
        <v>1000</v>
      </c>
      <c r="O61" s="39">
        <v>1000</v>
      </c>
      <c r="P61" s="39">
        <v>1000</v>
      </c>
      <c r="Q61" s="39">
        <v>1000</v>
      </c>
      <c r="R61" s="39">
        <v>1000</v>
      </c>
      <c r="S61" s="39">
        <v>1000</v>
      </c>
      <c r="T61" s="39">
        <f t="shared" si="2"/>
        <v>12000</v>
      </c>
    </row>
    <row r="62" spans="1:20">
      <c r="A62" t="s">
        <v>245</v>
      </c>
      <c r="B62" t="s">
        <v>337</v>
      </c>
      <c r="C62" t="s">
        <v>240</v>
      </c>
      <c r="D62" t="s">
        <v>288</v>
      </c>
      <c r="E62" s="39" t="s">
        <v>246</v>
      </c>
      <c r="F62" s="39" t="s">
        <v>242</v>
      </c>
      <c r="G62" s="39" t="s">
        <v>377</v>
      </c>
      <c r="H62" s="39">
        <v>0</v>
      </c>
      <c r="I62" s="39">
        <v>0</v>
      </c>
      <c r="J62" s="39">
        <v>1000</v>
      </c>
      <c r="K62" s="39">
        <v>0</v>
      </c>
      <c r="L62" s="39">
        <v>0</v>
      </c>
      <c r="M62" s="39">
        <v>1000</v>
      </c>
      <c r="N62" s="39">
        <v>0</v>
      </c>
      <c r="O62" s="39">
        <v>0</v>
      </c>
      <c r="P62" s="39">
        <v>1000</v>
      </c>
      <c r="Q62" s="39">
        <v>0</v>
      </c>
      <c r="R62" s="39">
        <v>0</v>
      </c>
      <c r="S62" s="39">
        <v>1000</v>
      </c>
      <c r="T62" s="39">
        <f t="shared" si="2"/>
        <v>4000</v>
      </c>
    </row>
    <row r="63" spans="1:20">
      <c r="A63" t="s">
        <v>245</v>
      </c>
      <c r="B63" t="s">
        <v>337</v>
      </c>
      <c r="C63" t="s">
        <v>240</v>
      </c>
      <c r="D63" t="s">
        <v>249</v>
      </c>
      <c r="E63" s="39" t="s">
        <v>246</v>
      </c>
      <c r="F63" s="39" t="s">
        <v>242</v>
      </c>
      <c r="G63" s="39" t="s">
        <v>377</v>
      </c>
      <c r="H63" s="39">
        <v>126.86</v>
      </c>
      <c r="I63" s="39">
        <v>126.86</v>
      </c>
      <c r="J63" s="39">
        <v>126.86</v>
      </c>
      <c r="K63" s="39">
        <v>126.86</v>
      </c>
      <c r="L63" s="39">
        <v>126.86</v>
      </c>
      <c r="M63" s="39">
        <v>126.86</v>
      </c>
      <c r="N63" s="39">
        <v>126.86</v>
      </c>
      <c r="O63" s="39">
        <v>126.86</v>
      </c>
      <c r="P63" s="39">
        <v>126.86</v>
      </c>
      <c r="Q63" s="39">
        <v>126.86</v>
      </c>
      <c r="R63" s="39">
        <v>126.86</v>
      </c>
      <c r="S63" s="39">
        <v>126.86</v>
      </c>
      <c r="T63" s="39">
        <f t="shared" si="2"/>
        <v>1522.3199999999997</v>
      </c>
    </row>
    <row r="64" spans="1:20">
      <c r="A64" t="s">
        <v>245</v>
      </c>
      <c r="B64" t="s">
        <v>337</v>
      </c>
      <c r="C64" t="s">
        <v>240</v>
      </c>
      <c r="D64" t="s">
        <v>290</v>
      </c>
      <c r="E64" s="39" t="s">
        <v>246</v>
      </c>
      <c r="F64" s="39" t="s">
        <v>242</v>
      </c>
      <c r="G64" s="39" t="s">
        <v>377</v>
      </c>
      <c r="H64" s="39">
        <v>266.36</v>
      </c>
      <c r="I64" s="39">
        <v>266.36</v>
      </c>
      <c r="J64" s="39">
        <v>266.36</v>
      </c>
      <c r="K64" s="39">
        <v>266.36</v>
      </c>
      <c r="L64" s="39">
        <v>266.36</v>
      </c>
      <c r="M64" s="39">
        <v>266.36</v>
      </c>
      <c r="N64" s="39">
        <v>266.36</v>
      </c>
      <c r="O64" s="39">
        <v>266.36</v>
      </c>
      <c r="P64" s="39">
        <v>266.36</v>
      </c>
      <c r="Q64" s="39">
        <v>266.36</v>
      </c>
      <c r="R64" s="39">
        <v>266.36</v>
      </c>
      <c r="S64" s="39">
        <v>266.36</v>
      </c>
      <c r="T64" s="39">
        <f t="shared" si="2"/>
        <v>3196.3200000000011</v>
      </c>
    </row>
    <row r="65" spans="1:20">
      <c r="A65" t="s">
        <v>338</v>
      </c>
      <c r="B65" t="s">
        <v>338</v>
      </c>
      <c r="C65" t="s">
        <v>339</v>
      </c>
      <c r="D65" t="s">
        <v>329</v>
      </c>
      <c r="E65" s="39" t="s">
        <v>340</v>
      </c>
      <c r="F65" s="39" t="s">
        <v>341</v>
      </c>
      <c r="G65" s="39" t="s">
        <v>377</v>
      </c>
      <c r="H65" s="220">
        <v>291728.99</v>
      </c>
      <c r="I65" s="220">
        <v>291728.99</v>
      </c>
      <c r="J65" s="220">
        <v>291728.99</v>
      </c>
      <c r="K65" s="220">
        <v>291728.99</v>
      </c>
      <c r="L65" s="220">
        <v>291728.99</v>
      </c>
      <c r="M65" s="220">
        <v>291728.99</v>
      </c>
      <c r="N65" s="220">
        <v>291728.99</v>
      </c>
      <c r="O65" s="220">
        <v>291728.99</v>
      </c>
      <c r="P65" s="220">
        <v>291728.99</v>
      </c>
      <c r="Q65" s="220">
        <v>291728.99</v>
      </c>
      <c r="R65" s="220">
        <v>291728.99</v>
      </c>
      <c r="S65" s="220">
        <v>291728.99</v>
      </c>
      <c r="T65" s="220">
        <f t="shared" si="2"/>
        <v>3500747.8800000008</v>
      </c>
    </row>
    <row r="66" spans="1:20">
      <c r="C66" s="4"/>
      <c r="D66" s="4" t="s">
        <v>378</v>
      </c>
      <c r="E66" s="196"/>
      <c r="F66" s="196"/>
      <c r="G66" s="196"/>
      <c r="H66" s="196">
        <f t="shared" ref="H66:T66" si="3">SUM(H35:H65)</f>
        <v>433939.63999999996</v>
      </c>
      <c r="I66" s="196">
        <f t="shared" si="3"/>
        <v>358288.83999999997</v>
      </c>
      <c r="J66" s="196">
        <f t="shared" si="3"/>
        <v>392624.39</v>
      </c>
      <c r="K66" s="196">
        <f t="shared" si="3"/>
        <v>333938.59000000003</v>
      </c>
      <c r="L66" s="196">
        <f t="shared" si="3"/>
        <v>433065.33999999997</v>
      </c>
      <c r="M66" s="196">
        <f t="shared" si="3"/>
        <v>406023.41</v>
      </c>
      <c r="N66" s="196">
        <f t="shared" si="3"/>
        <v>397006.22</v>
      </c>
      <c r="O66" s="196">
        <f t="shared" si="3"/>
        <v>424567.01999999996</v>
      </c>
      <c r="P66" s="196">
        <f t="shared" si="3"/>
        <v>413838.97</v>
      </c>
      <c r="Q66" s="196">
        <f t="shared" si="3"/>
        <v>444309.14999999997</v>
      </c>
      <c r="R66" s="196">
        <f t="shared" si="3"/>
        <v>406230.79</v>
      </c>
      <c r="S66" s="196">
        <f t="shared" si="3"/>
        <v>406258.18</v>
      </c>
      <c r="T66" s="196">
        <f t="shared" si="3"/>
        <v>4850090.540000001</v>
      </c>
    </row>
    <row r="68" spans="1:20">
      <c r="A68" t="s">
        <v>234</v>
      </c>
      <c r="B68" t="s">
        <v>234</v>
      </c>
      <c r="C68" t="s">
        <v>235</v>
      </c>
      <c r="D68" t="s">
        <v>328</v>
      </c>
      <c r="E68" s="39" t="s">
        <v>237</v>
      </c>
      <c r="F68" s="39" t="s">
        <v>238</v>
      </c>
      <c r="G68" s="39" t="s">
        <v>379</v>
      </c>
      <c r="H68" s="39">
        <v>6000</v>
      </c>
      <c r="I68" s="39">
        <v>6000</v>
      </c>
      <c r="J68" s="39">
        <v>8000</v>
      </c>
      <c r="K68" s="39">
        <v>11000</v>
      </c>
      <c r="L68" s="39">
        <v>12000</v>
      </c>
      <c r="M68" s="39">
        <v>13000</v>
      </c>
      <c r="N68" s="39">
        <v>13000</v>
      </c>
      <c r="O68" s="39">
        <v>16000</v>
      </c>
      <c r="P68" s="39">
        <v>11000</v>
      </c>
      <c r="Q68" s="39">
        <v>11000</v>
      </c>
      <c r="R68" s="39">
        <v>11000</v>
      </c>
      <c r="S68" s="39">
        <v>10000</v>
      </c>
      <c r="T68" s="39">
        <f>SUM(H68:S68)</f>
        <v>128000</v>
      </c>
    </row>
    <row r="69" spans="1:20">
      <c r="A69" t="s">
        <v>239</v>
      </c>
      <c r="B69" t="s">
        <v>239</v>
      </c>
      <c r="C69" t="s">
        <v>235</v>
      </c>
      <c r="D69" t="s">
        <v>329</v>
      </c>
      <c r="E69" s="39" t="s">
        <v>285</v>
      </c>
      <c r="F69" s="39" t="s">
        <v>330</v>
      </c>
      <c r="G69" s="39" t="s">
        <v>379</v>
      </c>
      <c r="H69" s="39">
        <v>-3068.61</v>
      </c>
      <c r="I69" s="39">
        <v>-1881.7</v>
      </c>
      <c r="J69" s="39">
        <v>-536.45000000000005</v>
      </c>
      <c r="K69" s="39">
        <v>-2332.19</v>
      </c>
      <c r="L69" s="39">
        <v>-1806.6</v>
      </c>
      <c r="M69" s="39">
        <v>-166.66</v>
      </c>
      <c r="N69" s="39">
        <v>-463.85</v>
      </c>
      <c r="O69" s="39">
        <v>-1283.6099999999999</v>
      </c>
      <c r="P69" s="39">
        <v>-1284.78</v>
      </c>
      <c r="Q69" s="39">
        <v>-1284.5999999999999</v>
      </c>
      <c r="R69" s="39">
        <v>-1284.33</v>
      </c>
      <c r="S69" s="39">
        <v>-1284.6300000000001</v>
      </c>
      <c r="T69" s="39">
        <f t="shared" ref="T69:T98" si="4">SUM(H69:S69)</f>
        <v>-16678.010000000002</v>
      </c>
    </row>
    <row r="70" spans="1:20">
      <c r="A70" t="s">
        <v>239</v>
      </c>
      <c r="B70" t="s">
        <v>239</v>
      </c>
      <c r="C70" t="s">
        <v>284</v>
      </c>
      <c r="D70" t="s">
        <v>329</v>
      </c>
      <c r="E70" s="39" t="s">
        <v>285</v>
      </c>
      <c r="F70" s="39" t="s">
        <v>286</v>
      </c>
      <c r="G70" s="39" t="s">
        <v>379</v>
      </c>
      <c r="H70" s="39">
        <v>6701</v>
      </c>
      <c r="I70" s="39">
        <v>-17562</v>
      </c>
      <c r="J70" s="39">
        <v>-11695</v>
      </c>
      <c r="K70" s="39">
        <v>-66704</v>
      </c>
      <c r="L70" s="39">
        <v>-1498</v>
      </c>
      <c r="M70" s="39">
        <v>-10861</v>
      </c>
      <c r="N70" s="39">
        <v>-10090</v>
      </c>
      <c r="O70" s="39">
        <v>-6507</v>
      </c>
      <c r="P70" s="39">
        <v>3471</v>
      </c>
      <c r="Q70" s="39">
        <v>21695</v>
      </c>
      <c r="R70" s="39">
        <v>-6507</v>
      </c>
      <c r="S70" s="39">
        <v>6509</v>
      </c>
      <c r="T70" s="39">
        <f t="shared" si="4"/>
        <v>-93048</v>
      </c>
    </row>
    <row r="71" spans="1:20">
      <c r="A71" t="s">
        <v>239</v>
      </c>
      <c r="B71" t="s">
        <v>239</v>
      </c>
      <c r="C71" t="s">
        <v>240</v>
      </c>
      <c r="D71" t="s">
        <v>289</v>
      </c>
      <c r="E71" s="39" t="s">
        <v>241</v>
      </c>
      <c r="F71" s="39" t="s">
        <v>242</v>
      </c>
      <c r="G71" s="39" t="s">
        <v>379</v>
      </c>
      <c r="H71" s="39">
        <v>14953.08</v>
      </c>
      <c r="I71" s="39">
        <v>12727.06</v>
      </c>
      <c r="J71" s="39">
        <v>13501.33</v>
      </c>
      <c r="K71" s="39">
        <v>14130.42</v>
      </c>
      <c r="L71" s="39">
        <v>14807.91</v>
      </c>
      <c r="M71" s="39">
        <v>12291.53</v>
      </c>
      <c r="N71" s="39">
        <v>14033.64</v>
      </c>
      <c r="O71" s="39">
        <v>14953.08</v>
      </c>
      <c r="P71" s="39">
        <v>13452.94</v>
      </c>
      <c r="Q71" s="39">
        <v>14807.91</v>
      </c>
      <c r="R71" s="39">
        <v>12339.92</v>
      </c>
      <c r="S71" s="39">
        <v>12001.18</v>
      </c>
      <c r="T71" s="39">
        <f t="shared" si="4"/>
        <v>164000</v>
      </c>
    </row>
    <row r="72" spans="1:20">
      <c r="A72" t="s">
        <v>239</v>
      </c>
      <c r="B72" t="s">
        <v>239</v>
      </c>
      <c r="C72" t="s">
        <v>240</v>
      </c>
      <c r="D72" t="s">
        <v>289</v>
      </c>
      <c r="E72" s="39" t="s">
        <v>247</v>
      </c>
      <c r="F72" s="39" t="s">
        <v>242</v>
      </c>
      <c r="G72" s="39" t="s">
        <v>379</v>
      </c>
      <c r="H72" s="39">
        <v>3282.38</v>
      </c>
      <c r="I72" s="39">
        <v>2793.74</v>
      </c>
      <c r="J72" s="39">
        <v>2963.71</v>
      </c>
      <c r="K72" s="39">
        <v>3101.8</v>
      </c>
      <c r="L72" s="39">
        <v>3250.52</v>
      </c>
      <c r="M72" s="39">
        <v>2698.14</v>
      </c>
      <c r="N72" s="39">
        <v>3080.55</v>
      </c>
      <c r="O72" s="39">
        <v>3282.38</v>
      </c>
      <c r="P72" s="39">
        <v>2953.08</v>
      </c>
      <c r="Q72" s="39">
        <v>3250.52</v>
      </c>
      <c r="R72" s="39">
        <v>2708.76</v>
      </c>
      <c r="S72" s="39">
        <v>2634.41</v>
      </c>
      <c r="T72" s="39">
        <f t="shared" si="4"/>
        <v>35999.990000000005</v>
      </c>
    </row>
    <row r="73" spans="1:20">
      <c r="A73" t="s">
        <v>239</v>
      </c>
      <c r="B73" t="s">
        <v>239</v>
      </c>
      <c r="C73" t="s">
        <v>240</v>
      </c>
      <c r="D73" t="s">
        <v>288</v>
      </c>
      <c r="E73" s="39" t="s">
        <v>241</v>
      </c>
      <c r="F73" s="39" t="s">
        <v>242</v>
      </c>
      <c r="G73" s="39" t="s">
        <v>379</v>
      </c>
      <c r="H73" s="39">
        <v>7294.19</v>
      </c>
      <c r="I73" s="39">
        <v>6208.32</v>
      </c>
      <c r="J73" s="39">
        <v>6586.01</v>
      </c>
      <c r="K73" s="39">
        <v>6892.89</v>
      </c>
      <c r="L73" s="39">
        <v>7223.37</v>
      </c>
      <c r="M73" s="39">
        <v>5995.87</v>
      </c>
      <c r="N73" s="39">
        <v>6845.68</v>
      </c>
      <c r="O73" s="39">
        <v>7294.19</v>
      </c>
      <c r="P73" s="39">
        <v>6562.41</v>
      </c>
      <c r="Q73" s="39">
        <v>7223.37</v>
      </c>
      <c r="R73" s="39">
        <v>6019.47</v>
      </c>
      <c r="S73" s="39">
        <v>5854.23</v>
      </c>
      <c r="T73" s="39">
        <f t="shared" si="4"/>
        <v>80000</v>
      </c>
    </row>
    <row r="74" spans="1:20">
      <c r="A74" t="s">
        <v>239</v>
      </c>
      <c r="B74" t="s">
        <v>239</v>
      </c>
      <c r="C74" t="s">
        <v>240</v>
      </c>
      <c r="D74" t="s">
        <v>288</v>
      </c>
      <c r="E74" s="39" t="s">
        <v>247</v>
      </c>
      <c r="F74" s="39" t="s">
        <v>242</v>
      </c>
      <c r="G74" s="39" t="s">
        <v>379</v>
      </c>
      <c r="H74" s="39">
        <v>547.05999999999995</v>
      </c>
      <c r="I74" s="39">
        <v>465.62</v>
      </c>
      <c r="J74" s="39">
        <v>493.95</v>
      </c>
      <c r="K74" s="39">
        <v>516.97</v>
      </c>
      <c r="L74" s="39">
        <v>541.75</v>
      </c>
      <c r="M74" s="39">
        <v>449.69</v>
      </c>
      <c r="N74" s="39">
        <v>513.42999999999995</v>
      </c>
      <c r="O74" s="39">
        <v>547.05999999999995</v>
      </c>
      <c r="P74" s="39">
        <v>492.18</v>
      </c>
      <c r="Q74" s="39">
        <v>541.75</v>
      </c>
      <c r="R74" s="39">
        <v>451.46</v>
      </c>
      <c r="S74" s="39">
        <v>439.07</v>
      </c>
      <c r="T74" s="39">
        <f t="shared" si="4"/>
        <v>5999.99</v>
      </c>
    </row>
    <row r="75" spans="1:20">
      <c r="A75" t="s">
        <v>239</v>
      </c>
      <c r="B75" t="s">
        <v>239</v>
      </c>
      <c r="C75" t="s">
        <v>240</v>
      </c>
      <c r="D75" t="s">
        <v>249</v>
      </c>
      <c r="E75" s="39" t="s">
        <v>241</v>
      </c>
      <c r="F75" s="39" t="s">
        <v>242</v>
      </c>
      <c r="G75" s="39" t="s">
        <v>379</v>
      </c>
      <c r="H75" s="39">
        <v>5055.3599999999997</v>
      </c>
      <c r="I75" s="39">
        <v>4200.38</v>
      </c>
      <c r="J75" s="39">
        <v>4385.7700000000004</v>
      </c>
      <c r="K75" s="39">
        <v>4465.03</v>
      </c>
      <c r="L75" s="39">
        <v>4674.1400000000003</v>
      </c>
      <c r="M75" s="39">
        <v>4048.68</v>
      </c>
      <c r="N75" s="39">
        <v>4547.1000000000004</v>
      </c>
      <c r="O75" s="39">
        <v>4921.99</v>
      </c>
      <c r="P75" s="39">
        <v>4697.72</v>
      </c>
      <c r="Q75" s="39">
        <v>4715.82</v>
      </c>
      <c r="R75" s="39">
        <v>4195.21</v>
      </c>
      <c r="S75" s="39">
        <v>4169.84</v>
      </c>
      <c r="T75" s="39">
        <f t="shared" si="4"/>
        <v>54077.039999999994</v>
      </c>
    </row>
    <row r="76" spans="1:20">
      <c r="A76" t="s">
        <v>239</v>
      </c>
      <c r="B76" t="s">
        <v>239</v>
      </c>
      <c r="C76" t="s">
        <v>240</v>
      </c>
      <c r="D76" t="s">
        <v>249</v>
      </c>
      <c r="E76" s="39" t="s">
        <v>247</v>
      </c>
      <c r="F76" s="39" t="s">
        <v>242</v>
      </c>
      <c r="G76" s="39" t="s">
        <v>379</v>
      </c>
      <c r="H76" s="39">
        <v>1345.43</v>
      </c>
      <c r="I76" s="39">
        <v>1098.33</v>
      </c>
      <c r="J76" s="39">
        <v>1133.08</v>
      </c>
      <c r="K76" s="39">
        <v>1128.69</v>
      </c>
      <c r="L76" s="39">
        <v>1180.54</v>
      </c>
      <c r="M76" s="39">
        <v>1057.1099999999999</v>
      </c>
      <c r="N76" s="39">
        <v>1172.46</v>
      </c>
      <c r="O76" s="39">
        <v>1284.46</v>
      </c>
      <c r="P76" s="39">
        <v>1278.81</v>
      </c>
      <c r="Q76" s="39">
        <v>1199.5899999999999</v>
      </c>
      <c r="R76" s="39">
        <v>1120.96</v>
      </c>
      <c r="S76" s="39">
        <v>1131.24</v>
      </c>
      <c r="T76" s="39">
        <f t="shared" si="4"/>
        <v>14130.699999999999</v>
      </c>
    </row>
    <row r="77" spans="1:20">
      <c r="A77" t="s">
        <v>239</v>
      </c>
      <c r="B77" t="s">
        <v>239</v>
      </c>
      <c r="C77" t="s">
        <v>240</v>
      </c>
      <c r="D77" t="s">
        <v>290</v>
      </c>
      <c r="E77" s="39" t="s">
        <v>241</v>
      </c>
      <c r="F77" s="39" t="s">
        <v>242</v>
      </c>
      <c r="G77" s="39" t="s">
        <v>379</v>
      </c>
      <c r="H77" s="39">
        <v>3982.9</v>
      </c>
      <c r="I77" s="39">
        <v>3389.98</v>
      </c>
      <c r="J77" s="39">
        <v>3596.22</v>
      </c>
      <c r="K77" s="39">
        <v>3763.78</v>
      </c>
      <c r="L77" s="39">
        <v>3944.23</v>
      </c>
      <c r="M77" s="39">
        <v>3273.97</v>
      </c>
      <c r="N77" s="39">
        <v>3738</v>
      </c>
      <c r="O77" s="39">
        <v>3982.9</v>
      </c>
      <c r="P77" s="39">
        <v>3583.33</v>
      </c>
      <c r="Q77" s="39">
        <v>3944.23</v>
      </c>
      <c r="R77" s="39">
        <v>3286.86</v>
      </c>
      <c r="S77" s="39">
        <v>3196.64</v>
      </c>
      <c r="T77" s="39">
        <f t="shared" si="4"/>
        <v>43683.040000000008</v>
      </c>
    </row>
    <row r="78" spans="1:20">
      <c r="A78" t="s">
        <v>239</v>
      </c>
      <c r="B78" t="s">
        <v>239</v>
      </c>
      <c r="C78" t="s">
        <v>240</v>
      </c>
      <c r="D78" t="s">
        <v>290</v>
      </c>
      <c r="E78" s="39" t="s">
        <v>247</v>
      </c>
      <c r="F78" s="39" t="s">
        <v>242</v>
      </c>
      <c r="G78" s="39" t="s">
        <v>379</v>
      </c>
      <c r="H78" s="39">
        <v>874.3</v>
      </c>
      <c r="I78" s="39">
        <v>744.14</v>
      </c>
      <c r="J78" s="39">
        <v>789.42</v>
      </c>
      <c r="K78" s="39">
        <v>826.19</v>
      </c>
      <c r="L78" s="39">
        <v>865.81</v>
      </c>
      <c r="M78" s="39">
        <v>718.68</v>
      </c>
      <c r="N78" s="39">
        <v>820.54</v>
      </c>
      <c r="O78" s="39">
        <v>874.3</v>
      </c>
      <c r="P78" s="39">
        <v>786.58</v>
      </c>
      <c r="Q78" s="39">
        <v>865.81</v>
      </c>
      <c r="R78" s="39">
        <v>721.5</v>
      </c>
      <c r="S78" s="39">
        <v>701.7</v>
      </c>
      <c r="T78" s="39">
        <f t="shared" si="4"/>
        <v>9588.9700000000012</v>
      </c>
    </row>
    <row r="79" spans="1:20">
      <c r="A79" t="s">
        <v>239</v>
      </c>
      <c r="B79" t="s">
        <v>239</v>
      </c>
      <c r="C79" t="s">
        <v>240</v>
      </c>
      <c r="D79" t="s">
        <v>328</v>
      </c>
      <c r="E79" s="39" t="s">
        <v>241</v>
      </c>
      <c r="F79" s="39" t="s">
        <v>242</v>
      </c>
      <c r="G79" s="39" t="s">
        <v>379</v>
      </c>
      <c r="H79" s="39">
        <v>60632.93</v>
      </c>
      <c r="I79" s="39">
        <v>51606.67</v>
      </c>
      <c r="J79" s="39">
        <v>54746.239999999998</v>
      </c>
      <c r="K79" s="39">
        <v>57297.14</v>
      </c>
      <c r="L79" s="39">
        <v>60044.26</v>
      </c>
      <c r="M79" s="39">
        <v>49840.66</v>
      </c>
      <c r="N79" s="39">
        <v>56904.69</v>
      </c>
      <c r="O79" s="39">
        <v>60632.93</v>
      </c>
      <c r="P79" s="39">
        <v>54550.01</v>
      </c>
      <c r="Q79" s="39">
        <v>60044.26</v>
      </c>
      <c r="R79" s="39">
        <v>50036.88</v>
      </c>
      <c r="S79" s="39">
        <v>48663.32</v>
      </c>
      <c r="T79" s="39">
        <f t="shared" si="4"/>
        <v>664999.99</v>
      </c>
    </row>
    <row r="80" spans="1:20">
      <c r="A80" t="s">
        <v>239</v>
      </c>
      <c r="B80" t="s">
        <v>239</v>
      </c>
      <c r="C80" t="s">
        <v>240</v>
      </c>
      <c r="D80" t="s">
        <v>328</v>
      </c>
      <c r="E80" s="39" t="s">
        <v>247</v>
      </c>
      <c r="F80" s="39" t="s">
        <v>242</v>
      </c>
      <c r="G80" s="39" t="s">
        <v>379</v>
      </c>
      <c r="H80" s="39">
        <v>11305.99</v>
      </c>
      <c r="I80" s="39">
        <v>9622.9</v>
      </c>
      <c r="J80" s="39">
        <v>10208.32</v>
      </c>
      <c r="K80" s="39">
        <v>10683.98</v>
      </c>
      <c r="L80" s="39">
        <v>11196.22</v>
      </c>
      <c r="M80" s="39">
        <v>9293.6</v>
      </c>
      <c r="N80" s="39">
        <v>10610.8</v>
      </c>
      <c r="O80" s="39">
        <v>11305.99</v>
      </c>
      <c r="P80" s="39">
        <v>10171.73</v>
      </c>
      <c r="Q80" s="39">
        <v>11196.22</v>
      </c>
      <c r="R80" s="39">
        <v>9330.19</v>
      </c>
      <c r="S80" s="39">
        <v>9074.06</v>
      </c>
      <c r="T80" s="39">
        <f t="shared" si="4"/>
        <v>124000</v>
      </c>
    </row>
    <row r="81" spans="1:20">
      <c r="A81" t="s">
        <v>239</v>
      </c>
      <c r="B81" t="s">
        <v>239</v>
      </c>
      <c r="C81" t="s">
        <v>240</v>
      </c>
      <c r="D81" t="s">
        <v>329</v>
      </c>
      <c r="E81" s="39" t="s">
        <v>285</v>
      </c>
      <c r="F81" s="39" t="s">
        <v>331</v>
      </c>
      <c r="G81" s="39" t="s">
        <v>379</v>
      </c>
      <c r="H81" s="39">
        <v>-10793.65</v>
      </c>
      <c r="I81" s="39">
        <v>-29963.34</v>
      </c>
      <c r="J81" s="39">
        <v>-21797.19</v>
      </c>
      <c r="K81" s="39">
        <v>-15336.69</v>
      </c>
      <c r="L81" s="39">
        <v>-7306.3</v>
      </c>
      <c r="M81" s="39">
        <v>-11413.3</v>
      </c>
      <c r="N81" s="39">
        <v>-8830.4599999999991</v>
      </c>
      <c r="O81" s="39">
        <v>-13013.65</v>
      </c>
      <c r="P81" s="39">
        <v>-13017.07</v>
      </c>
      <c r="Q81" s="39">
        <v>-13017.3</v>
      </c>
      <c r="R81" s="39">
        <v>-13014.42</v>
      </c>
      <c r="S81" s="39">
        <v>-13017.61</v>
      </c>
      <c r="T81" s="39">
        <f t="shared" si="4"/>
        <v>-170520.97999999998</v>
      </c>
    </row>
    <row r="82" spans="1:20">
      <c r="A82" t="s">
        <v>239</v>
      </c>
      <c r="B82" t="s">
        <v>239</v>
      </c>
      <c r="C82" t="s">
        <v>240</v>
      </c>
      <c r="D82" t="s">
        <v>248</v>
      </c>
      <c r="E82" s="39" t="s">
        <v>241</v>
      </c>
      <c r="F82" s="39" t="s">
        <v>242</v>
      </c>
      <c r="G82" s="39" t="s">
        <v>379</v>
      </c>
      <c r="H82" s="39">
        <v>3650.31</v>
      </c>
      <c r="I82" s="39">
        <v>2730.06</v>
      </c>
      <c r="J82" s="39">
        <v>2638.04</v>
      </c>
      <c r="K82" s="39">
        <v>2300.61</v>
      </c>
      <c r="L82" s="39">
        <v>2392.64</v>
      </c>
      <c r="M82" s="39">
        <v>2607.36</v>
      </c>
      <c r="N82" s="39">
        <v>2699.39</v>
      </c>
      <c r="O82" s="39">
        <v>3159.51</v>
      </c>
      <c r="P82" s="39">
        <v>3834.36</v>
      </c>
      <c r="Q82" s="39">
        <v>2546.0100000000002</v>
      </c>
      <c r="R82" s="39">
        <v>3098.16</v>
      </c>
      <c r="S82" s="39">
        <v>3343.56</v>
      </c>
      <c r="T82" s="39">
        <f t="shared" si="4"/>
        <v>35000.01</v>
      </c>
    </row>
    <row r="83" spans="1:20">
      <c r="A83" t="s">
        <v>239</v>
      </c>
      <c r="B83" t="s">
        <v>239</v>
      </c>
      <c r="C83" t="s">
        <v>240</v>
      </c>
      <c r="D83" t="s">
        <v>248</v>
      </c>
      <c r="E83" s="39" t="s">
        <v>247</v>
      </c>
      <c r="F83" s="39" t="s">
        <v>242</v>
      </c>
      <c r="G83" s="39" t="s">
        <v>379</v>
      </c>
      <c r="H83" s="39">
        <v>1668.71</v>
      </c>
      <c r="I83" s="39">
        <v>1248.03</v>
      </c>
      <c r="J83" s="39">
        <v>1205.96</v>
      </c>
      <c r="K83" s="39">
        <v>1051.71</v>
      </c>
      <c r="L83" s="39">
        <v>1093.78</v>
      </c>
      <c r="M83" s="39">
        <v>1191.94</v>
      </c>
      <c r="N83" s="39">
        <v>1234.01</v>
      </c>
      <c r="O83" s="39">
        <v>1444.35</v>
      </c>
      <c r="P83" s="39">
        <v>1752.85</v>
      </c>
      <c r="Q83" s="39">
        <v>1163.8900000000001</v>
      </c>
      <c r="R83" s="39">
        <v>1416.3</v>
      </c>
      <c r="S83" s="39">
        <v>1528.48</v>
      </c>
      <c r="T83" s="39">
        <f t="shared" si="4"/>
        <v>16000.009999999998</v>
      </c>
    </row>
    <row r="84" spans="1:20">
      <c r="A84" t="s">
        <v>239</v>
      </c>
      <c r="B84" t="s">
        <v>239</v>
      </c>
      <c r="C84" t="s">
        <v>240</v>
      </c>
      <c r="D84" t="s">
        <v>250</v>
      </c>
      <c r="E84" s="39" t="s">
        <v>241</v>
      </c>
      <c r="F84" s="39" t="s">
        <v>242</v>
      </c>
      <c r="G84" s="39" t="s">
        <v>379</v>
      </c>
      <c r="H84" s="39">
        <v>325.32</v>
      </c>
      <c r="I84" s="39">
        <v>243.3</v>
      </c>
      <c r="J84" s="39">
        <v>235.1</v>
      </c>
      <c r="K84" s="39">
        <v>205.03</v>
      </c>
      <c r="L84" s="39">
        <v>213.23</v>
      </c>
      <c r="M84" s="39">
        <v>232.37</v>
      </c>
      <c r="N84" s="39">
        <v>240.57</v>
      </c>
      <c r="O84" s="39">
        <v>281.58</v>
      </c>
      <c r="P84" s="39">
        <v>341.72</v>
      </c>
      <c r="Q84" s="39">
        <v>226.9</v>
      </c>
      <c r="R84" s="39">
        <v>276.11</v>
      </c>
      <c r="S84" s="39">
        <v>297.98</v>
      </c>
      <c r="T84" s="39">
        <f t="shared" si="4"/>
        <v>3119.21</v>
      </c>
    </row>
    <row r="85" spans="1:20">
      <c r="A85" t="s">
        <v>239</v>
      </c>
      <c r="B85" t="s">
        <v>239</v>
      </c>
      <c r="C85" t="s">
        <v>240</v>
      </c>
      <c r="D85" t="s">
        <v>250</v>
      </c>
      <c r="E85" s="39" t="s">
        <v>247</v>
      </c>
      <c r="F85" s="39" t="s">
        <v>242</v>
      </c>
      <c r="G85" s="39" t="s">
        <v>379</v>
      </c>
      <c r="H85" s="39">
        <v>148.72</v>
      </c>
      <c r="I85" s="39">
        <v>111.22</v>
      </c>
      <c r="J85" s="39">
        <v>107.48</v>
      </c>
      <c r="K85" s="39">
        <v>93.73</v>
      </c>
      <c r="L85" s="39">
        <v>97.48</v>
      </c>
      <c r="M85" s="39">
        <v>106.23</v>
      </c>
      <c r="N85" s="39">
        <v>109.97</v>
      </c>
      <c r="O85" s="39">
        <v>128.72</v>
      </c>
      <c r="P85" s="39">
        <v>156.21</v>
      </c>
      <c r="Q85" s="39">
        <v>103.73</v>
      </c>
      <c r="R85" s="39">
        <v>126.22</v>
      </c>
      <c r="S85" s="39">
        <v>136.22</v>
      </c>
      <c r="T85" s="39">
        <f t="shared" si="4"/>
        <v>1425.93</v>
      </c>
    </row>
    <row r="86" spans="1:20">
      <c r="A86" t="s">
        <v>239</v>
      </c>
      <c r="B86" t="s">
        <v>239</v>
      </c>
      <c r="C86" t="s">
        <v>291</v>
      </c>
      <c r="D86" t="s">
        <v>329</v>
      </c>
      <c r="E86" s="39" t="s">
        <v>285</v>
      </c>
      <c r="F86" s="39" t="s">
        <v>332</v>
      </c>
      <c r="G86" s="39" t="s">
        <v>379</v>
      </c>
      <c r="H86" s="39">
        <v>27.66</v>
      </c>
      <c r="I86" s="39">
        <v>-1772.94</v>
      </c>
      <c r="J86" s="39">
        <v>-0.12</v>
      </c>
      <c r="K86" s="39">
        <v>-4724.58</v>
      </c>
      <c r="L86" s="39">
        <v>-297.62</v>
      </c>
      <c r="M86" s="39">
        <v>-14.77</v>
      </c>
      <c r="N86" s="39">
        <v>-265.44</v>
      </c>
      <c r="O86" s="39">
        <v>-0.34</v>
      </c>
      <c r="P86" s="39">
        <v>0.45</v>
      </c>
      <c r="Q86" s="39">
        <v>0.38</v>
      </c>
      <c r="R86" s="39">
        <v>-0.35</v>
      </c>
      <c r="S86" s="39">
        <v>-0.33</v>
      </c>
      <c r="T86" s="39">
        <f t="shared" si="4"/>
        <v>-7048</v>
      </c>
    </row>
    <row r="87" spans="1:20">
      <c r="A87" t="s">
        <v>239</v>
      </c>
      <c r="B87" t="s">
        <v>239</v>
      </c>
      <c r="C87" t="s">
        <v>333</v>
      </c>
      <c r="D87" t="s">
        <v>329</v>
      </c>
      <c r="E87" s="39" t="s">
        <v>285</v>
      </c>
      <c r="F87" s="39" t="s">
        <v>334</v>
      </c>
      <c r="G87" s="39" t="s">
        <v>379</v>
      </c>
      <c r="H87" s="39">
        <v>28470</v>
      </c>
      <c r="I87" s="39">
        <v>17435</v>
      </c>
      <c r="J87" s="39">
        <v>27114</v>
      </c>
      <c r="K87" s="39">
        <v>21899</v>
      </c>
      <c r="L87" s="39">
        <v>33571</v>
      </c>
      <c r="M87" s="39">
        <v>27093</v>
      </c>
      <c r="N87" s="39">
        <v>12659</v>
      </c>
      <c r="O87" s="39">
        <v>25593</v>
      </c>
      <c r="P87" s="39">
        <v>25599</v>
      </c>
      <c r="Q87" s="39">
        <v>25600</v>
      </c>
      <c r="R87" s="39">
        <v>25593</v>
      </c>
      <c r="S87" s="39">
        <v>25601</v>
      </c>
      <c r="T87" s="39">
        <f t="shared" si="4"/>
        <v>296227</v>
      </c>
    </row>
    <row r="88" spans="1:20">
      <c r="A88" t="s">
        <v>239</v>
      </c>
      <c r="B88" t="s">
        <v>239</v>
      </c>
      <c r="C88" t="s">
        <v>335</v>
      </c>
      <c r="D88" t="s">
        <v>329</v>
      </c>
      <c r="E88" s="39" t="s">
        <v>285</v>
      </c>
      <c r="F88" s="39" t="s">
        <v>336</v>
      </c>
      <c r="G88" s="39" t="s">
        <v>379</v>
      </c>
      <c r="H88" s="39">
        <v>-3651.53</v>
      </c>
      <c r="I88" s="39">
        <v>-5803.26</v>
      </c>
      <c r="J88" s="39">
        <v>-10837.14</v>
      </c>
      <c r="K88" s="39">
        <v>-7744.47</v>
      </c>
      <c r="L88" s="39">
        <v>-7422.99</v>
      </c>
      <c r="M88" s="39">
        <v>-6529.64</v>
      </c>
      <c r="N88" s="39">
        <v>-3407.11</v>
      </c>
      <c r="O88" s="39">
        <v>-6506.53</v>
      </c>
      <c r="P88" s="39">
        <v>-6507.96</v>
      </c>
      <c r="Q88" s="39">
        <v>-6507.99</v>
      </c>
      <c r="R88" s="39">
        <v>-6506.82</v>
      </c>
      <c r="S88" s="39">
        <v>-6508.57</v>
      </c>
      <c r="T88" s="39">
        <f t="shared" si="4"/>
        <v>-77934.010000000009</v>
      </c>
    </row>
    <row r="89" spans="1:20">
      <c r="A89" t="s">
        <v>243</v>
      </c>
      <c r="B89" t="s">
        <v>287</v>
      </c>
      <c r="C89" t="s">
        <v>240</v>
      </c>
      <c r="D89" t="s">
        <v>289</v>
      </c>
      <c r="E89" s="39" t="s">
        <v>244</v>
      </c>
      <c r="F89" s="39" t="s">
        <v>242</v>
      </c>
      <c r="G89" s="39" t="s">
        <v>379</v>
      </c>
      <c r="H89" s="39">
        <v>1000</v>
      </c>
      <c r="I89" s="39">
        <v>1000</v>
      </c>
      <c r="J89" s="39">
        <v>1000</v>
      </c>
      <c r="K89" s="39">
        <v>1000</v>
      </c>
      <c r="L89" s="39">
        <v>1000</v>
      </c>
      <c r="M89" s="39">
        <v>1000</v>
      </c>
      <c r="N89" s="39">
        <v>1000</v>
      </c>
      <c r="O89" s="39">
        <v>1000</v>
      </c>
      <c r="P89" s="39">
        <v>1000</v>
      </c>
      <c r="Q89" s="39">
        <v>1000</v>
      </c>
      <c r="R89" s="39">
        <v>1000</v>
      </c>
      <c r="S89" s="39">
        <v>1000</v>
      </c>
      <c r="T89" s="39">
        <f t="shared" si="4"/>
        <v>12000</v>
      </c>
    </row>
    <row r="90" spans="1:20">
      <c r="A90" t="s">
        <v>243</v>
      </c>
      <c r="B90" t="s">
        <v>287</v>
      </c>
      <c r="C90" t="s">
        <v>240</v>
      </c>
      <c r="D90" t="s">
        <v>236</v>
      </c>
      <c r="E90" s="39" t="s">
        <v>244</v>
      </c>
      <c r="F90" s="39" t="s">
        <v>242</v>
      </c>
      <c r="G90" s="39" t="s">
        <v>379</v>
      </c>
      <c r="H90" s="39">
        <v>3000</v>
      </c>
      <c r="I90" s="39">
        <v>3000</v>
      </c>
      <c r="J90" s="39">
        <v>2000</v>
      </c>
      <c r="K90" s="39">
        <v>3000</v>
      </c>
      <c r="L90" s="39">
        <v>3000</v>
      </c>
      <c r="M90" s="39">
        <v>3000</v>
      </c>
      <c r="N90" s="39">
        <v>2000</v>
      </c>
      <c r="O90" s="39">
        <v>3000</v>
      </c>
      <c r="P90" s="39">
        <v>3000</v>
      </c>
      <c r="Q90" s="39">
        <v>1000</v>
      </c>
      <c r="R90" s="39">
        <v>3000</v>
      </c>
      <c r="S90" s="39">
        <v>3000</v>
      </c>
      <c r="T90" s="39">
        <f t="shared" si="4"/>
        <v>32000</v>
      </c>
    </row>
    <row r="91" spans="1:20">
      <c r="A91" t="s">
        <v>243</v>
      </c>
      <c r="B91" t="s">
        <v>287</v>
      </c>
      <c r="C91" t="s">
        <v>240</v>
      </c>
      <c r="D91" t="s">
        <v>288</v>
      </c>
      <c r="E91" s="39" t="s">
        <v>244</v>
      </c>
      <c r="F91" s="39" t="s">
        <v>242</v>
      </c>
      <c r="G91" s="39" t="s">
        <v>379</v>
      </c>
      <c r="H91" s="39">
        <v>1000</v>
      </c>
      <c r="I91" s="39">
        <v>0</v>
      </c>
      <c r="J91" s="39">
        <v>1000</v>
      </c>
      <c r="K91" s="39">
        <v>0</v>
      </c>
      <c r="L91" s="39">
        <v>0</v>
      </c>
      <c r="M91" s="39">
        <v>1000</v>
      </c>
      <c r="N91" s="39">
        <v>1000</v>
      </c>
      <c r="O91" s="39">
        <v>0</v>
      </c>
      <c r="P91" s="39">
        <v>0</v>
      </c>
      <c r="Q91" s="39">
        <v>1000</v>
      </c>
      <c r="R91" s="39">
        <v>0</v>
      </c>
      <c r="S91" s="39">
        <v>0</v>
      </c>
      <c r="T91" s="39">
        <f t="shared" si="4"/>
        <v>5000</v>
      </c>
    </row>
    <row r="92" spans="1:20">
      <c r="A92" t="s">
        <v>243</v>
      </c>
      <c r="B92" t="s">
        <v>287</v>
      </c>
      <c r="C92" t="s">
        <v>240</v>
      </c>
      <c r="D92" t="s">
        <v>249</v>
      </c>
      <c r="E92" s="39" t="s">
        <v>244</v>
      </c>
      <c r="F92" s="39" t="s">
        <v>242</v>
      </c>
      <c r="G92" s="39" t="s">
        <v>379</v>
      </c>
      <c r="H92" s="39">
        <v>121</v>
      </c>
      <c r="I92" s="39">
        <v>121</v>
      </c>
      <c r="J92" s="39">
        <v>121</v>
      </c>
      <c r="K92" s="39">
        <v>121</v>
      </c>
      <c r="L92" s="39">
        <v>121</v>
      </c>
      <c r="M92" s="39">
        <v>121</v>
      </c>
      <c r="N92" s="39">
        <v>121</v>
      </c>
      <c r="O92" s="39">
        <v>121</v>
      </c>
      <c r="P92" s="39">
        <v>121</v>
      </c>
      <c r="Q92" s="39">
        <v>121</v>
      </c>
      <c r="R92" s="39">
        <v>121</v>
      </c>
      <c r="S92" s="39">
        <v>121</v>
      </c>
      <c r="T92" s="39">
        <f t="shared" si="4"/>
        <v>1452</v>
      </c>
    </row>
    <row r="93" spans="1:20">
      <c r="A93" t="s">
        <v>243</v>
      </c>
      <c r="B93" t="s">
        <v>287</v>
      </c>
      <c r="C93" t="s">
        <v>240</v>
      </c>
      <c r="D93" t="s">
        <v>290</v>
      </c>
      <c r="E93" s="39" t="s">
        <v>244</v>
      </c>
      <c r="F93" s="39" t="s">
        <v>242</v>
      </c>
      <c r="G93" s="39" t="s">
        <v>379</v>
      </c>
      <c r="H93" s="39">
        <v>266.36</v>
      </c>
      <c r="I93" s="39">
        <v>266.36</v>
      </c>
      <c r="J93" s="39">
        <v>266.36</v>
      </c>
      <c r="K93" s="39">
        <v>266.36</v>
      </c>
      <c r="L93" s="39">
        <v>266.36</v>
      </c>
      <c r="M93" s="39">
        <v>266.36</v>
      </c>
      <c r="N93" s="39">
        <v>266.36</v>
      </c>
      <c r="O93" s="39">
        <v>266.36</v>
      </c>
      <c r="P93" s="39">
        <v>266.36</v>
      </c>
      <c r="Q93" s="39">
        <v>266.36</v>
      </c>
      <c r="R93" s="39">
        <v>266.36</v>
      </c>
      <c r="S93" s="39">
        <v>266.36</v>
      </c>
      <c r="T93" s="39">
        <f t="shared" si="4"/>
        <v>3196.3200000000011</v>
      </c>
    </row>
    <row r="94" spans="1:20">
      <c r="A94" t="s">
        <v>245</v>
      </c>
      <c r="B94" t="s">
        <v>337</v>
      </c>
      <c r="C94" t="s">
        <v>240</v>
      </c>
      <c r="D94" t="s">
        <v>289</v>
      </c>
      <c r="E94" s="39" t="s">
        <v>246</v>
      </c>
      <c r="F94" s="39" t="s">
        <v>242</v>
      </c>
      <c r="G94" s="39" t="s">
        <v>379</v>
      </c>
      <c r="H94" s="39">
        <v>1000</v>
      </c>
      <c r="I94" s="39">
        <v>1000</v>
      </c>
      <c r="J94" s="39">
        <v>1000</v>
      </c>
      <c r="K94" s="39">
        <v>1000</v>
      </c>
      <c r="L94" s="39">
        <v>1000</v>
      </c>
      <c r="M94" s="39">
        <v>1000</v>
      </c>
      <c r="N94" s="39">
        <v>1000</v>
      </c>
      <c r="O94" s="39">
        <v>1000</v>
      </c>
      <c r="P94" s="39">
        <v>1000</v>
      </c>
      <c r="Q94" s="39">
        <v>1000</v>
      </c>
      <c r="R94" s="39">
        <v>1000</v>
      </c>
      <c r="S94" s="39">
        <v>1000</v>
      </c>
      <c r="T94" s="39">
        <f t="shared" si="4"/>
        <v>12000</v>
      </c>
    </row>
    <row r="95" spans="1:20">
      <c r="A95" t="s">
        <v>245</v>
      </c>
      <c r="B95" t="s">
        <v>337</v>
      </c>
      <c r="C95" t="s">
        <v>240</v>
      </c>
      <c r="D95" t="s">
        <v>288</v>
      </c>
      <c r="E95" s="39" t="s">
        <v>246</v>
      </c>
      <c r="F95" s="39" t="s">
        <v>242</v>
      </c>
      <c r="G95" s="39" t="s">
        <v>379</v>
      </c>
      <c r="H95" s="39">
        <v>0</v>
      </c>
      <c r="I95" s="39">
        <v>0</v>
      </c>
      <c r="J95" s="39">
        <v>1000</v>
      </c>
      <c r="K95" s="39">
        <v>0</v>
      </c>
      <c r="L95" s="39">
        <v>0</v>
      </c>
      <c r="M95" s="39">
        <v>1000</v>
      </c>
      <c r="N95" s="39">
        <v>0</v>
      </c>
      <c r="O95" s="39">
        <v>0</v>
      </c>
      <c r="P95" s="39">
        <v>1000</v>
      </c>
      <c r="Q95" s="39">
        <v>0</v>
      </c>
      <c r="R95" s="39">
        <v>0</v>
      </c>
      <c r="S95" s="39">
        <v>1000</v>
      </c>
      <c r="T95" s="39">
        <f t="shared" si="4"/>
        <v>4000</v>
      </c>
    </row>
    <row r="96" spans="1:20">
      <c r="A96" t="s">
        <v>245</v>
      </c>
      <c r="B96" t="s">
        <v>337</v>
      </c>
      <c r="C96" t="s">
        <v>240</v>
      </c>
      <c r="D96" t="s">
        <v>249</v>
      </c>
      <c r="E96" s="39" t="s">
        <v>246</v>
      </c>
      <c r="F96" s="39" t="s">
        <v>242</v>
      </c>
      <c r="G96" s="39" t="s">
        <v>379</v>
      </c>
      <c r="H96" s="39">
        <v>128.07</v>
      </c>
      <c r="I96" s="39">
        <v>128.07</v>
      </c>
      <c r="J96" s="39">
        <v>128.07</v>
      </c>
      <c r="K96" s="39">
        <v>128.07</v>
      </c>
      <c r="L96" s="39">
        <v>128.07</v>
      </c>
      <c r="M96" s="39">
        <v>128.07</v>
      </c>
      <c r="N96" s="39">
        <v>128.07</v>
      </c>
      <c r="O96" s="39">
        <v>128.07</v>
      </c>
      <c r="P96" s="39">
        <v>128.07</v>
      </c>
      <c r="Q96" s="39">
        <v>128.07</v>
      </c>
      <c r="R96" s="39">
        <v>128.07</v>
      </c>
      <c r="S96" s="39">
        <v>128.07</v>
      </c>
      <c r="T96" s="39">
        <f t="shared" si="4"/>
        <v>1536.8399999999995</v>
      </c>
    </row>
    <row r="97" spans="1:20">
      <c r="A97" t="s">
        <v>245</v>
      </c>
      <c r="B97" t="s">
        <v>337</v>
      </c>
      <c r="C97" t="s">
        <v>240</v>
      </c>
      <c r="D97" t="s">
        <v>290</v>
      </c>
      <c r="E97" s="39" t="s">
        <v>246</v>
      </c>
      <c r="F97" s="39" t="s">
        <v>242</v>
      </c>
      <c r="G97" s="39" t="s">
        <v>379</v>
      </c>
      <c r="H97" s="39">
        <v>266.36</v>
      </c>
      <c r="I97" s="39">
        <v>266.36</v>
      </c>
      <c r="J97" s="39">
        <v>266.36</v>
      </c>
      <c r="K97" s="39">
        <v>266.36</v>
      </c>
      <c r="L97" s="39">
        <v>266.36</v>
      </c>
      <c r="M97" s="39">
        <v>266.36</v>
      </c>
      <c r="N97" s="39">
        <v>266.36</v>
      </c>
      <c r="O97" s="39">
        <v>266.36</v>
      </c>
      <c r="P97" s="39">
        <v>266.36</v>
      </c>
      <c r="Q97" s="39">
        <v>266.36</v>
      </c>
      <c r="R97" s="39">
        <v>266.36</v>
      </c>
      <c r="S97" s="39">
        <v>266.36</v>
      </c>
      <c r="T97" s="39">
        <f t="shared" si="4"/>
        <v>3196.3200000000011</v>
      </c>
    </row>
    <row r="98" spans="1:20">
      <c r="A98" t="s">
        <v>338</v>
      </c>
      <c r="B98" t="s">
        <v>338</v>
      </c>
      <c r="C98" t="s">
        <v>339</v>
      </c>
      <c r="D98" t="s">
        <v>329</v>
      </c>
      <c r="E98" s="39" t="s">
        <v>340</v>
      </c>
      <c r="F98" s="39" t="s">
        <v>341</v>
      </c>
      <c r="G98" s="39" t="s">
        <v>379</v>
      </c>
      <c r="H98" s="220">
        <v>343311.49</v>
      </c>
      <c r="I98" s="220">
        <v>343311.49</v>
      </c>
      <c r="J98" s="220">
        <v>343311.49</v>
      </c>
      <c r="K98" s="220">
        <v>343311.49</v>
      </c>
      <c r="L98" s="220">
        <v>343311.49</v>
      </c>
      <c r="M98" s="220">
        <v>343311.49</v>
      </c>
      <c r="N98" s="220">
        <v>343311.49</v>
      </c>
      <c r="O98" s="220">
        <v>343311.49</v>
      </c>
      <c r="P98" s="220">
        <v>343311.49</v>
      </c>
      <c r="Q98" s="220">
        <v>343311.49</v>
      </c>
      <c r="R98" s="220">
        <v>343311.49</v>
      </c>
      <c r="S98" s="220">
        <v>343311.49</v>
      </c>
      <c r="T98" s="220">
        <f t="shared" si="4"/>
        <v>4119737.8800000008</v>
      </c>
    </row>
    <row r="99" spans="1:20">
      <c r="C99" s="4"/>
      <c r="D99" s="4" t="s">
        <v>380</v>
      </c>
      <c r="E99" s="196"/>
      <c r="F99" s="196"/>
      <c r="G99" s="196"/>
      <c r="H99" s="196">
        <f t="shared" ref="H99:T99" si="5">SUM(H68:H98)</f>
        <v>488844.82999999996</v>
      </c>
      <c r="I99" s="196">
        <f t="shared" si="5"/>
        <v>412734.79</v>
      </c>
      <c r="J99" s="196">
        <f t="shared" si="5"/>
        <v>442932.01</v>
      </c>
      <c r="K99" s="196">
        <f t="shared" si="5"/>
        <v>391608.32000000001</v>
      </c>
      <c r="L99" s="196">
        <f t="shared" si="5"/>
        <v>487858.64999999997</v>
      </c>
      <c r="M99" s="196">
        <f t="shared" si="5"/>
        <v>456006.74</v>
      </c>
      <c r="N99" s="196">
        <f t="shared" si="5"/>
        <v>458246.25</v>
      </c>
      <c r="O99" s="196">
        <f t="shared" si="5"/>
        <v>477468.58999999997</v>
      </c>
      <c r="P99" s="196">
        <f t="shared" si="5"/>
        <v>473967.85</v>
      </c>
      <c r="Q99" s="196">
        <f t="shared" si="5"/>
        <v>497408.77999999997</v>
      </c>
      <c r="R99" s="196">
        <f t="shared" si="5"/>
        <v>453501.36</v>
      </c>
      <c r="S99" s="196">
        <f t="shared" si="5"/>
        <v>464564.06999999995</v>
      </c>
      <c r="T99" s="196">
        <f t="shared" si="5"/>
        <v>5505142.2400000012</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2"/>
  <sheetViews>
    <sheetView workbookViewId="0">
      <selection activeCell="I34" sqref="I34"/>
    </sheetView>
  </sheetViews>
  <sheetFormatPr defaultRowHeight="12.75"/>
  <cols>
    <col min="1" max="1" width="10.85546875" bestFit="1" customWidth="1"/>
    <col min="2" max="2" width="11.85546875" bestFit="1" customWidth="1"/>
    <col min="3" max="3" width="32.7109375" bestFit="1" customWidth="1"/>
    <col min="4" max="4" width="5.5703125" bestFit="1" customWidth="1"/>
    <col min="5" max="16" width="11.7109375" bestFit="1" customWidth="1"/>
    <col min="17" max="17" width="12.7109375" bestFit="1" customWidth="1"/>
    <col min="19" max="19" width="14.5703125" bestFit="1" customWidth="1"/>
    <col min="20" max="20" width="14" customWidth="1"/>
    <col min="21" max="21" width="12.85546875" customWidth="1"/>
    <col min="22" max="22" width="13.28515625" customWidth="1"/>
  </cols>
  <sheetData>
    <row r="1" spans="1:21" s="194" customFormat="1">
      <c r="A1" s="192" t="s">
        <v>8</v>
      </c>
      <c r="B1" s="192" t="s">
        <v>194</v>
      </c>
      <c r="C1" s="192" t="s">
        <v>195</v>
      </c>
      <c r="D1" s="192" t="s">
        <v>32</v>
      </c>
      <c r="E1" s="193" t="s">
        <v>164</v>
      </c>
      <c r="F1" s="193" t="s">
        <v>165</v>
      </c>
      <c r="G1" s="193" t="s">
        <v>182</v>
      </c>
      <c r="H1" s="193" t="s">
        <v>183</v>
      </c>
      <c r="I1" s="193" t="s">
        <v>168</v>
      </c>
      <c r="J1" s="193" t="s">
        <v>184</v>
      </c>
      <c r="K1" s="193" t="s">
        <v>185</v>
      </c>
      <c r="L1" s="193" t="s">
        <v>171</v>
      </c>
      <c r="M1" s="193" t="s">
        <v>196</v>
      </c>
      <c r="N1" s="193" t="s">
        <v>173</v>
      </c>
      <c r="O1" s="193" t="s">
        <v>174</v>
      </c>
      <c r="P1" s="193" t="s">
        <v>175</v>
      </c>
      <c r="Q1" s="193" t="s">
        <v>4</v>
      </c>
    </row>
    <row r="2" spans="1:21">
      <c r="A2" s="195" t="s">
        <v>197</v>
      </c>
    </row>
    <row r="3" spans="1:21">
      <c r="A3" s="198" t="s">
        <v>198</v>
      </c>
      <c r="B3" s="198" t="s">
        <v>199</v>
      </c>
      <c r="C3" s="198" t="s">
        <v>200</v>
      </c>
      <c r="D3" s="198">
        <v>2017</v>
      </c>
      <c r="E3" s="199">
        <v>175301.18</v>
      </c>
      <c r="F3" s="199">
        <v>159148.54999999999</v>
      </c>
      <c r="G3" s="199">
        <v>174933.15</v>
      </c>
      <c r="H3" s="199">
        <v>153578.65</v>
      </c>
      <c r="I3" s="199">
        <v>168481.5</v>
      </c>
      <c r="J3" s="199">
        <v>160486.25</v>
      </c>
      <c r="K3" s="199">
        <v>149291.45000000001</v>
      </c>
      <c r="L3" s="199">
        <v>181460.73</v>
      </c>
      <c r="M3" s="199">
        <v>164920.23000000001</v>
      </c>
      <c r="N3" s="199">
        <v>169093.09</v>
      </c>
      <c r="O3" s="199">
        <v>163303.53</v>
      </c>
      <c r="P3" s="199">
        <v>150081.65</v>
      </c>
      <c r="Q3" s="199">
        <f t="shared" ref="Q3:Q14" si="0">SUM(E3:P3)</f>
        <v>1970079.96</v>
      </c>
      <c r="S3" s="381" t="s">
        <v>401</v>
      </c>
    </row>
    <row r="4" spans="1:21">
      <c r="A4" s="198" t="s">
        <v>198</v>
      </c>
      <c r="B4" s="198" t="s">
        <v>201</v>
      </c>
      <c r="C4" s="198" t="s">
        <v>202</v>
      </c>
      <c r="D4" s="198">
        <v>2017</v>
      </c>
      <c r="E4" s="199">
        <v>11380.19</v>
      </c>
      <c r="F4" s="199">
        <v>11380.3</v>
      </c>
      <c r="G4" s="199">
        <v>11380.3</v>
      </c>
      <c r="H4" s="199">
        <v>11380.3</v>
      </c>
      <c r="I4" s="199">
        <v>11380.3</v>
      </c>
      <c r="J4" s="199">
        <v>11380.3</v>
      </c>
      <c r="K4" s="199">
        <v>11380.3</v>
      </c>
      <c r="L4" s="199">
        <v>11380.3</v>
      </c>
      <c r="M4" s="199">
        <v>11380.3</v>
      </c>
      <c r="N4" s="199">
        <v>11380.3</v>
      </c>
      <c r="O4" s="199">
        <v>11380.3</v>
      </c>
      <c r="P4" s="199">
        <v>11380.3</v>
      </c>
      <c r="Q4" s="199">
        <f t="shared" si="0"/>
        <v>136563.49000000002</v>
      </c>
    </row>
    <row r="5" spans="1:21">
      <c r="A5" s="198" t="s">
        <v>198</v>
      </c>
      <c r="B5" s="198" t="s">
        <v>203</v>
      </c>
      <c r="C5" s="198" t="s">
        <v>204</v>
      </c>
      <c r="D5" s="198">
        <v>2017</v>
      </c>
      <c r="E5" s="199">
        <v>3866.56</v>
      </c>
      <c r="F5" s="199">
        <v>0</v>
      </c>
      <c r="G5" s="199">
        <v>8426.56</v>
      </c>
      <c r="H5" s="199">
        <v>0</v>
      </c>
      <c r="I5" s="199">
        <v>12986.56</v>
      </c>
      <c r="J5" s="199">
        <v>34466.76</v>
      </c>
      <c r="K5" s="199">
        <v>11666.76</v>
      </c>
      <c r="L5" s="199">
        <v>10706.56</v>
      </c>
      <c r="M5" s="199">
        <v>0</v>
      </c>
      <c r="N5" s="199">
        <v>3866.56</v>
      </c>
      <c r="O5" s="199">
        <v>4560</v>
      </c>
      <c r="P5" s="199">
        <v>7633.28</v>
      </c>
      <c r="Q5" s="199">
        <f t="shared" si="0"/>
        <v>98179.599999999991</v>
      </c>
      <c r="S5" s="382" t="s">
        <v>25</v>
      </c>
      <c r="T5" s="39">
        <f>Q8+Q10+Q11+Q14</f>
        <v>14688459.52</v>
      </c>
      <c r="U5" s="39"/>
    </row>
    <row r="6" spans="1:21">
      <c r="A6" t="s">
        <v>198</v>
      </c>
      <c r="B6" t="s">
        <v>205</v>
      </c>
      <c r="C6" t="s">
        <v>206</v>
      </c>
      <c r="D6">
        <v>2017</v>
      </c>
      <c r="E6" s="39">
        <v>365776.5</v>
      </c>
      <c r="F6" s="39">
        <v>324747.53000000003</v>
      </c>
      <c r="G6" s="39">
        <v>372055.27</v>
      </c>
      <c r="H6" s="39">
        <v>321582.37</v>
      </c>
      <c r="I6" s="39">
        <v>356609.41</v>
      </c>
      <c r="J6" s="39">
        <v>342798.6</v>
      </c>
      <c r="K6" s="39">
        <v>318903.84999999998</v>
      </c>
      <c r="L6" s="39">
        <v>386862.62</v>
      </c>
      <c r="M6" s="39">
        <v>346345.94</v>
      </c>
      <c r="N6" s="39">
        <v>357118</v>
      </c>
      <c r="O6" s="39">
        <v>339927.16</v>
      </c>
      <c r="P6" s="39">
        <v>304748.46999999997</v>
      </c>
      <c r="Q6" s="39">
        <f t="shared" si="0"/>
        <v>4137475.7199999997</v>
      </c>
      <c r="S6" s="382" t="s">
        <v>381</v>
      </c>
      <c r="T6" s="39">
        <f>SUM(Q12:Q13)</f>
        <v>2093053.0499999998</v>
      </c>
    </row>
    <row r="7" spans="1:21">
      <c r="A7" t="s">
        <v>198</v>
      </c>
      <c r="B7" t="s">
        <v>207</v>
      </c>
      <c r="C7" t="s">
        <v>369</v>
      </c>
      <c r="D7">
        <v>2017</v>
      </c>
      <c r="E7" s="39">
        <v>2209.13</v>
      </c>
      <c r="F7" s="39">
        <v>2342.54</v>
      </c>
      <c r="G7" s="39">
        <v>5629.16</v>
      </c>
      <c r="H7" s="39">
        <v>2209.16</v>
      </c>
      <c r="I7" s="39">
        <v>2209.16</v>
      </c>
      <c r="J7" s="39">
        <v>15015.92</v>
      </c>
      <c r="K7" s="39">
        <v>2209.16</v>
      </c>
      <c r="L7" s="39">
        <v>2209.16</v>
      </c>
      <c r="M7" s="39">
        <v>2209.16</v>
      </c>
      <c r="N7" s="39">
        <v>2209.16</v>
      </c>
      <c r="O7" s="39">
        <v>2209.16</v>
      </c>
      <c r="P7" s="39">
        <v>2209.16</v>
      </c>
      <c r="Q7" s="39">
        <f t="shared" si="0"/>
        <v>42870.030000000013</v>
      </c>
      <c r="S7" s="382" t="s">
        <v>382</v>
      </c>
      <c r="T7" s="39">
        <f>Q9</f>
        <v>24001384.879999999</v>
      </c>
    </row>
    <row r="8" spans="1:21">
      <c r="A8" s="374" t="s">
        <v>198</v>
      </c>
      <c r="B8" s="374" t="s">
        <v>208</v>
      </c>
      <c r="C8" s="374" t="s">
        <v>209</v>
      </c>
      <c r="D8" s="374">
        <v>2017</v>
      </c>
      <c r="E8" s="398">
        <v>325941.77</v>
      </c>
      <c r="F8" s="398">
        <v>356009.17</v>
      </c>
      <c r="G8" s="398">
        <v>387030.24</v>
      </c>
      <c r="H8" s="398">
        <v>386510.96</v>
      </c>
      <c r="I8" s="398">
        <v>329510.96000000002</v>
      </c>
      <c r="J8" s="398">
        <v>382337.58</v>
      </c>
      <c r="K8" s="398">
        <v>470443.55</v>
      </c>
      <c r="L8" s="398">
        <v>445512.74</v>
      </c>
      <c r="M8" s="398">
        <v>386510.96</v>
      </c>
      <c r="N8" s="398">
        <v>388512.74</v>
      </c>
      <c r="O8" s="398">
        <v>244010.96</v>
      </c>
      <c r="P8" s="398">
        <v>302150.96000000002</v>
      </c>
      <c r="Q8" s="398">
        <f>SUM(E8:P8)</f>
        <v>4404482.59</v>
      </c>
      <c r="S8" s="383" t="s">
        <v>383</v>
      </c>
      <c r="T8" s="220">
        <f>SUM(Q3:Q7)</f>
        <v>6385168.7999999998</v>
      </c>
    </row>
    <row r="9" spans="1:21">
      <c r="A9" t="s">
        <v>198</v>
      </c>
      <c r="B9" t="s">
        <v>210</v>
      </c>
      <c r="C9" t="s">
        <v>283</v>
      </c>
      <c r="D9">
        <v>2017</v>
      </c>
      <c r="E9" s="39">
        <v>1270050.56</v>
      </c>
      <c r="F9" s="39">
        <v>1289819.67</v>
      </c>
      <c r="G9" s="39">
        <v>1677342.77</v>
      </c>
      <c r="H9" s="39">
        <v>2051289.75</v>
      </c>
      <c r="I9" s="39">
        <v>2229638.02</v>
      </c>
      <c r="J9" s="39">
        <v>2212992.67</v>
      </c>
      <c r="K9" s="39">
        <v>2185828.1800000002</v>
      </c>
      <c r="L9" s="39">
        <v>2398315.15</v>
      </c>
      <c r="M9" s="39">
        <v>2204702.96</v>
      </c>
      <c r="N9" s="39">
        <v>2400243.48</v>
      </c>
      <c r="O9" s="39">
        <v>2221422.0099999998</v>
      </c>
      <c r="P9" s="39">
        <v>1859739.66</v>
      </c>
      <c r="Q9" s="39">
        <f t="shared" si="0"/>
        <v>24001384.879999999</v>
      </c>
      <c r="S9" s="382" t="s">
        <v>392</v>
      </c>
      <c r="T9" s="39">
        <f>SUM(T5:T8)</f>
        <v>47168066.25</v>
      </c>
    </row>
    <row r="10" spans="1:21">
      <c r="A10" s="374" t="s">
        <v>198</v>
      </c>
      <c r="B10" s="374" t="s">
        <v>211</v>
      </c>
      <c r="C10" s="374" t="s">
        <v>212</v>
      </c>
      <c r="D10" s="374">
        <v>2017</v>
      </c>
      <c r="E10" s="398">
        <v>427625.85</v>
      </c>
      <c r="F10" s="398">
        <v>478016.31</v>
      </c>
      <c r="G10" s="398">
        <v>545629.43999999994</v>
      </c>
      <c r="H10" s="398">
        <v>530842.93000000005</v>
      </c>
      <c r="I10" s="398">
        <v>540851.87</v>
      </c>
      <c r="J10" s="398">
        <v>593933.18999999994</v>
      </c>
      <c r="K10" s="398">
        <v>586879.72</v>
      </c>
      <c r="L10" s="398">
        <v>603592.65</v>
      </c>
      <c r="M10" s="398">
        <v>535186.13</v>
      </c>
      <c r="N10" s="398">
        <v>433196.84</v>
      </c>
      <c r="O10" s="398">
        <v>428589.08</v>
      </c>
      <c r="P10" s="398">
        <v>401330.96</v>
      </c>
      <c r="Q10" s="398">
        <f t="shared" si="0"/>
        <v>6105674.9699999997</v>
      </c>
      <c r="S10" s="384" t="s">
        <v>384</v>
      </c>
      <c r="T10" s="378">
        <f>Q18</f>
        <v>2000286.88</v>
      </c>
    </row>
    <row r="11" spans="1:21">
      <c r="A11" s="374" t="s">
        <v>198</v>
      </c>
      <c r="B11" s="374" t="s">
        <v>213</v>
      </c>
      <c r="C11" s="198" t="s">
        <v>214</v>
      </c>
      <c r="D11" s="198">
        <v>2017</v>
      </c>
      <c r="E11" s="199">
        <v>65715.95</v>
      </c>
      <c r="F11" s="199">
        <v>94215.91</v>
      </c>
      <c r="G11" s="199">
        <v>126889.29</v>
      </c>
      <c r="H11" s="199">
        <v>126889.29</v>
      </c>
      <c r="I11" s="199">
        <v>115489.29</v>
      </c>
      <c r="J11" s="199">
        <v>138289.29</v>
      </c>
      <c r="K11" s="199">
        <v>153302.6</v>
      </c>
      <c r="L11" s="199">
        <v>155389.29</v>
      </c>
      <c r="M11" s="199">
        <v>155389.29</v>
      </c>
      <c r="N11" s="199">
        <v>126889.29</v>
      </c>
      <c r="O11" s="199">
        <v>126889.29</v>
      </c>
      <c r="P11" s="199">
        <v>37969.29</v>
      </c>
      <c r="Q11" s="199">
        <f t="shared" si="0"/>
        <v>1423318.07</v>
      </c>
      <c r="S11" s="385" t="s">
        <v>393</v>
      </c>
      <c r="T11" s="39">
        <f>T9+T10</f>
        <v>49168353.130000003</v>
      </c>
      <c r="U11" s="39"/>
    </row>
    <row r="12" spans="1:21">
      <c r="A12" s="198" t="s">
        <v>198</v>
      </c>
      <c r="B12" s="198" t="s">
        <v>215</v>
      </c>
      <c r="C12" s="198" t="s">
        <v>216</v>
      </c>
      <c r="D12" s="198">
        <v>2017</v>
      </c>
      <c r="E12" s="199">
        <v>175931.58</v>
      </c>
      <c r="F12" s="199">
        <v>154352.48000000001</v>
      </c>
      <c r="G12" s="199">
        <v>178578.67</v>
      </c>
      <c r="H12" s="199">
        <v>152336.57999999999</v>
      </c>
      <c r="I12" s="199">
        <v>170548.18</v>
      </c>
      <c r="J12" s="199">
        <v>163489.47</v>
      </c>
      <c r="K12" s="199">
        <v>151282.67000000001</v>
      </c>
      <c r="L12" s="199">
        <v>186512.61</v>
      </c>
      <c r="M12" s="199">
        <v>166071.49</v>
      </c>
      <c r="N12" s="199">
        <v>170772.86</v>
      </c>
      <c r="O12" s="199">
        <v>161317.9</v>
      </c>
      <c r="P12" s="199">
        <v>143873.26999999999</v>
      </c>
      <c r="Q12" s="199">
        <f t="shared" si="0"/>
        <v>1975067.7599999998</v>
      </c>
      <c r="S12" s="197"/>
      <c r="U12" s="39"/>
    </row>
    <row r="13" spans="1:21">
      <c r="A13" s="198" t="s">
        <v>198</v>
      </c>
      <c r="B13" s="198" t="s">
        <v>217</v>
      </c>
      <c r="C13" s="198" t="s">
        <v>218</v>
      </c>
      <c r="D13" s="198">
        <v>2017</v>
      </c>
      <c r="E13" s="199">
        <v>7581.25</v>
      </c>
      <c r="F13" s="199">
        <v>11794.57</v>
      </c>
      <c r="G13" s="199">
        <v>9861.2900000000009</v>
      </c>
      <c r="H13" s="199">
        <v>11794.57</v>
      </c>
      <c r="I13" s="199">
        <v>9861.2900000000009</v>
      </c>
      <c r="J13" s="199">
        <v>12934.57</v>
      </c>
      <c r="K13" s="199">
        <v>9861.2900000000009</v>
      </c>
      <c r="L13" s="199">
        <v>9861.2900000000009</v>
      </c>
      <c r="M13" s="199">
        <v>9861.2900000000009</v>
      </c>
      <c r="N13" s="199">
        <v>10393.67</v>
      </c>
      <c r="O13" s="199">
        <v>11794.57</v>
      </c>
      <c r="P13" s="199">
        <v>2385.64</v>
      </c>
      <c r="Q13" s="199">
        <f t="shared" si="0"/>
        <v>117985.29</v>
      </c>
    </row>
    <row r="14" spans="1:21">
      <c r="A14" s="374" t="s">
        <v>198</v>
      </c>
      <c r="B14" s="374" t="s">
        <v>325</v>
      </c>
      <c r="C14" s="374" t="s">
        <v>326</v>
      </c>
      <c r="D14" s="374">
        <v>2017</v>
      </c>
      <c r="E14" s="400">
        <f>225123.1-175000</f>
        <v>50123.100000000006</v>
      </c>
      <c r="F14" s="400">
        <f>222432.22-175000</f>
        <v>47432.22</v>
      </c>
      <c r="G14" s="375">
        <v>253623.1</v>
      </c>
      <c r="H14" s="375">
        <v>282123.09999999998</v>
      </c>
      <c r="I14" s="375">
        <v>310623.09999999998</v>
      </c>
      <c r="J14" s="375">
        <v>312105.59999999998</v>
      </c>
      <c r="K14" s="375">
        <v>312105.59999999998</v>
      </c>
      <c r="L14" s="375">
        <v>346535.61</v>
      </c>
      <c r="M14" s="375">
        <v>295465.62</v>
      </c>
      <c r="N14" s="375">
        <v>195370.61</v>
      </c>
      <c r="O14" s="375">
        <v>182948.12</v>
      </c>
      <c r="P14" s="375">
        <v>166528.10999999999</v>
      </c>
      <c r="Q14" s="375">
        <f t="shared" si="0"/>
        <v>2754983.8899999997</v>
      </c>
      <c r="R14" s="381" t="s">
        <v>394</v>
      </c>
    </row>
    <row r="15" spans="1:21">
      <c r="C15" s="4" t="s">
        <v>219</v>
      </c>
      <c r="E15" s="196">
        <f t="shared" ref="E15:P15" si="1">SUM(E3:E14)</f>
        <v>2881503.6200000006</v>
      </c>
      <c r="F15" s="196">
        <f t="shared" si="1"/>
        <v>2929259.25</v>
      </c>
      <c r="G15" s="196">
        <f t="shared" si="1"/>
        <v>3751379.24</v>
      </c>
      <c r="H15" s="196">
        <f t="shared" si="1"/>
        <v>4030537.66</v>
      </c>
      <c r="I15" s="196">
        <f t="shared" si="1"/>
        <v>4258189.6400000006</v>
      </c>
      <c r="J15" s="196">
        <f t="shared" si="1"/>
        <v>4380230.2</v>
      </c>
      <c r="K15" s="196">
        <f t="shared" si="1"/>
        <v>4363155.13</v>
      </c>
      <c r="L15" s="196">
        <f t="shared" si="1"/>
        <v>4738338.71</v>
      </c>
      <c r="M15" s="196">
        <f t="shared" si="1"/>
        <v>4278043.37</v>
      </c>
      <c r="N15" s="196">
        <f t="shared" si="1"/>
        <v>4269046.5999999996</v>
      </c>
      <c r="O15" s="196">
        <f t="shared" si="1"/>
        <v>3898352.0799999996</v>
      </c>
      <c r="P15" s="196">
        <f t="shared" si="1"/>
        <v>3390030.75</v>
      </c>
      <c r="Q15" s="196">
        <f>SUM(Q3:Q14)</f>
        <v>47168066.249999993</v>
      </c>
    </row>
    <row r="16" spans="1:21">
      <c r="A16" s="374" t="s">
        <v>404</v>
      </c>
      <c r="B16" s="374"/>
      <c r="C16" s="4"/>
      <c r="E16" s="196"/>
      <c r="F16" s="196"/>
      <c r="G16" s="196"/>
      <c r="H16" s="196"/>
      <c r="I16" s="196"/>
      <c r="J16" s="196"/>
      <c r="K16" s="196"/>
      <c r="L16" s="196"/>
      <c r="M16" s="196"/>
      <c r="N16" s="196"/>
      <c r="O16" s="196"/>
      <c r="P16" s="196"/>
      <c r="Q16" s="196"/>
    </row>
    <row r="17" spans="1:23">
      <c r="A17" s="198" t="s">
        <v>403</v>
      </c>
      <c r="B17" s="198"/>
      <c r="C17" s="200"/>
      <c r="E17" s="196"/>
      <c r="F17" s="196"/>
      <c r="G17" s="196"/>
      <c r="H17" s="196"/>
      <c r="I17" s="196"/>
      <c r="J17" s="196"/>
      <c r="K17" s="196"/>
      <c r="L17" s="196"/>
      <c r="M17" s="196"/>
      <c r="N17" s="196"/>
      <c r="O17" s="196"/>
      <c r="P17" s="196"/>
      <c r="Q17" s="196"/>
    </row>
    <row r="18" spans="1:23">
      <c r="A18" s="386" t="s">
        <v>198</v>
      </c>
      <c r="B18" s="386" t="s">
        <v>370</v>
      </c>
      <c r="C18" s="386" t="s">
        <v>371</v>
      </c>
      <c r="D18" s="386">
        <v>2017</v>
      </c>
      <c r="E18" s="387">
        <v>37328.46</v>
      </c>
      <c r="F18" s="387">
        <v>49735.79</v>
      </c>
      <c r="G18" s="387">
        <v>99943.55</v>
      </c>
      <c r="H18" s="387">
        <v>215510.96</v>
      </c>
      <c r="I18" s="387">
        <v>215510.96</v>
      </c>
      <c r="J18" s="387">
        <v>215510.96</v>
      </c>
      <c r="K18" s="387">
        <v>215426.05</v>
      </c>
      <c r="L18" s="387">
        <v>217512.74</v>
      </c>
      <c r="M18" s="387">
        <v>226910.96</v>
      </c>
      <c r="N18" s="387">
        <v>191014.53</v>
      </c>
      <c r="O18" s="387">
        <v>147110.96</v>
      </c>
      <c r="P18" s="387">
        <v>168770.96</v>
      </c>
      <c r="Q18" s="387">
        <f>SUM(E18:P18)</f>
        <v>2000286.88</v>
      </c>
      <c r="R18" s="377" t="s">
        <v>372</v>
      </c>
    </row>
    <row r="19" spans="1:23" s="222" customFormat="1">
      <c r="E19" s="270"/>
      <c r="F19" s="270"/>
      <c r="G19" s="270"/>
      <c r="H19" s="270"/>
      <c r="I19" s="270"/>
      <c r="J19" s="270"/>
      <c r="K19" s="270"/>
      <c r="L19" s="270"/>
      <c r="M19" s="270"/>
      <c r="N19" s="270"/>
      <c r="O19" s="270"/>
      <c r="P19" s="270"/>
      <c r="Q19" s="270"/>
    </row>
    <row r="20" spans="1:23">
      <c r="A20" s="195" t="s">
        <v>44</v>
      </c>
      <c r="T20" s="198" t="s">
        <v>281</v>
      </c>
      <c r="U20" s="198"/>
      <c r="V20" s="198"/>
      <c r="W20" s="198"/>
    </row>
    <row r="21" spans="1:23">
      <c r="A21" t="s">
        <v>220</v>
      </c>
      <c r="B21" t="s">
        <v>208</v>
      </c>
      <c r="C21" t="s">
        <v>209</v>
      </c>
      <c r="D21">
        <v>2017</v>
      </c>
      <c r="E21" s="39">
        <v>27360</v>
      </c>
      <c r="F21" s="39">
        <v>30780</v>
      </c>
      <c r="G21" s="39">
        <v>30780</v>
      </c>
      <c r="H21" s="39">
        <v>27360</v>
      </c>
      <c r="I21" s="39">
        <v>31920</v>
      </c>
      <c r="J21" s="39">
        <v>31920</v>
      </c>
      <c r="K21" s="39">
        <v>27360</v>
      </c>
      <c r="L21" s="39">
        <v>31920</v>
      </c>
      <c r="M21" s="39">
        <v>31920</v>
      </c>
      <c r="N21" s="39">
        <v>27360</v>
      </c>
      <c r="O21" s="39">
        <v>31920</v>
      </c>
      <c r="P21" s="39">
        <v>31920</v>
      </c>
      <c r="Q21" s="39">
        <f t="shared" ref="Q21:Q26" si="2">SUM(E21:P21)</f>
        <v>362520</v>
      </c>
      <c r="T21" s="557">
        <v>2017</v>
      </c>
      <c r="U21" s="558"/>
      <c r="V21" s="559"/>
    </row>
    <row r="22" spans="1:23">
      <c r="A22" t="s">
        <v>220</v>
      </c>
      <c r="B22" t="s">
        <v>211</v>
      </c>
      <c r="C22" t="s">
        <v>212</v>
      </c>
      <c r="D22">
        <v>2017</v>
      </c>
      <c r="E22" s="39">
        <v>13680</v>
      </c>
      <c r="F22" s="39">
        <v>13680</v>
      </c>
      <c r="G22" s="39">
        <v>17100</v>
      </c>
      <c r="H22" s="39">
        <v>13680</v>
      </c>
      <c r="I22" s="39">
        <v>13680</v>
      </c>
      <c r="J22" s="39">
        <v>17100</v>
      </c>
      <c r="K22" s="39">
        <v>13680</v>
      </c>
      <c r="L22" s="39">
        <v>13680</v>
      </c>
      <c r="M22" s="39">
        <v>17100</v>
      </c>
      <c r="N22" s="39">
        <v>13680</v>
      </c>
      <c r="O22" s="39">
        <v>13680</v>
      </c>
      <c r="P22" s="39">
        <v>17100</v>
      </c>
      <c r="Q22" s="39">
        <f t="shared" si="2"/>
        <v>177840</v>
      </c>
      <c r="T22" s="395" t="s">
        <v>360</v>
      </c>
      <c r="U22" s="395" t="s">
        <v>358</v>
      </c>
      <c r="V22" s="395" t="s">
        <v>359</v>
      </c>
    </row>
    <row r="23" spans="1:23">
      <c r="A23" t="s">
        <v>220</v>
      </c>
      <c r="B23" t="s">
        <v>213</v>
      </c>
      <c r="C23" t="s">
        <v>214</v>
      </c>
      <c r="D23">
        <v>2017</v>
      </c>
      <c r="E23" s="39">
        <v>12540</v>
      </c>
      <c r="F23" s="39">
        <v>13680</v>
      </c>
      <c r="G23" s="39">
        <v>13680</v>
      </c>
      <c r="H23" s="39">
        <v>12540</v>
      </c>
      <c r="I23" s="39">
        <v>14820</v>
      </c>
      <c r="J23" s="39">
        <v>13680</v>
      </c>
      <c r="K23" s="39">
        <v>12540</v>
      </c>
      <c r="L23" s="39">
        <v>13680</v>
      </c>
      <c r="M23" s="39">
        <v>13680</v>
      </c>
      <c r="N23" s="39">
        <v>12540</v>
      </c>
      <c r="O23" s="39">
        <v>13680</v>
      </c>
      <c r="P23" s="39">
        <v>13680</v>
      </c>
      <c r="Q23" s="39">
        <f t="shared" si="2"/>
        <v>160740</v>
      </c>
      <c r="T23" t="s">
        <v>205</v>
      </c>
      <c r="U23" s="396">
        <f>VLOOKUP($T23,$B$3:$Q$14,16,FALSE)</f>
        <v>4137475.7199999997</v>
      </c>
      <c r="V23" s="396">
        <f>U23*0.5</f>
        <v>2068737.8599999999</v>
      </c>
    </row>
    <row r="24" spans="1:23">
      <c r="A24" t="s">
        <v>220</v>
      </c>
      <c r="B24" t="s">
        <v>215</v>
      </c>
      <c r="C24" t="s">
        <v>216</v>
      </c>
      <c r="D24">
        <v>2017</v>
      </c>
      <c r="E24" s="39">
        <v>31481.37</v>
      </c>
      <c r="F24" s="39">
        <v>27719.1</v>
      </c>
      <c r="G24" s="39">
        <v>32065.94</v>
      </c>
      <c r="H24" s="39">
        <v>27261.81</v>
      </c>
      <c r="I24" s="39">
        <v>30640.07</v>
      </c>
      <c r="J24" s="39">
        <v>29305.439999999999</v>
      </c>
      <c r="K24" s="39">
        <v>27055.65</v>
      </c>
      <c r="L24" s="39">
        <v>33454.080000000002</v>
      </c>
      <c r="M24" s="39">
        <v>29623.45</v>
      </c>
      <c r="N24" s="39">
        <v>30651.88</v>
      </c>
      <c r="O24" s="39">
        <v>28899.46</v>
      </c>
      <c r="P24" s="39">
        <v>25618.04</v>
      </c>
      <c r="Q24" s="39">
        <f t="shared" si="2"/>
        <v>353776.29000000004</v>
      </c>
      <c r="T24" t="s">
        <v>207</v>
      </c>
      <c r="U24" s="396">
        <f>VLOOKUP($T24,$B$3:$Q$14,16,FALSE)</f>
        <v>42870.030000000013</v>
      </c>
      <c r="V24" s="396">
        <f>U24*0.5</f>
        <v>21435.015000000007</v>
      </c>
    </row>
    <row r="25" spans="1:23">
      <c r="A25" t="s">
        <v>220</v>
      </c>
      <c r="B25" t="s">
        <v>217</v>
      </c>
      <c r="C25" t="s">
        <v>218</v>
      </c>
      <c r="D25">
        <v>2017</v>
      </c>
      <c r="E25" s="39">
        <v>0</v>
      </c>
      <c r="F25" s="39">
        <v>3866.56</v>
      </c>
      <c r="G25" s="39">
        <v>0</v>
      </c>
      <c r="H25" s="39">
        <v>11499.84</v>
      </c>
      <c r="I25" s="39">
        <v>11400</v>
      </c>
      <c r="J25" s="39">
        <v>11499.84</v>
      </c>
      <c r="K25" s="39">
        <v>1140</v>
      </c>
      <c r="L25" s="39">
        <v>0</v>
      </c>
      <c r="M25" s="39">
        <v>0</v>
      </c>
      <c r="N25" s="39">
        <v>3866.56</v>
      </c>
      <c r="O25" s="39">
        <v>0</v>
      </c>
      <c r="P25" s="39">
        <v>1933.28</v>
      </c>
      <c r="Q25" s="39">
        <f t="shared" si="2"/>
        <v>45206.080000000002</v>
      </c>
      <c r="T25" s="393" t="s">
        <v>210</v>
      </c>
      <c r="U25" s="397">
        <f>VLOOKUP($T25,$B$3:$Q$14,16,FALSE)</f>
        <v>24001384.879999999</v>
      </c>
      <c r="V25" s="397">
        <f>U25*0.5</f>
        <v>12000692.439999999</v>
      </c>
    </row>
    <row r="26" spans="1:23">
      <c r="A26" t="s">
        <v>220</v>
      </c>
      <c r="B26" t="s">
        <v>325</v>
      </c>
      <c r="C26" t="s">
        <v>326</v>
      </c>
      <c r="D26">
        <v>2017</v>
      </c>
      <c r="E26" s="220">
        <v>17100</v>
      </c>
      <c r="F26" s="220">
        <v>17100</v>
      </c>
      <c r="G26" s="220">
        <v>17100</v>
      </c>
      <c r="H26" s="220">
        <v>17100</v>
      </c>
      <c r="I26" s="220">
        <v>17100</v>
      </c>
      <c r="J26" s="220">
        <v>17100</v>
      </c>
      <c r="K26" s="220">
        <v>17100</v>
      </c>
      <c r="L26" s="220">
        <v>17100</v>
      </c>
      <c r="M26" s="220">
        <v>17100</v>
      </c>
      <c r="N26" s="220">
        <v>17100</v>
      </c>
      <c r="O26" s="220">
        <v>17100</v>
      </c>
      <c r="P26" s="220">
        <v>17100</v>
      </c>
      <c r="Q26" s="220">
        <f t="shared" si="2"/>
        <v>205200</v>
      </c>
      <c r="U26" s="21">
        <f>SUM(U23:U25)</f>
        <v>28181730.629999999</v>
      </c>
      <c r="V26" s="21">
        <f>SUM(V23:V25)</f>
        <v>14090865.314999999</v>
      </c>
    </row>
    <row r="27" spans="1:23">
      <c r="C27" s="4" t="s">
        <v>221</v>
      </c>
      <c r="E27" s="196">
        <f t="shared" ref="E27:Q27" si="3">SUM(E21:E26)</f>
        <v>102161.37</v>
      </c>
      <c r="F27" s="196">
        <f t="shared" si="3"/>
        <v>106825.66</v>
      </c>
      <c r="G27" s="196">
        <f t="shared" si="3"/>
        <v>110725.94</v>
      </c>
      <c r="H27" s="196">
        <f t="shared" si="3"/>
        <v>109441.65</v>
      </c>
      <c r="I27" s="196">
        <f t="shared" si="3"/>
        <v>119560.07</v>
      </c>
      <c r="J27" s="196">
        <f t="shared" si="3"/>
        <v>120605.28</v>
      </c>
      <c r="K27" s="196">
        <f t="shared" si="3"/>
        <v>98875.65</v>
      </c>
      <c r="L27" s="196">
        <f t="shared" si="3"/>
        <v>109834.08</v>
      </c>
      <c r="M27" s="196">
        <f t="shared" si="3"/>
        <v>109423.45</v>
      </c>
      <c r="N27" s="196">
        <f t="shared" si="3"/>
        <v>105198.44</v>
      </c>
      <c r="O27" s="196">
        <f t="shared" si="3"/>
        <v>105279.45999999999</v>
      </c>
      <c r="P27" s="196">
        <f t="shared" si="3"/>
        <v>107351.32</v>
      </c>
      <c r="Q27" s="196">
        <f t="shared" si="3"/>
        <v>1305282.3700000001</v>
      </c>
    </row>
    <row r="28" spans="1:23">
      <c r="V28" s="399"/>
    </row>
    <row r="29" spans="1:23">
      <c r="C29" s="4" t="s">
        <v>327</v>
      </c>
      <c r="E29" s="196">
        <f t="shared" ref="E29:P29" si="4">E15+E27+E18</f>
        <v>3020993.4500000007</v>
      </c>
      <c r="F29" s="196">
        <f t="shared" si="4"/>
        <v>3085820.7</v>
      </c>
      <c r="G29" s="196">
        <f t="shared" si="4"/>
        <v>3962048.73</v>
      </c>
      <c r="H29" s="196">
        <f t="shared" si="4"/>
        <v>4355490.2700000005</v>
      </c>
      <c r="I29" s="196">
        <f t="shared" si="4"/>
        <v>4593260.6700000009</v>
      </c>
      <c r="J29" s="196">
        <f t="shared" si="4"/>
        <v>4716346.4400000004</v>
      </c>
      <c r="K29" s="196">
        <f t="shared" si="4"/>
        <v>4677456.83</v>
      </c>
      <c r="L29" s="196">
        <f t="shared" si="4"/>
        <v>5065685.53</v>
      </c>
      <c r="M29" s="196">
        <f t="shared" si="4"/>
        <v>4614377.78</v>
      </c>
      <c r="N29" s="196">
        <f t="shared" si="4"/>
        <v>4565259.57</v>
      </c>
      <c r="O29" s="196">
        <f t="shared" si="4"/>
        <v>4150742.4999999995</v>
      </c>
      <c r="P29" s="196">
        <f t="shared" si="4"/>
        <v>3666153.03</v>
      </c>
      <c r="Q29" s="196">
        <f>Q15+Q27+Q18</f>
        <v>50473635.499999993</v>
      </c>
      <c r="T29" s="394"/>
      <c r="U29" s="394"/>
      <c r="V29" s="394"/>
    </row>
    <row r="30" spans="1:23">
      <c r="C30" s="4"/>
      <c r="E30" s="196"/>
      <c r="F30" s="196"/>
      <c r="G30" s="196"/>
      <c r="H30" s="196"/>
      <c r="I30" s="196"/>
      <c r="J30" s="196"/>
      <c r="K30" s="196"/>
      <c r="L30" s="196"/>
      <c r="M30" s="196"/>
      <c r="N30" s="196"/>
      <c r="O30" s="196"/>
      <c r="P30" s="196"/>
      <c r="Q30" s="196"/>
    </row>
    <row r="31" spans="1:23">
      <c r="A31" s="195" t="s">
        <v>197</v>
      </c>
    </row>
    <row r="32" spans="1:23">
      <c r="A32" t="s">
        <v>198</v>
      </c>
      <c r="B32" t="s">
        <v>199</v>
      </c>
      <c r="C32" t="s">
        <v>200</v>
      </c>
      <c r="D32">
        <v>2018</v>
      </c>
      <c r="E32" s="39">
        <v>186185.53</v>
      </c>
      <c r="F32" s="39">
        <v>160489.14000000001</v>
      </c>
      <c r="G32" s="39">
        <v>169260.06</v>
      </c>
      <c r="H32" s="39">
        <v>162592.25</v>
      </c>
      <c r="I32" s="39">
        <v>176374.84</v>
      </c>
      <c r="J32" s="39">
        <v>158518.10999999999</v>
      </c>
      <c r="K32" s="39">
        <v>159817.35999999999</v>
      </c>
      <c r="L32" s="39">
        <v>186878.72</v>
      </c>
      <c r="M32" s="39">
        <v>162215.48000000001</v>
      </c>
      <c r="N32" s="39">
        <v>180247.71</v>
      </c>
      <c r="O32" s="39">
        <v>167622.68</v>
      </c>
      <c r="P32" s="39">
        <v>157909.67000000001</v>
      </c>
      <c r="Q32" s="39">
        <f t="shared" ref="Q32:Q43" si="5">SUM(E32:P32)</f>
        <v>2028111.5499999998</v>
      </c>
    </row>
    <row r="33" spans="1:18">
      <c r="A33" t="s">
        <v>198</v>
      </c>
      <c r="B33" t="s">
        <v>201</v>
      </c>
      <c r="C33" t="s">
        <v>202</v>
      </c>
      <c r="D33">
        <v>2018</v>
      </c>
      <c r="E33" s="39">
        <v>12063.07</v>
      </c>
      <c r="F33" s="39">
        <v>8642.9699999999993</v>
      </c>
      <c r="G33" s="39">
        <v>9978.69</v>
      </c>
      <c r="H33" s="39">
        <v>14011.59</v>
      </c>
      <c r="I33" s="39">
        <v>22487.79</v>
      </c>
      <c r="J33" s="39">
        <v>7893.27</v>
      </c>
      <c r="K33" s="39">
        <v>11927.31</v>
      </c>
      <c r="L33" s="39">
        <v>10922.97</v>
      </c>
      <c r="M33" s="39">
        <v>8727.43</v>
      </c>
      <c r="N33" s="39">
        <v>16982.37</v>
      </c>
      <c r="O33" s="39">
        <v>12062.97</v>
      </c>
      <c r="P33" s="39">
        <v>4337.6099999999997</v>
      </c>
      <c r="Q33" s="39">
        <f t="shared" si="5"/>
        <v>140038.04</v>
      </c>
    </row>
    <row r="34" spans="1:18">
      <c r="A34" t="s">
        <v>198</v>
      </c>
      <c r="B34" t="s">
        <v>203</v>
      </c>
      <c r="C34" t="s">
        <v>204</v>
      </c>
      <c r="D34">
        <v>2018</v>
      </c>
      <c r="E34" s="39">
        <v>4186.8</v>
      </c>
      <c r="F34" s="39">
        <v>0</v>
      </c>
      <c r="G34" s="39">
        <v>8746.7999999999993</v>
      </c>
      <c r="H34" s="39">
        <v>0</v>
      </c>
      <c r="I34" s="39">
        <v>13306.8</v>
      </c>
      <c r="J34" s="39">
        <v>34200</v>
      </c>
      <c r="K34" s="39">
        <v>11400</v>
      </c>
      <c r="L34" s="39">
        <v>11026.8</v>
      </c>
      <c r="M34" s="39">
        <v>0</v>
      </c>
      <c r="N34" s="39">
        <v>4186.8</v>
      </c>
      <c r="O34" s="39">
        <v>4560</v>
      </c>
      <c r="P34" s="39">
        <v>7793.4</v>
      </c>
      <c r="Q34" s="39">
        <f t="shared" si="5"/>
        <v>99407.4</v>
      </c>
    </row>
    <row r="35" spans="1:18">
      <c r="A35" t="s">
        <v>198</v>
      </c>
      <c r="B35" t="s">
        <v>205</v>
      </c>
      <c r="C35" t="s">
        <v>206</v>
      </c>
      <c r="D35">
        <v>2018</v>
      </c>
      <c r="E35" s="39">
        <v>387527.36</v>
      </c>
      <c r="F35" s="39">
        <v>325903.34000000003</v>
      </c>
      <c r="G35" s="39">
        <v>356177.76</v>
      </c>
      <c r="H35" s="39">
        <v>340813.14</v>
      </c>
      <c r="I35" s="39">
        <v>373653.38</v>
      </c>
      <c r="J35" s="39">
        <v>336399.05</v>
      </c>
      <c r="K35" s="39">
        <v>341054.36</v>
      </c>
      <c r="L35" s="39">
        <v>397880.68</v>
      </c>
      <c r="M35" s="39">
        <v>338179.39</v>
      </c>
      <c r="N35" s="39">
        <v>381704.17</v>
      </c>
      <c r="O35" s="39">
        <v>348481.75</v>
      </c>
      <c r="P35" s="39">
        <v>312069.15999999997</v>
      </c>
      <c r="Q35" s="39">
        <f t="shared" si="5"/>
        <v>4239843.54</v>
      </c>
    </row>
    <row r="36" spans="1:18">
      <c r="A36" t="s">
        <v>198</v>
      </c>
      <c r="B36" t="s">
        <v>207</v>
      </c>
      <c r="C36" t="s">
        <v>369</v>
      </c>
      <c r="D36">
        <v>2018</v>
      </c>
      <c r="E36" s="39">
        <v>1140</v>
      </c>
      <c r="F36" s="39">
        <v>4373.3999999999996</v>
      </c>
      <c r="G36" s="39">
        <v>3224.28</v>
      </c>
      <c r="H36" s="39">
        <v>4560</v>
      </c>
      <c r="I36" s="39">
        <v>3224.28</v>
      </c>
      <c r="J36" s="39">
        <v>10636.5</v>
      </c>
      <c r="K36" s="39">
        <v>3224.28</v>
      </c>
      <c r="L36" s="39">
        <v>3224.28</v>
      </c>
      <c r="M36" s="39">
        <v>3224.28</v>
      </c>
      <c r="N36" s="39">
        <v>4364.28</v>
      </c>
      <c r="O36" s="39">
        <v>3224.28</v>
      </c>
      <c r="P36" s="39">
        <v>1140</v>
      </c>
      <c r="Q36" s="39">
        <f t="shared" si="5"/>
        <v>45559.859999999993</v>
      </c>
    </row>
    <row r="37" spans="1:18">
      <c r="A37" t="s">
        <v>198</v>
      </c>
      <c r="B37" t="s">
        <v>208</v>
      </c>
      <c r="C37" t="s">
        <v>209</v>
      </c>
      <c r="D37">
        <v>2018</v>
      </c>
      <c r="E37" s="39">
        <v>324961.05</v>
      </c>
      <c r="F37" s="39">
        <v>329947.18</v>
      </c>
      <c r="G37" s="39">
        <v>332498.55</v>
      </c>
      <c r="H37" s="39">
        <v>328543.65999999997</v>
      </c>
      <c r="I37" s="39">
        <v>333103.65999999997</v>
      </c>
      <c r="J37" s="39">
        <v>328901.58</v>
      </c>
      <c r="K37" s="39">
        <v>326977.52</v>
      </c>
      <c r="L37" s="39">
        <v>335120.13</v>
      </c>
      <c r="M37" s="39">
        <v>333103.65999999997</v>
      </c>
      <c r="N37" s="39">
        <v>330560.13</v>
      </c>
      <c r="O37" s="39">
        <v>333103.65999999997</v>
      </c>
      <c r="P37" s="39">
        <v>362743.66</v>
      </c>
      <c r="Q37" s="39">
        <f t="shared" si="5"/>
        <v>3999564.4400000004</v>
      </c>
    </row>
    <row r="38" spans="1:18">
      <c r="A38" t="s">
        <v>198</v>
      </c>
      <c r="B38" t="s">
        <v>211</v>
      </c>
      <c r="C38" t="s">
        <v>212</v>
      </c>
      <c r="D38">
        <v>2018</v>
      </c>
      <c r="E38" s="39">
        <v>386063.56</v>
      </c>
      <c r="F38" s="39">
        <v>377913.09</v>
      </c>
      <c r="G38" s="39">
        <v>393516.51</v>
      </c>
      <c r="H38" s="39">
        <v>382115.16</v>
      </c>
      <c r="I38" s="39">
        <v>387995.48</v>
      </c>
      <c r="J38" s="39">
        <v>383265</v>
      </c>
      <c r="K38" s="39">
        <v>377828.52</v>
      </c>
      <c r="L38" s="39">
        <v>389561.59999999998</v>
      </c>
      <c r="M38" s="39">
        <v>381502.2</v>
      </c>
      <c r="N38" s="39">
        <v>390181.07</v>
      </c>
      <c r="O38" s="39">
        <v>385528.65</v>
      </c>
      <c r="P38" s="39">
        <v>365805.73</v>
      </c>
      <c r="Q38" s="39">
        <f t="shared" si="5"/>
        <v>4601276.57</v>
      </c>
    </row>
    <row r="39" spans="1:18">
      <c r="A39" t="s">
        <v>198</v>
      </c>
      <c r="B39" t="s">
        <v>213</v>
      </c>
      <c r="C39" t="s">
        <v>214</v>
      </c>
      <c r="D39">
        <v>2018</v>
      </c>
      <c r="E39" s="39">
        <v>55664.67</v>
      </c>
      <c r="F39" s="39">
        <v>54524.67</v>
      </c>
      <c r="G39" s="39">
        <v>49606.74</v>
      </c>
      <c r="H39" s="39">
        <v>48466.74</v>
      </c>
      <c r="I39" s="39">
        <v>50746.74</v>
      </c>
      <c r="J39" s="39">
        <v>49606.74</v>
      </c>
      <c r="K39" s="39">
        <v>46365.71</v>
      </c>
      <c r="L39" s="39">
        <v>49606.74</v>
      </c>
      <c r="M39" s="39">
        <v>49606.74</v>
      </c>
      <c r="N39" s="39">
        <v>48466.74</v>
      </c>
      <c r="O39" s="39">
        <v>49606.74</v>
      </c>
      <c r="P39" s="39">
        <v>47505.71</v>
      </c>
      <c r="Q39" s="39">
        <f t="shared" si="5"/>
        <v>599774.67999999993</v>
      </c>
    </row>
    <row r="40" spans="1:18">
      <c r="A40" t="s">
        <v>198</v>
      </c>
      <c r="B40" t="s">
        <v>215</v>
      </c>
      <c r="C40" t="s">
        <v>216</v>
      </c>
      <c r="D40">
        <v>2018</v>
      </c>
      <c r="E40" s="39">
        <v>182995.97</v>
      </c>
      <c r="F40" s="39">
        <v>154533.23000000001</v>
      </c>
      <c r="G40" s="39">
        <v>169606.99</v>
      </c>
      <c r="H40" s="39">
        <v>161299.14000000001</v>
      </c>
      <c r="I40" s="39">
        <v>178027.04</v>
      </c>
      <c r="J40" s="39">
        <v>159554.56</v>
      </c>
      <c r="K40" s="39">
        <v>162594.53</v>
      </c>
      <c r="L40" s="39">
        <v>191476.63</v>
      </c>
      <c r="M40" s="39">
        <v>162282.1</v>
      </c>
      <c r="N40" s="39">
        <v>182293.42</v>
      </c>
      <c r="O40" s="39">
        <v>165401.94</v>
      </c>
      <c r="P40" s="39">
        <v>147852.20000000001</v>
      </c>
      <c r="Q40" s="39">
        <f t="shared" si="5"/>
        <v>2017917.7500000002</v>
      </c>
    </row>
    <row r="41" spans="1:18">
      <c r="A41" t="s">
        <v>198</v>
      </c>
      <c r="B41" t="s">
        <v>217</v>
      </c>
      <c r="C41" t="s">
        <v>218</v>
      </c>
      <c r="D41">
        <v>2018</v>
      </c>
      <c r="E41" s="39">
        <v>7704.19</v>
      </c>
      <c r="F41" s="39">
        <v>7704.33</v>
      </c>
      <c r="G41" s="39">
        <v>11601.57</v>
      </c>
      <c r="H41" s="39">
        <v>13550.19</v>
      </c>
      <c r="I41" s="39">
        <v>12741.57</v>
      </c>
      <c r="J41" s="39">
        <v>7704.33</v>
      </c>
      <c r="K41" s="39">
        <v>7704.33</v>
      </c>
      <c r="L41" s="39">
        <v>11601.57</v>
      </c>
      <c r="M41" s="39">
        <v>8844.33</v>
      </c>
      <c r="N41" s="39">
        <v>11601.57</v>
      </c>
      <c r="O41" s="39">
        <v>13550.19</v>
      </c>
      <c r="P41" s="39">
        <v>7704.33</v>
      </c>
      <c r="Q41" s="39">
        <f t="shared" si="5"/>
        <v>122012.49999999999</v>
      </c>
    </row>
    <row r="42" spans="1:18">
      <c r="A42" s="198" t="s">
        <v>198</v>
      </c>
      <c r="B42" s="198" t="s">
        <v>373</v>
      </c>
      <c r="C42" s="198" t="s">
        <v>374</v>
      </c>
      <c r="D42" s="198">
        <v>2018</v>
      </c>
      <c r="E42" s="199">
        <v>134055.41</v>
      </c>
      <c r="F42" s="199">
        <v>286749.19</v>
      </c>
      <c r="G42" s="199">
        <v>912267.63</v>
      </c>
      <c r="H42" s="199">
        <v>913749.19</v>
      </c>
      <c r="I42" s="199">
        <v>913749.19</v>
      </c>
      <c r="J42" s="199">
        <v>1022049.19</v>
      </c>
      <c r="K42" s="199">
        <v>942249.19</v>
      </c>
      <c r="L42" s="199">
        <v>942249.19</v>
      </c>
      <c r="M42" s="199">
        <v>942249.19</v>
      </c>
      <c r="N42" s="199">
        <v>942249.19</v>
      </c>
      <c r="O42" s="199">
        <v>776949.19</v>
      </c>
      <c r="P42" s="199">
        <v>686889.19</v>
      </c>
      <c r="Q42" s="199">
        <f t="shared" si="5"/>
        <v>9415454.9399999976</v>
      </c>
      <c r="R42" s="198" t="s">
        <v>372</v>
      </c>
    </row>
    <row r="43" spans="1:18">
      <c r="A43" s="198" t="s">
        <v>198</v>
      </c>
      <c r="B43" s="198" t="s">
        <v>370</v>
      </c>
      <c r="C43" s="198" t="s">
        <v>371</v>
      </c>
      <c r="D43" s="198">
        <v>2018</v>
      </c>
      <c r="E43" s="375">
        <v>1358103.19</v>
      </c>
      <c r="F43" s="375">
        <v>1373178.07</v>
      </c>
      <c r="G43" s="375">
        <v>1628357.32</v>
      </c>
      <c r="H43" s="375">
        <v>1643178.53</v>
      </c>
      <c r="I43" s="375">
        <v>1699518.61</v>
      </c>
      <c r="J43" s="375">
        <v>1729786</v>
      </c>
      <c r="K43" s="375">
        <v>1740449.26</v>
      </c>
      <c r="L43" s="375">
        <v>1889198.12</v>
      </c>
      <c r="M43" s="375">
        <v>1669762.17</v>
      </c>
      <c r="N43" s="375">
        <v>1666346.84</v>
      </c>
      <c r="O43" s="375">
        <v>1633930.6</v>
      </c>
      <c r="P43" s="375">
        <v>1567469.06</v>
      </c>
      <c r="Q43" s="375">
        <f t="shared" si="5"/>
        <v>19599277.77</v>
      </c>
      <c r="R43" s="198" t="s">
        <v>372</v>
      </c>
    </row>
    <row r="44" spans="1:18">
      <c r="C44" s="4" t="s">
        <v>219</v>
      </c>
      <c r="E44" s="196">
        <f t="shared" ref="E44:Q44" si="6">SUM(E32:E43)</f>
        <v>3040650.8</v>
      </c>
      <c r="F44" s="196">
        <f t="shared" si="6"/>
        <v>3083958.6100000003</v>
      </c>
      <c r="G44" s="196">
        <f t="shared" si="6"/>
        <v>4044842.9000000004</v>
      </c>
      <c r="H44" s="196">
        <f t="shared" si="6"/>
        <v>4012879.59</v>
      </c>
      <c r="I44" s="196">
        <f t="shared" si="6"/>
        <v>4164929.38</v>
      </c>
      <c r="J44" s="196">
        <f t="shared" si="6"/>
        <v>4228514.33</v>
      </c>
      <c r="K44" s="196">
        <f t="shared" si="6"/>
        <v>4131592.37</v>
      </c>
      <c r="L44" s="196">
        <f t="shared" si="6"/>
        <v>4418747.43</v>
      </c>
      <c r="M44" s="196">
        <f t="shared" si="6"/>
        <v>4059696.9699999997</v>
      </c>
      <c r="N44" s="196">
        <f t="shared" si="6"/>
        <v>4159184.29</v>
      </c>
      <c r="O44" s="196">
        <f t="shared" si="6"/>
        <v>3894022.65</v>
      </c>
      <c r="P44" s="196">
        <f t="shared" si="6"/>
        <v>3669219.72</v>
      </c>
      <c r="Q44" s="196">
        <f t="shared" si="6"/>
        <v>46908239.039999999</v>
      </c>
    </row>
    <row r="45" spans="1:18">
      <c r="A45" s="195" t="s">
        <v>44</v>
      </c>
    </row>
    <row r="46" spans="1:18">
      <c r="A46" t="s">
        <v>220</v>
      </c>
      <c r="B46" t="s">
        <v>215</v>
      </c>
      <c r="C46" t="s">
        <v>216</v>
      </c>
      <c r="D46">
        <v>2018</v>
      </c>
      <c r="E46" s="39">
        <v>33548.199999999997</v>
      </c>
      <c r="F46" s="39">
        <v>28399.08</v>
      </c>
      <c r="G46" s="39">
        <v>31287.51</v>
      </c>
      <c r="H46" s="39">
        <v>29694.04</v>
      </c>
      <c r="I46" s="39">
        <v>32777.99</v>
      </c>
      <c r="J46" s="39">
        <v>29274.59</v>
      </c>
      <c r="K46" s="39">
        <v>29837.88</v>
      </c>
      <c r="L46" s="39">
        <v>35167.31</v>
      </c>
      <c r="M46" s="39">
        <v>29381.99</v>
      </c>
      <c r="N46" s="39">
        <v>33618.82</v>
      </c>
      <c r="O46" s="39">
        <v>30303.37</v>
      </c>
      <c r="P46" s="39">
        <v>26844.63</v>
      </c>
      <c r="Q46" s="39">
        <f>SUM(E46:P46)</f>
        <v>370135.41</v>
      </c>
    </row>
    <row r="47" spans="1:18">
      <c r="A47" t="s">
        <v>220</v>
      </c>
      <c r="B47" t="s">
        <v>217</v>
      </c>
      <c r="C47" t="s">
        <v>218</v>
      </c>
      <c r="D47">
        <v>2018</v>
      </c>
      <c r="E47" s="39">
        <v>0</v>
      </c>
      <c r="F47" s="39">
        <v>4186.8</v>
      </c>
      <c r="G47" s="39">
        <v>0</v>
      </c>
      <c r="H47" s="39">
        <v>11980.2</v>
      </c>
      <c r="I47" s="39">
        <v>11400</v>
      </c>
      <c r="J47" s="39">
        <v>11980.2</v>
      </c>
      <c r="K47" s="39">
        <v>0</v>
      </c>
      <c r="L47" s="39">
        <v>1140</v>
      </c>
      <c r="M47" s="39">
        <v>0</v>
      </c>
      <c r="N47" s="39">
        <v>4186.8</v>
      </c>
      <c r="O47" s="39">
        <v>0</v>
      </c>
      <c r="P47" s="39">
        <v>2093.4</v>
      </c>
      <c r="Q47" s="39">
        <f>SUM(E47:P47)</f>
        <v>46967.4</v>
      </c>
    </row>
    <row r="48" spans="1:18">
      <c r="A48" s="198" t="s">
        <v>220</v>
      </c>
      <c r="B48" s="198" t="s">
        <v>370</v>
      </c>
      <c r="C48" s="198" t="s">
        <v>371</v>
      </c>
      <c r="D48" s="198">
        <v>2018</v>
      </c>
      <c r="E48" s="375">
        <v>27360</v>
      </c>
      <c r="F48" s="375">
        <v>30780</v>
      </c>
      <c r="G48" s="375">
        <v>30780</v>
      </c>
      <c r="H48" s="375">
        <v>27360</v>
      </c>
      <c r="I48" s="375">
        <v>38760</v>
      </c>
      <c r="J48" s="375">
        <v>38760</v>
      </c>
      <c r="K48" s="375">
        <v>34200</v>
      </c>
      <c r="L48" s="375">
        <v>38760</v>
      </c>
      <c r="M48" s="375">
        <v>38760</v>
      </c>
      <c r="N48" s="375">
        <v>30780</v>
      </c>
      <c r="O48" s="375">
        <v>31920</v>
      </c>
      <c r="P48" s="375">
        <v>31920</v>
      </c>
      <c r="Q48" s="375">
        <f>SUM(E48:P48)</f>
        <v>400140</v>
      </c>
      <c r="R48" s="198" t="s">
        <v>372</v>
      </c>
    </row>
    <row r="49" spans="1:18">
      <c r="C49" s="4" t="s">
        <v>221</v>
      </c>
      <c r="E49" s="196">
        <f t="shared" ref="E49:Q49" si="7">SUM(E46:E48)</f>
        <v>60908.2</v>
      </c>
      <c r="F49" s="196">
        <f t="shared" si="7"/>
        <v>63365.880000000005</v>
      </c>
      <c r="G49" s="196">
        <f t="shared" si="7"/>
        <v>62067.509999999995</v>
      </c>
      <c r="H49" s="196">
        <f t="shared" si="7"/>
        <v>69034.240000000005</v>
      </c>
      <c r="I49" s="196">
        <f t="shared" si="7"/>
        <v>82937.989999999991</v>
      </c>
      <c r="J49" s="196">
        <f t="shared" si="7"/>
        <v>80014.790000000008</v>
      </c>
      <c r="K49" s="196">
        <f t="shared" si="7"/>
        <v>64037.880000000005</v>
      </c>
      <c r="L49" s="196">
        <f t="shared" si="7"/>
        <v>75067.31</v>
      </c>
      <c r="M49" s="196">
        <f t="shared" si="7"/>
        <v>68141.990000000005</v>
      </c>
      <c r="N49" s="196">
        <f t="shared" si="7"/>
        <v>68585.62</v>
      </c>
      <c r="O49" s="196">
        <f t="shared" si="7"/>
        <v>62223.369999999995</v>
      </c>
      <c r="P49" s="196">
        <f t="shared" si="7"/>
        <v>60858.03</v>
      </c>
      <c r="Q49" s="196">
        <f t="shared" si="7"/>
        <v>817242.81</v>
      </c>
    </row>
    <row r="51" spans="1:18">
      <c r="C51" s="4" t="s">
        <v>375</v>
      </c>
      <c r="E51" s="196">
        <f t="shared" ref="E51:Q51" si="8">E44+E49</f>
        <v>3101559</v>
      </c>
      <c r="F51" s="196">
        <f t="shared" si="8"/>
        <v>3147324.49</v>
      </c>
      <c r="G51" s="196">
        <f t="shared" si="8"/>
        <v>4106910.41</v>
      </c>
      <c r="H51" s="196">
        <f t="shared" si="8"/>
        <v>4081913.83</v>
      </c>
      <c r="I51" s="196">
        <f t="shared" si="8"/>
        <v>4247867.37</v>
      </c>
      <c r="J51" s="196">
        <f t="shared" si="8"/>
        <v>4308529.12</v>
      </c>
      <c r="K51" s="196">
        <f t="shared" si="8"/>
        <v>4195630.25</v>
      </c>
      <c r="L51" s="196">
        <f t="shared" si="8"/>
        <v>4493814.7399999993</v>
      </c>
      <c r="M51" s="196">
        <f t="shared" si="8"/>
        <v>4127838.96</v>
      </c>
      <c r="N51" s="196">
        <f t="shared" si="8"/>
        <v>4227769.91</v>
      </c>
      <c r="O51" s="196">
        <f t="shared" si="8"/>
        <v>3956246.02</v>
      </c>
      <c r="P51" s="196">
        <f t="shared" si="8"/>
        <v>3730077.75</v>
      </c>
      <c r="Q51" s="196">
        <f t="shared" si="8"/>
        <v>47725481.850000001</v>
      </c>
    </row>
    <row r="52" spans="1:18">
      <c r="C52" s="4"/>
      <c r="E52" s="196"/>
      <c r="F52" s="196"/>
      <c r="G52" s="196"/>
      <c r="H52" s="196"/>
      <c r="I52" s="196"/>
      <c r="J52" s="196"/>
      <c r="K52" s="196"/>
      <c r="L52" s="196"/>
      <c r="M52" s="196"/>
      <c r="N52" s="196"/>
      <c r="O52" s="196"/>
      <c r="P52" s="196"/>
      <c r="Q52" s="196"/>
    </row>
    <row r="53" spans="1:18">
      <c r="A53" s="195" t="s">
        <v>197</v>
      </c>
    </row>
    <row r="54" spans="1:18">
      <c r="A54" t="s">
        <v>198</v>
      </c>
      <c r="B54" t="s">
        <v>199</v>
      </c>
      <c r="C54" t="s">
        <v>200</v>
      </c>
      <c r="D54">
        <v>2019</v>
      </c>
      <c r="E54" s="39">
        <v>195835.63</v>
      </c>
      <c r="F54" s="39">
        <v>168740.26</v>
      </c>
      <c r="G54" s="39">
        <v>175998.34</v>
      </c>
      <c r="H54" s="39">
        <v>172442.62</v>
      </c>
      <c r="I54" s="39">
        <v>179189.87</v>
      </c>
      <c r="J54" s="39">
        <v>152409.91</v>
      </c>
      <c r="K54" s="39">
        <v>169535.82</v>
      </c>
      <c r="L54" s="39">
        <v>181298.9</v>
      </c>
      <c r="M54" s="39">
        <v>170278.1</v>
      </c>
      <c r="N54" s="39">
        <v>187083.61</v>
      </c>
      <c r="O54" s="39">
        <v>167346.92000000001</v>
      </c>
      <c r="P54" s="39">
        <v>166726.26999999999</v>
      </c>
      <c r="Q54" s="39">
        <f t="shared" ref="Q54:Q64" si="9">SUM(E54:P54)</f>
        <v>2086886.25</v>
      </c>
    </row>
    <row r="55" spans="1:18">
      <c r="A55" t="s">
        <v>198</v>
      </c>
      <c r="B55" t="s">
        <v>201</v>
      </c>
      <c r="C55" t="s">
        <v>202</v>
      </c>
      <c r="D55">
        <v>2019</v>
      </c>
      <c r="E55" s="39">
        <v>14095.13</v>
      </c>
      <c r="F55" s="39">
        <v>10675.03</v>
      </c>
      <c r="G55" s="39">
        <v>9961.69</v>
      </c>
      <c r="H55" s="39">
        <v>13957.09</v>
      </c>
      <c r="I55" s="39">
        <v>22361.71</v>
      </c>
      <c r="J55" s="39">
        <v>7895.02</v>
      </c>
      <c r="K55" s="39">
        <v>11890.42</v>
      </c>
      <c r="L55" s="39">
        <v>10888.36</v>
      </c>
      <c r="M55" s="39">
        <v>8721.23</v>
      </c>
      <c r="N55" s="39">
        <v>16875.04</v>
      </c>
      <c r="O55" s="39">
        <v>12028.36</v>
      </c>
      <c r="P55" s="39">
        <v>4337.08</v>
      </c>
      <c r="Q55" s="39">
        <f t="shared" si="9"/>
        <v>143686.16</v>
      </c>
    </row>
    <row r="56" spans="1:18">
      <c r="A56" t="s">
        <v>198</v>
      </c>
      <c r="B56" t="s">
        <v>203</v>
      </c>
      <c r="C56" t="s">
        <v>204</v>
      </c>
      <c r="D56">
        <v>2019</v>
      </c>
      <c r="E56" s="39">
        <v>4149.3</v>
      </c>
      <c r="F56" s="39">
        <v>0</v>
      </c>
      <c r="G56" s="39">
        <v>8709.2999999999993</v>
      </c>
      <c r="H56" s="39">
        <v>0</v>
      </c>
      <c r="I56" s="39">
        <v>13269.3</v>
      </c>
      <c r="J56" s="39">
        <v>34200</v>
      </c>
      <c r="K56" s="39">
        <v>11400</v>
      </c>
      <c r="L56" s="39">
        <v>10989.3</v>
      </c>
      <c r="M56" s="39">
        <v>0</v>
      </c>
      <c r="N56" s="39">
        <v>4149.3</v>
      </c>
      <c r="O56" s="39">
        <v>4560</v>
      </c>
      <c r="P56" s="39">
        <v>7774.65</v>
      </c>
      <c r="Q56" s="39">
        <f t="shared" si="9"/>
        <v>99201.15</v>
      </c>
    </row>
    <row r="57" spans="1:18">
      <c r="A57" t="s">
        <v>198</v>
      </c>
      <c r="B57" t="s">
        <v>205</v>
      </c>
      <c r="C57" t="s">
        <v>206</v>
      </c>
      <c r="D57">
        <v>2019</v>
      </c>
      <c r="E57" s="39">
        <v>403654.79</v>
      </c>
      <c r="F57" s="39">
        <v>342109.42</v>
      </c>
      <c r="G57" s="39">
        <v>358927.85</v>
      </c>
      <c r="H57" s="39">
        <v>364109.91</v>
      </c>
      <c r="I57" s="39">
        <v>380002.07</v>
      </c>
      <c r="J57" s="39">
        <v>322838.09999999998</v>
      </c>
      <c r="K57" s="39">
        <v>360761.99</v>
      </c>
      <c r="L57" s="39">
        <v>387203.54</v>
      </c>
      <c r="M57" s="39">
        <v>363651.3</v>
      </c>
      <c r="N57" s="39">
        <v>388404.63</v>
      </c>
      <c r="O57" s="39">
        <v>339180.79999999999</v>
      </c>
      <c r="P57" s="39">
        <v>335190.43</v>
      </c>
      <c r="Q57" s="39">
        <f t="shared" si="9"/>
        <v>4346034.8299999991</v>
      </c>
    </row>
    <row r="58" spans="1:18">
      <c r="A58" t="s">
        <v>198</v>
      </c>
      <c r="B58" t="s">
        <v>207</v>
      </c>
      <c r="C58" t="s">
        <v>369</v>
      </c>
      <c r="D58">
        <v>2019</v>
      </c>
      <c r="E58" s="39">
        <v>0</v>
      </c>
      <c r="F58" s="39">
        <v>3214.65</v>
      </c>
      <c r="G58" s="39">
        <v>2066.67</v>
      </c>
      <c r="H58" s="39">
        <v>3420</v>
      </c>
      <c r="I58" s="39">
        <v>2066.67</v>
      </c>
      <c r="J58" s="39">
        <v>21962.639999999999</v>
      </c>
      <c r="K58" s="39">
        <v>2066.67</v>
      </c>
      <c r="L58" s="39">
        <v>2066.67</v>
      </c>
      <c r="M58" s="39">
        <v>3206.67</v>
      </c>
      <c r="N58" s="39">
        <v>3206.67</v>
      </c>
      <c r="O58" s="39">
        <v>2066.67</v>
      </c>
      <c r="P58" s="39">
        <v>0</v>
      </c>
      <c r="Q58" s="39">
        <f t="shared" si="9"/>
        <v>45343.979999999989</v>
      </c>
    </row>
    <row r="59" spans="1:18">
      <c r="A59" t="s">
        <v>198</v>
      </c>
      <c r="B59" t="s">
        <v>208</v>
      </c>
      <c r="C59" t="s">
        <v>209</v>
      </c>
      <c r="D59">
        <v>2019</v>
      </c>
      <c r="E59" s="39">
        <v>250652.76</v>
      </c>
      <c r="F59" s="39">
        <v>252737.85</v>
      </c>
      <c r="G59" s="39">
        <v>252729.01</v>
      </c>
      <c r="H59" s="39">
        <v>252733.44</v>
      </c>
      <c r="I59" s="39">
        <v>252733.44</v>
      </c>
      <c r="J59" s="39">
        <v>248572.07</v>
      </c>
      <c r="K59" s="39">
        <v>252128.79</v>
      </c>
      <c r="L59" s="39">
        <v>252128.79</v>
      </c>
      <c r="M59" s="39">
        <v>252133.22</v>
      </c>
      <c r="N59" s="39">
        <v>252128.79</v>
      </c>
      <c r="O59" s="39">
        <v>252133.22</v>
      </c>
      <c r="P59" s="39">
        <v>228992.76</v>
      </c>
      <c r="Q59" s="39">
        <f t="shared" si="9"/>
        <v>2999804.1400000006</v>
      </c>
    </row>
    <row r="60" spans="1:18">
      <c r="A60" t="s">
        <v>198</v>
      </c>
      <c r="B60" t="s">
        <v>211</v>
      </c>
      <c r="C60" t="s">
        <v>212</v>
      </c>
      <c r="D60">
        <v>2019</v>
      </c>
      <c r="E60" s="39">
        <v>315010.81</v>
      </c>
      <c r="F60" s="39">
        <v>306938.03000000003</v>
      </c>
      <c r="G60" s="39">
        <v>319005.53999999998</v>
      </c>
      <c r="H60" s="39">
        <v>276899.40999999997</v>
      </c>
      <c r="I60" s="39">
        <v>282724.84000000003</v>
      </c>
      <c r="J60" s="39">
        <v>274652.08</v>
      </c>
      <c r="K60" s="39">
        <v>272054.49</v>
      </c>
      <c r="L60" s="39">
        <v>280210.59000000003</v>
      </c>
      <c r="M60" s="39">
        <v>270223.77</v>
      </c>
      <c r="N60" s="39">
        <v>282207.96999999997</v>
      </c>
      <c r="O60" s="39">
        <v>276215.87</v>
      </c>
      <c r="P60" s="39">
        <v>243945.93</v>
      </c>
      <c r="Q60" s="39">
        <f t="shared" si="9"/>
        <v>3400089.3300000005</v>
      </c>
    </row>
    <row r="61" spans="1:18">
      <c r="A61" t="s">
        <v>198</v>
      </c>
      <c r="B61" t="s">
        <v>215</v>
      </c>
      <c r="C61" t="s">
        <v>216</v>
      </c>
      <c r="D61">
        <v>2019</v>
      </c>
      <c r="E61" s="39">
        <v>191630.64</v>
      </c>
      <c r="F61" s="39">
        <v>160579.31</v>
      </c>
      <c r="G61" s="39">
        <v>168922.2</v>
      </c>
      <c r="H61" s="39">
        <v>174094.93</v>
      </c>
      <c r="I61" s="39">
        <v>182205.79</v>
      </c>
      <c r="J61" s="39">
        <v>154775.65</v>
      </c>
      <c r="K61" s="39">
        <v>175064.6</v>
      </c>
      <c r="L61" s="39">
        <v>188121.34</v>
      </c>
      <c r="M61" s="39">
        <v>175394.81</v>
      </c>
      <c r="N61" s="39">
        <v>183674.51</v>
      </c>
      <c r="O61" s="39">
        <v>158768.13</v>
      </c>
      <c r="P61" s="39">
        <v>156607.60999999999</v>
      </c>
      <c r="Q61" s="39">
        <f t="shared" si="9"/>
        <v>2069839.52</v>
      </c>
    </row>
    <row r="62" spans="1:18">
      <c r="A62" t="s">
        <v>198</v>
      </c>
      <c r="B62" t="s">
        <v>217</v>
      </c>
      <c r="C62" t="s">
        <v>218</v>
      </c>
      <c r="D62">
        <v>2019</v>
      </c>
      <c r="E62" s="39">
        <v>7742.02</v>
      </c>
      <c r="F62" s="39">
        <v>7742.06</v>
      </c>
      <c r="G62" s="39">
        <v>11599.52</v>
      </c>
      <c r="H62" s="39">
        <v>13528.25</v>
      </c>
      <c r="I62" s="39">
        <v>13528.25</v>
      </c>
      <c r="J62" s="39">
        <v>7742.06</v>
      </c>
      <c r="K62" s="39">
        <v>7742.06</v>
      </c>
      <c r="L62" s="39">
        <v>11599.52</v>
      </c>
      <c r="M62" s="39">
        <v>7742.06</v>
      </c>
      <c r="N62" s="39">
        <v>15456.98</v>
      </c>
      <c r="O62" s="39">
        <v>13528.25</v>
      </c>
      <c r="P62" s="39">
        <v>7742.06</v>
      </c>
      <c r="Q62" s="39">
        <f t="shared" si="9"/>
        <v>125693.09</v>
      </c>
    </row>
    <row r="63" spans="1:18">
      <c r="A63" s="198" t="s">
        <v>198</v>
      </c>
      <c r="B63" s="198" t="s">
        <v>373</v>
      </c>
      <c r="C63" s="198" t="s">
        <v>374</v>
      </c>
      <c r="D63" s="198">
        <v>2019</v>
      </c>
      <c r="E63" s="199">
        <v>591437.17000000004</v>
      </c>
      <c r="F63" s="199">
        <v>703356.47</v>
      </c>
      <c r="G63" s="199">
        <v>819437.17</v>
      </c>
      <c r="H63" s="199">
        <v>878517.85</v>
      </c>
      <c r="I63" s="199">
        <v>874356.47</v>
      </c>
      <c r="J63" s="199">
        <v>929275.79</v>
      </c>
      <c r="K63" s="199">
        <v>873156.03</v>
      </c>
      <c r="L63" s="199">
        <v>881478.79</v>
      </c>
      <c r="M63" s="199">
        <v>824478.79</v>
      </c>
      <c r="N63" s="199">
        <v>824478.79</v>
      </c>
      <c r="O63" s="199">
        <v>807378.79</v>
      </c>
      <c r="P63" s="199">
        <v>698397.85</v>
      </c>
      <c r="Q63" s="199">
        <f t="shared" si="9"/>
        <v>9705749.959999999</v>
      </c>
      <c r="R63" s="198" t="s">
        <v>372</v>
      </c>
    </row>
    <row r="64" spans="1:18">
      <c r="A64" s="198" t="s">
        <v>198</v>
      </c>
      <c r="B64" s="198" t="s">
        <v>370</v>
      </c>
      <c r="C64" s="198" t="s">
        <v>371</v>
      </c>
      <c r="D64" s="198">
        <v>2019</v>
      </c>
      <c r="E64" s="375">
        <v>2053387.02</v>
      </c>
      <c r="F64" s="375">
        <v>2916467.32</v>
      </c>
      <c r="G64" s="375">
        <v>3040800.54</v>
      </c>
      <c r="H64" s="375">
        <v>3323303.23</v>
      </c>
      <c r="I64" s="375">
        <v>3360715.49</v>
      </c>
      <c r="J64" s="375">
        <v>3315886.95</v>
      </c>
      <c r="K64" s="375">
        <v>3350032</v>
      </c>
      <c r="L64" s="375">
        <v>3190709.12</v>
      </c>
      <c r="M64" s="375">
        <v>3070230.17</v>
      </c>
      <c r="N64" s="375">
        <v>3210915.79</v>
      </c>
      <c r="O64" s="375">
        <v>3161759.22</v>
      </c>
      <c r="P64" s="375">
        <v>2787445.73</v>
      </c>
      <c r="Q64" s="375">
        <f t="shared" si="9"/>
        <v>36781652.579999998</v>
      </c>
      <c r="R64" s="198" t="s">
        <v>372</v>
      </c>
    </row>
    <row r="65" spans="1:18">
      <c r="C65" s="4" t="s">
        <v>219</v>
      </c>
      <c r="E65" s="196">
        <f t="shared" ref="E65:Q65" si="10">SUM(E54:E64)</f>
        <v>4027595.27</v>
      </c>
      <c r="F65" s="196">
        <f t="shared" si="10"/>
        <v>4872560.4000000004</v>
      </c>
      <c r="G65" s="196">
        <f t="shared" si="10"/>
        <v>5168157.83</v>
      </c>
      <c r="H65" s="196">
        <f t="shared" si="10"/>
        <v>5473006.7300000004</v>
      </c>
      <c r="I65" s="196">
        <f t="shared" si="10"/>
        <v>5563153.9000000004</v>
      </c>
      <c r="J65" s="196">
        <f t="shared" si="10"/>
        <v>5470210.2700000005</v>
      </c>
      <c r="K65" s="196">
        <f t="shared" si="10"/>
        <v>5485832.8700000001</v>
      </c>
      <c r="L65" s="196">
        <f t="shared" si="10"/>
        <v>5396694.9199999999</v>
      </c>
      <c r="M65" s="196">
        <f t="shared" si="10"/>
        <v>5146060.12</v>
      </c>
      <c r="N65" s="196">
        <f t="shared" si="10"/>
        <v>5368582.08</v>
      </c>
      <c r="O65" s="196">
        <f t="shared" si="10"/>
        <v>5194966.2300000004</v>
      </c>
      <c r="P65" s="196">
        <f t="shared" si="10"/>
        <v>4637160.37</v>
      </c>
      <c r="Q65" s="196">
        <f t="shared" si="10"/>
        <v>61803980.989999995</v>
      </c>
    </row>
    <row r="66" spans="1:18">
      <c r="A66" s="195" t="s">
        <v>44</v>
      </c>
    </row>
    <row r="67" spans="1:18">
      <c r="A67" t="s">
        <v>220</v>
      </c>
      <c r="B67" t="s">
        <v>215</v>
      </c>
      <c r="C67" t="s">
        <v>216</v>
      </c>
      <c r="D67">
        <v>2019</v>
      </c>
      <c r="E67" s="39">
        <v>35020.78</v>
      </c>
      <c r="F67" s="39">
        <v>29397.99</v>
      </c>
      <c r="G67" s="39">
        <v>31018.58</v>
      </c>
      <c r="H67" s="39">
        <v>32027.3</v>
      </c>
      <c r="I67" s="39">
        <v>33486.65</v>
      </c>
      <c r="J67" s="39">
        <v>28287.43</v>
      </c>
      <c r="K67" s="39">
        <v>32116.35</v>
      </c>
      <c r="L67" s="39">
        <v>34399.15</v>
      </c>
      <c r="M67" s="39">
        <v>31799.040000000001</v>
      </c>
      <c r="N67" s="39">
        <v>33823.980000000003</v>
      </c>
      <c r="O67" s="39">
        <v>28997.81</v>
      </c>
      <c r="P67" s="39">
        <v>28513.67</v>
      </c>
      <c r="Q67" s="39">
        <f>SUM(E67:P67)</f>
        <v>378888.73</v>
      </c>
    </row>
    <row r="68" spans="1:18">
      <c r="A68" t="s">
        <v>220</v>
      </c>
      <c r="B68" t="s">
        <v>217</v>
      </c>
      <c r="C68" t="s">
        <v>218</v>
      </c>
      <c r="D68">
        <v>2019</v>
      </c>
      <c r="E68" s="39">
        <v>0</v>
      </c>
      <c r="F68" s="39">
        <v>4149.3</v>
      </c>
      <c r="G68" s="39">
        <v>0</v>
      </c>
      <c r="H68" s="39">
        <v>11923.95</v>
      </c>
      <c r="I68" s="39">
        <v>11400</v>
      </c>
      <c r="J68" s="39">
        <v>11923.95</v>
      </c>
      <c r="K68" s="39">
        <v>0</v>
      </c>
      <c r="L68" s="39">
        <v>1140</v>
      </c>
      <c r="M68" s="39">
        <v>0</v>
      </c>
      <c r="N68" s="39">
        <v>3857.46</v>
      </c>
      <c r="O68" s="39">
        <v>1140</v>
      </c>
      <c r="P68" s="39">
        <v>1928.73</v>
      </c>
      <c r="Q68" s="39">
        <f>SUM(E68:P68)</f>
        <v>47463.39</v>
      </c>
    </row>
    <row r="69" spans="1:18">
      <c r="A69" s="198" t="s">
        <v>220</v>
      </c>
      <c r="B69" s="198" t="s">
        <v>370</v>
      </c>
      <c r="C69" s="198" t="s">
        <v>371</v>
      </c>
      <c r="D69" s="198">
        <v>2019</v>
      </c>
      <c r="E69" s="375">
        <v>57000</v>
      </c>
      <c r="F69" s="375">
        <v>60420</v>
      </c>
      <c r="G69" s="375">
        <v>60420</v>
      </c>
      <c r="H69" s="375">
        <v>57000</v>
      </c>
      <c r="I69" s="375">
        <v>61560</v>
      </c>
      <c r="J69" s="375">
        <v>61560</v>
      </c>
      <c r="K69" s="375">
        <v>57000</v>
      </c>
      <c r="L69" s="375">
        <v>61560</v>
      </c>
      <c r="M69" s="375">
        <v>61560</v>
      </c>
      <c r="N69" s="375">
        <v>57000</v>
      </c>
      <c r="O69" s="375">
        <v>61560</v>
      </c>
      <c r="P69" s="375">
        <v>61560</v>
      </c>
      <c r="Q69" s="375">
        <f>SUM(E69:P69)</f>
        <v>718200</v>
      </c>
      <c r="R69" s="198" t="s">
        <v>372</v>
      </c>
    </row>
    <row r="70" spans="1:18">
      <c r="C70" s="4" t="s">
        <v>221</v>
      </c>
      <c r="E70" s="196">
        <f t="shared" ref="E70:Q70" si="11">SUM(E67:E69)</f>
        <v>92020.78</v>
      </c>
      <c r="F70" s="196">
        <f t="shared" si="11"/>
        <v>93967.290000000008</v>
      </c>
      <c r="G70" s="196">
        <f t="shared" si="11"/>
        <v>91438.58</v>
      </c>
      <c r="H70" s="196">
        <f t="shared" si="11"/>
        <v>100951.25</v>
      </c>
      <c r="I70" s="196">
        <f t="shared" si="11"/>
        <v>106446.65</v>
      </c>
      <c r="J70" s="196">
        <f t="shared" si="11"/>
        <v>101771.38</v>
      </c>
      <c r="K70" s="196">
        <f t="shared" si="11"/>
        <v>89116.35</v>
      </c>
      <c r="L70" s="196">
        <f t="shared" si="11"/>
        <v>97099.15</v>
      </c>
      <c r="M70" s="196">
        <f t="shared" si="11"/>
        <v>93359.040000000008</v>
      </c>
      <c r="N70" s="196">
        <f t="shared" si="11"/>
        <v>94681.44</v>
      </c>
      <c r="O70" s="196">
        <f t="shared" si="11"/>
        <v>91697.81</v>
      </c>
      <c r="P70" s="196">
        <f t="shared" si="11"/>
        <v>92002.4</v>
      </c>
      <c r="Q70" s="196">
        <f t="shared" si="11"/>
        <v>1144552.1200000001</v>
      </c>
    </row>
    <row r="72" spans="1:18">
      <c r="C72" s="4" t="s">
        <v>376</v>
      </c>
      <c r="E72" s="196">
        <f t="shared" ref="E72:Q72" si="12">E65+E70</f>
        <v>4119616.05</v>
      </c>
      <c r="F72" s="196">
        <f t="shared" si="12"/>
        <v>4966527.6900000004</v>
      </c>
      <c r="G72" s="196">
        <f t="shared" si="12"/>
        <v>5259596.41</v>
      </c>
      <c r="H72" s="196">
        <f t="shared" si="12"/>
        <v>5573957.9800000004</v>
      </c>
      <c r="I72" s="196">
        <f t="shared" si="12"/>
        <v>5669600.5500000007</v>
      </c>
      <c r="J72" s="196">
        <f t="shared" si="12"/>
        <v>5571981.6500000004</v>
      </c>
      <c r="K72" s="196">
        <f t="shared" si="12"/>
        <v>5574949.2199999997</v>
      </c>
      <c r="L72" s="196">
        <f t="shared" si="12"/>
        <v>5493794.0700000003</v>
      </c>
      <c r="M72" s="196">
        <f t="shared" si="12"/>
        <v>5239419.16</v>
      </c>
      <c r="N72" s="196">
        <f t="shared" si="12"/>
        <v>5463263.5200000005</v>
      </c>
      <c r="O72" s="196">
        <f t="shared" si="12"/>
        <v>5286664.04</v>
      </c>
      <c r="P72" s="196">
        <f t="shared" si="12"/>
        <v>4729162.7700000005</v>
      </c>
      <c r="Q72" s="196">
        <f t="shared" si="12"/>
        <v>62948533.109999992</v>
      </c>
    </row>
  </sheetData>
  <mergeCells count="1">
    <mergeCell ref="T21:V2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23" ma:contentTypeDescription="Create a new document." ma:contentTypeScope="" ma:versionID="af22b7b83cb37e883efa93ef1e587121">
  <xsd:schema xmlns:xsd="http://www.w3.org/2001/XMLSchema" xmlns:xs="http://www.w3.org/2001/XMLSchema" xmlns:p="http://schemas.microsoft.com/office/2006/metadata/properties" xmlns:ns2="54fcda00-7b58-44a7-b108-8bd10a8a08ba" targetNamespace="http://schemas.microsoft.com/office/2006/metadata/properties" ma:root="true" ma:fieldsID="e0970a310b9621f0065b15e6675a12db" ns2:_="">
    <xsd:import namespace="54fcda00-7b58-44a7-b108-8bd10a8a08ba"/>
    <xsd:element name="properties">
      <xsd:complexType>
        <xsd:sequence>
          <xsd:element name="documentManagement">
            <xsd:complexType>
              <xsd:all>
                <xsd:element ref="ns2:Rate_x0020_Case_x0020_Type"/>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Filed_x0020_Documents" minOccurs="0"/>
                <xsd:element ref="ns2:Document_x0020_Date" minOccurs="0"/>
                <xsd:element ref="ns2: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Rate_x0020_Case_x0020_Type" ma:index="2" ma:displayName="Rate Case Jurisdiction" ma:format="Dropdown" ma:internalName="Rate_x0020_Case_x0020_Type">
      <xsd:simpleType>
        <xsd:restriction base="dms:Choice">
          <xsd:enumeration value="Kentucky"/>
          <xsd:enumeration value="Virginia"/>
          <xsd:enumeration value="Tennessee"/>
          <xsd:enumeration value="FERC"/>
        </xsd:restriction>
      </xsd:simpleType>
    </xsd:element>
    <xsd:element name="Company" ma:index="3"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4" ma:displayName="Year" ma:format="Dropdown" ma:internalName="Year">
      <xsd:simpleType>
        <xsd:restriction base="dms:Choice">
          <xsd:enumeration value="2017"/>
          <xsd:enumeration value="2016"/>
          <xsd:enumeration value="2015"/>
          <xsd:enumeration value="2014"/>
        </xsd:restriction>
      </xsd:simpleType>
    </xsd:element>
    <xsd:element name="Document_x0020_Type" ma:index="5" ma:displayName="Document Type" ma:format="Dropdown" ma:internalName="Document_x0020_Typ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6" nillable="true" ma:displayName="Filing Requirement" ma:format="Dropdown" ma:internalName="Filing_x0020_Requirement">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restriction>
      </xsd:simpleType>
    </xsd:element>
    <xsd:element name="Witness_x0020_Testimony" ma:index="7" nillable="true" ma:displayName="Witness" ma:format="Dropdown" ma:internalName="Witness_x0020_Testimony">
      <xsd:simpleType>
        <xsd:restriction base="dms:Choice">
          <xsd:enumeration value="Arbough, Daniel K."/>
          <xsd:enumeration value="Bellar, Lonnie E."/>
          <xsd:enumeration value="Blake, Kent W."/>
          <xsd:enumeration value="Conroy, Robert M."/>
          <xsd:enumeration value="Garrett, Christopher M."/>
          <xsd:enumeration value="Lovekamp, Rick E."/>
          <xsd:enumeration value="Malloy, John P."/>
          <xsd:enumeration value="McKenzie, Adrien M. (FINCAP, Inc.)"/>
          <xsd:enumeration value="Meiman, Greg J."/>
          <xsd:enumeration value="Metts, Heather D."/>
          <xsd:enumeration value="Murphy, J. Clay"/>
          <xsd:enumeration value="Rahn, Derek"/>
          <xsd:enumeration value="Scott, Valerie L."/>
          <xsd:enumeration value="Seelye, Steve (The Prime Group)"/>
          <xsd:enumeration value="Sinclair, David S."/>
          <xsd:enumeration value="Spanos, John J. (Gannett Fleming)"/>
          <xsd:enumeration value="Staffieri, Victor A."/>
          <xsd:enumeration value="Straight, Scott"/>
          <xsd:enumeration value="Thompson, Paul W."/>
          <xsd:enumeration value="Wolfe, John K."/>
          <xsd:enumeration value="z - eFiled/Filed"/>
        </xsd:restriction>
      </xsd:simpleType>
    </xsd:element>
    <xsd:element name="Intervemprs" ma:index="8" nillable="true" ma:displayName="Data Request Party" ma:format="Dropdown" ma:internalName="Intervemprs">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9" nillable="true" ma:displayName="Data Request Round" ma:format="Dropdown" ma:internalName="Round">
      <xsd:simpleType>
        <xsd:restriction base="dms:Choice">
          <xsd:enumeration value="DR1"/>
          <xsd:enumeration value="DR1 Attachments"/>
          <xsd:enumeration value="DR1 eFiled/Filed"/>
          <xsd:enumeration value="DR2"/>
          <xsd:enumeration value="DR2 Attachments"/>
          <xsd:enumeration value="DR2 eFiled/Filed"/>
          <xsd:enumeration value="DR3"/>
          <xsd:enumeration value="DR3 Attachments"/>
          <xsd:enumeration value="DR3 eFiled/Filed"/>
          <xsd:enumeration value="DR4"/>
          <xsd:enumeration value="DR4 Attachments"/>
          <xsd:enumeration value="DR4 eFiled/Filed"/>
          <xsd:enumeration value="DR5"/>
          <xsd:enumeration value="DR5 Attachments"/>
          <xsd:enumeration value="DR5 eFiled/Filed"/>
          <xsd:enumeration value="DR6"/>
          <xsd:enumeration value="DR6 Attachments"/>
          <xsd:enumeration value="DR6 eFiled/Filed"/>
          <xsd:enumeration value="Post"/>
          <xsd:enumeration value="Post Attachments"/>
          <xsd:enumeration value="Post eFiled/Filed"/>
          <xsd:enumeration value="PSC DR2/Intervenors DR1"/>
          <xsd:enumeration value="PSC DR3/Intervenors DR2"/>
          <xsd:enumeration value="PSC DR4"/>
          <xsd:enumeration value="PSC DR5/Intervenors DR3"/>
          <xsd:enumeration value="PSC DR6"/>
        </xsd:restriction>
      </xsd:simpleType>
    </xsd:element>
    <xsd:element name="Data_x0020_Request_x0020_Question_x0020_No_x002e_" ma:index="10" nillable="true" ma:displayName="Data Request Question No." ma:format="Dropdown" ma:internalName="Data_x0020_Request_x0020_Question_x0020_No_x002e_">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Filed_x0020_Documents" ma:index="11" nillable="true" ma:displayName="Filed Documents (Internal Use Only)" ma:format="Dropdown" ma:internalName="Filed_x0020_Documents">
      <xsd:simpleType>
        <xsd:restriction base="dms:Choice">
          <xsd:enumeration value="Application/Filing Requirements/Testimony"/>
          <xsd:enumeration value="PSC DR 1"/>
          <xsd:enumeration value="PSC DR 2/Intervenor DR 1"/>
          <xsd:enumeration value="PSC DR 3/Intervenor DR 2"/>
          <xsd:enumeration value="PSC DR 4"/>
          <xsd:enumeration value="PSC DR 5"/>
          <xsd:enumeration value="PSC DR 6"/>
          <xsd:enumeration value="PSC DR Post Hearing"/>
          <xsd:enumeration value="Rebuttal Testimony"/>
          <xsd:enumeration value="Settlement Agreement"/>
          <xsd:enumeration value="Stipulation Testimony"/>
          <xsd:enumeration value="Post Hearing Briefs"/>
        </xsd:restriction>
      </xsd:simpleType>
    </xsd:element>
    <xsd:element name="Document_x0020_Date" ma:index="12" nillable="true" ma:displayName="Document Date (Internal Use Only)" ma:format="DateOnly" ma:internalName="Document_x0020_Date">
      <xsd:simpleType>
        <xsd:restriction base="dms:DateTime"/>
      </xsd:simpleType>
    </xsd:element>
    <xsd:element name="Status_x0020__x0028_Internal_x0020_Use_x0020_Only_x0029_" ma:index="13"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Document_x0020_Date xmlns="54fcda00-7b58-44a7-b108-8bd10a8a08ba" xsi:nil="true"/>
    <Status_x0020__x0028_Internal_x0020_Use_x0020_Only_x0029_ xmlns="54fcda00-7b58-44a7-b108-8bd10a8a08ba"/>
    <Filing_x0020_Requirement xmlns="54fcda00-7b58-44a7-b108-8bd10a8a08ba" xsi:nil="true"/>
    <Round xmlns="54fcda00-7b58-44a7-b108-8bd10a8a08ba">Post Attachments</Round>
    <Rate_x0020_Case_x0020_Type xmlns="54fcda00-7b58-44a7-b108-8bd10a8a08ba">Kentucky</Rate_x0020_Case_x0020_Type>
    <Data_x0020_Request_x0020_Question_x0020_No_x002e_ xmlns="54fcda00-7b58-44a7-b108-8bd10a8a08ba">003</Data_x0020_Request_x0020_Question_x0020_No_x002e_>
    <Year xmlns="54fcda00-7b58-44a7-b108-8bd10a8a08ba">2016</Year>
    <Document_x0020_Type xmlns="54fcda00-7b58-44a7-b108-8bd10a8a08ba">Data Requests</Document_x0020_Type>
    <Witness_x0020_Testimony xmlns="54fcda00-7b58-44a7-b108-8bd10a8a08ba">Conroy, Robert M.</Witness_x0020_Testimony>
    <Intervemprs xmlns="54fcda00-7b58-44a7-b108-8bd10a8a08ba">KY Public Service Commission - PSC</Intervemprs>
    <Filed_x0020_Documents xmlns="54fcda00-7b58-44a7-b108-8bd10a8a08ba" xsi:nil="true"/>
  </documentManagement>
</p:properties>
</file>

<file path=customXml/itemProps1.xml><?xml version="1.0" encoding="utf-8"?>
<ds:datastoreItem xmlns:ds="http://schemas.openxmlformats.org/officeDocument/2006/customXml" ds:itemID="{CAB33DF1-2CC8-4A68-919F-2251A67CA5C5}"/>
</file>

<file path=customXml/itemProps2.xml><?xml version="1.0" encoding="utf-8"?>
<ds:datastoreItem xmlns:ds="http://schemas.openxmlformats.org/officeDocument/2006/customXml" ds:itemID="{D669FA3D-38CD-479C-8BF8-2D3EE00FDC3F}"/>
</file>

<file path=customXml/itemProps3.xml><?xml version="1.0" encoding="utf-8"?>
<ds:datastoreItem xmlns:ds="http://schemas.openxmlformats.org/officeDocument/2006/customXml" ds:itemID="{288940C1-AC8D-496F-B970-1EB38CDED3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24</vt:i4>
      </vt:variant>
    </vt:vector>
  </HeadingPairs>
  <TitlesOfParts>
    <vt:vector size="52" baseType="lpstr">
      <vt:lpstr>Control Log</vt:lpstr>
      <vt:lpstr>Class Allocation</vt:lpstr>
      <vt:lpstr>pg 1 Class Allocation</vt:lpstr>
      <vt:lpstr>pg 2 Rev Req</vt:lpstr>
      <vt:lpstr>Rev Req 2017-Distr</vt:lpstr>
      <vt:lpstr>Rev Req 2017-Trans</vt:lpstr>
      <vt:lpstr>ROR</vt:lpstr>
      <vt:lpstr>COS Budget 2017</vt:lpstr>
      <vt:lpstr>Capital Budget 2017</vt:lpstr>
      <vt:lpstr>Cap&amp;OpEx 2017</vt:lpstr>
      <vt:lpstr>201707 Bk Depr</vt:lpstr>
      <vt:lpstr>201708 Bk Depr</vt:lpstr>
      <vt:lpstr>201709 Bk Depr</vt:lpstr>
      <vt:lpstr>201710 Bk Depr</vt:lpstr>
      <vt:lpstr>201711 Bk Depr</vt:lpstr>
      <vt:lpstr>201712 Bk Depr</vt:lpstr>
      <vt:lpstr>Tax Depr 2017</vt:lpstr>
      <vt:lpstr>Leak Capital 2012</vt:lpstr>
      <vt:lpstr>Cap&amp;OpEx 2012</vt:lpstr>
      <vt:lpstr>2013-2016</vt:lpstr>
      <vt:lpstr>pg 3 Cap &amp; OpEx</vt:lpstr>
      <vt:lpstr>pg 5 2012 Bk Depr</vt:lpstr>
      <vt:lpstr>pg 6 2013 Bk Depr</vt:lpstr>
      <vt:lpstr>pg 7 2014 Bk Depr</vt:lpstr>
      <vt:lpstr>pg 8 2015 Bk Depr</vt:lpstr>
      <vt:lpstr>pg 9 2016 Bk Depr</vt:lpstr>
      <vt:lpstr>pg 10 2017 Bk Depr</vt:lpstr>
      <vt:lpstr>pg 11 Tax Depr</vt:lpstr>
      <vt:lpstr>'201707 Bk Depr'!Print_Area</vt:lpstr>
      <vt:lpstr>'201708 Bk Depr'!Print_Area</vt:lpstr>
      <vt:lpstr>'201709 Bk Depr'!Print_Area</vt:lpstr>
      <vt:lpstr>'201710 Bk Depr'!Print_Area</vt:lpstr>
      <vt:lpstr>'201711 Bk Depr'!Print_Area</vt:lpstr>
      <vt:lpstr>'201712 Bk Depr'!Print_Area</vt:lpstr>
      <vt:lpstr>'Cap&amp;OpEx 2012'!Print_Area</vt:lpstr>
      <vt:lpstr>'Class Allocation'!Print_Area</vt:lpstr>
      <vt:lpstr>'Control Log'!Print_Area</vt:lpstr>
      <vt:lpstr>'pg 1 Class Allocation'!Print_Area</vt:lpstr>
      <vt:lpstr>'pg 10 2017 Bk Depr'!Print_Area</vt:lpstr>
      <vt:lpstr>'pg 11 Tax Depr'!Print_Area</vt:lpstr>
      <vt:lpstr>'pg 2 Rev Req'!Print_Area</vt:lpstr>
      <vt:lpstr>'pg 3 Cap &amp; OpEx'!Print_Area</vt:lpstr>
      <vt:lpstr>'pg 5 2012 Bk Depr'!Print_Area</vt:lpstr>
      <vt:lpstr>'pg 6 2013 Bk Depr'!Print_Area</vt:lpstr>
      <vt:lpstr>'pg 8 2015 Bk Depr'!Print_Area</vt:lpstr>
      <vt:lpstr>'pg 9 2016 Bk Depr'!Print_Area</vt:lpstr>
      <vt:lpstr>'Rev Req 2017-Distr'!Print_Area</vt:lpstr>
      <vt:lpstr>'Rev Req 2017-Trans'!Print_Area</vt:lpstr>
      <vt:lpstr>ROR!Print_Area</vt:lpstr>
      <vt:lpstr>'Tax Depr 2017'!Print_Area</vt:lpstr>
      <vt:lpstr>'Class Allocation'!Print_Titles</vt:lpstr>
      <vt:lpstr>'pg 1 Class Allocation'!Print_Titles</vt:lpstr>
    </vt:vector>
  </TitlesOfParts>
  <Company>E.ON 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Doug Leichty</dc:creator>
  <cp:lastModifiedBy>Leichty, Doug</cp:lastModifiedBy>
  <cp:lastPrinted>2017-05-16T18:20:42Z</cp:lastPrinted>
  <dcterms:created xsi:type="dcterms:W3CDTF">2011-06-10T12:36:51Z</dcterms:created>
  <dcterms:modified xsi:type="dcterms:W3CDTF">2017-05-16T18:21:49Z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